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5340" tabRatio="844"/>
  </bookViews>
  <sheets>
    <sheet name="LS - Summary" sheetId="1" r:id="rId1"/>
    <sheet name="LS - Overhead Lights" sheetId="2" r:id="rId2"/>
    <sheet name="LS - Underground Lights" sheetId="3" r:id="rId3"/>
    <sheet name="ECR FAC" sheetId="11" r:id="rId4"/>
    <sheet name="Fixed Carrying Cost" sheetId="8" r:id="rId5"/>
    <sheet name="For Tariff" sheetId="12" r:id="rId6"/>
    <sheet name="Forecast Count" sheetId="7" r:id="rId7"/>
    <sheet name="Materials+LaborUnits" sheetId="4" r:id="rId8"/>
    <sheet name="Materials" sheetId="5" r:id="rId9"/>
    <sheet name="Maintenance &amp; NBV" sheetId="6" r:id="rId10"/>
  </sheets>
  <definedNames>
    <definedName name="_xlnm._FilterDatabase" localSheetId="6" hidden="1">'Forecast Count'!$A$3:$F$99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B3" i="6" l="1"/>
  <c r="B4" i="6"/>
  <c r="S11" i="1" l="1"/>
  <c r="B48" i="8" l="1"/>
  <c r="D48" i="6" l="1"/>
  <c r="F48" i="8"/>
  <c r="I33" i="1" l="1"/>
  <c r="I34" i="1"/>
  <c r="I35" i="1"/>
  <c r="I36" i="1"/>
  <c r="H33" i="1"/>
  <c r="H34" i="1"/>
  <c r="H35" i="1"/>
  <c r="H36" i="1"/>
  <c r="G33" i="1"/>
  <c r="G34" i="1"/>
  <c r="G35" i="1"/>
  <c r="G36" i="1"/>
  <c r="F33" i="1"/>
  <c r="F34" i="1"/>
  <c r="F35" i="1"/>
  <c r="F36" i="1"/>
  <c r="E33" i="1"/>
  <c r="E34" i="1"/>
  <c r="E35" i="1"/>
  <c r="E36" i="1"/>
  <c r="D33" i="1"/>
  <c r="D34" i="1"/>
  <c r="D35" i="1"/>
  <c r="D36" i="1"/>
  <c r="O58" i="3" l="1"/>
  <c r="P58" i="3"/>
  <c r="Q58" i="3"/>
  <c r="R58" i="3"/>
  <c r="O47" i="3"/>
  <c r="O65" i="3" s="1"/>
  <c r="P47" i="3"/>
  <c r="P65" i="3" s="1"/>
  <c r="Q47" i="3"/>
  <c r="Q65" i="3" s="1"/>
  <c r="R47" i="3"/>
  <c r="O43" i="3"/>
  <c r="P43" i="3"/>
  <c r="Q43" i="3"/>
  <c r="R43" i="3"/>
  <c r="O19" i="3"/>
  <c r="P19" i="3"/>
  <c r="Q19" i="3"/>
  <c r="R19" i="3"/>
  <c r="P18" i="3"/>
  <c r="Q18" i="3"/>
  <c r="R18" i="3"/>
  <c r="O18" i="3"/>
  <c r="R65" i="3" l="1"/>
  <c r="C43" i="2"/>
  <c r="D35" i="2"/>
  <c r="E35" i="2"/>
  <c r="F35" i="2"/>
  <c r="G35" i="2"/>
  <c r="H35" i="2"/>
  <c r="I35" i="2"/>
  <c r="J35" i="2"/>
  <c r="K35" i="2"/>
  <c r="C35" i="2"/>
  <c r="B36" i="6" l="1"/>
  <c r="H29" i="6"/>
  <c r="H28" i="6"/>
  <c r="F84" i="8" l="1"/>
  <c r="E45" i="6"/>
  <c r="E44" i="6"/>
  <c r="B5" i="12" l="1"/>
  <c r="G5" i="12" s="1"/>
  <c r="B6" i="12"/>
  <c r="G6" i="12" s="1"/>
  <c r="B7" i="12"/>
  <c r="G7" i="12" s="1"/>
  <c r="B8" i="12"/>
  <c r="G8" i="12" s="1"/>
  <c r="B9" i="12"/>
  <c r="G9" i="12" s="1"/>
  <c r="B10" i="12"/>
  <c r="G10" i="12" s="1"/>
  <c r="B11" i="12"/>
  <c r="G11" i="12" s="1"/>
  <c r="B12" i="12"/>
  <c r="G12" i="12" s="1"/>
  <c r="B13" i="12"/>
  <c r="G13" i="12" s="1"/>
  <c r="B14" i="12"/>
  <c r="G14" i="12" s="1"/>
  <c r="B4" i="12"/>
  <c r="F7" i="12" l="1"/>
  <c r="D7" i="12"/>
  <c r="G4" i="12"/>
  <c r="F5" i="12"/>
  <c r="E4" i="12"/>
  <c r="F14" i="12"/>
  <c r="F8" i="12"/>
  <c r="F6" i="12"/>
  <c r="F4" i="12"/>
  <c r="E14" i="12"/>
  <c r="E13" i="12"/>
  <c r="E12" i="12"/>
  <c r="E11" i="12"/>
  <c r="E10" i="12"/>
  <c r="E9" i="12"/>
  <c r="E6" i="12"/>
  <c r="E5" i="12"/>
  <c r="D13" i="12"/>
  <c r="D12" i="12"/>
  <c r="D11" i="12"/>
  <c r="D10" i="12"/>
  <c r="D9" i="12"/>
  <c r="D8" i="12"/>
  <c r="I21" i="1"/>
  <c r="I20" i="1"/>
  <c r="I19" i="1"/>
  <c r="I18" i="1"/>
  <c r="I17" i="1"/>
  <c r="I16" i="1"/>
  <c r="I15" i="1"/>
  <c r="I14" i="1"/>
  <c r="I13" i="1"/>
  <c r="B23" i="6" l="1"/>
  <c r="G32" i="6"/>
  <c r="E47" i="6"/>
  <c r="E46" i="6"/>
  <c r="G34" i="6" s="1"/>
  <c r="F44" i="6" s="1"/>
  <c r="B29" i="6"/>
  <c r="C28" i="6"/>
  <c r="I7" i="6" l="1"/>
  <c r="K44" i="6" s="1"/>
  <c r="J8" i="5"/>
  <c r="C24" i="6"/>
  <c r="C23" i="6"/>
  <c r="I3" i="6"/>
  <c r="I5" i="6"/>
  <c r="I4" i="6"/>
  <c r="F46" i="6"/>
  <c r="F45" i="6"/>
  <c r="F47" i="6"/>
  <c r="C29" i="6"/>
  <c r="B33" i="6" s="1"/>
  <c r="G33" i="6"/>
  <c r="G36" i="6" s="1"/>
  <c r="G35" i="6" l="1"/>
  <c r="H34" i="6" s="1"/>
  <c r="J34" i="6" s="1"/>
  <c r="H44" i="6"/>
  <c r="H49" i="6" s="1"/>
  <c r="H46" i="6"/>
  <c r="H51" i="6" s="1"/>
  <c r="H47" i="6"/>
  <c r="H52" i="6" s="1"/>
  <c r="H45" i="6"/>
  <c r="H50" i="6" s="1"/>
  <c r="H53" i="6" l="1"/>
  <c r="J35" i="6"/>
  <c r="G45" i="6"/>
  <c r="J45" i="6" s="1"/>
  <c r="G44" i="6"/>
  <c r="J44" i="6" s="1"/>
  <c r="G46" i="6"/>
  <c r="J46" i="6" s="1"/>
  <c r="G47" i="6"/>
  <c r="J47" i="6" s="1"/>
  <c r="H36" i="6"/>
  <c r="J36" i="6" s="1"/>
  <c r="J37" i="6" s="1"/>
  <c r="I25" i="1" l="1"/>
  <c r="I26" i="1"/>
  <c r="I38" i="1" s="1"/>
  <c r="I31" i="1"/>
  <c r="I39" i="1" s="1"/>
  <c r="I29" i="1"/>
  <c r="I27" i="1"/>
  <c r="I30" i="1"/>
  <c r="I28" i="1"/>
  <c r="I24" i="1"/>
  <c r="I23" i="1"/>
  <c r="I32" i="1"/>
  <c r="I37" i="1" s="1"/>
  <c r="I22" i="1"/>
  <c r="C5" i="6"/>
  <c r="C4" i="6"/>
  <c r="C3" i="6"/>
  <c r="C51" i="2" l="1"/>
  <c r="K51" i="2"/>
  <c r="I51" i="2"/>
  <c r="Q13" i="1" s="1"/>
  <c r="J51" i="2"/>
  <c r="D51" i="2"/>
  <c r="H51" i="2"/>
  <c r="E51" i="2"/>
  <c r="F51" i="2"/>
  <c r="G51" i="2"/>
  <c r="F75" i="8" l="1"/>
  <c r="E50" i="4" l="1"/>
  <c r="V40" i="1" l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S37" i="1"/>
  <c r="AC24" i="1" l="1"/>
  <c r="AC23" i="1"/>
  <c r="AC22" i="1"/>
  <c r="A8" i="7" l="1"/>
  <c r="A9" i="7"/>
  <c r="A77" i="7"/>
  <c r="A78" i="7"/>
  <c r="A79" i="7"/>
  <c r="A80" i="7"/>
  <c r="A10" i="7"/>
  <c r="A81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82" i="7"/>
  <c r="A83" i="7"/>
  <c r="A24" i="7"/>
  <c r="A25" i="7"/>
  <c r="A26" i="7"/>
  <c r="A27" i="7"/>
  <c r="A28" i="7"/>
  <c r="A84" i="7"/>
  <c r="A29" i="7"/>
  <c r="A85" i="7"/>
  <c r="A30" i="7"/>
  <c r="A86" i="7"/>
  <c r="A31" i="7"/>
  <c r="A87" i="7"/>
  <c r="A32" i="7"/>
  <c r="A88" i="7"/>
  <c r="A33" i="7"/>
  <c r="A34" i="7"/>
  <c r="A35" i="7"/>
  <c r="A36" i="7"/>
  <c r="A37" i="7"/>
  <c r="A89" i="7"/>
  <c r="A38" i="7"/>
  <c r="A39" i="7"/>
  <c r="A40" i="7"/>
  <c r="A41" i="7"/>
  <c r="A90" i="7"/>
  <c r="A42" i="7"/>
  <c r="A91" i="7"/>
  <c r="A43" i="7"/>
  <c r="A92" i="7"/>
  <c r="A44" i="7"/>
  <c r="A45" i="7"/>
  <c r="A46" i="7"/>
  <c r="A93" i="7"/>
  <c r="A47" i="7"/>
  <c r="A48" i="7"/>
  <c r="A49" i="7"/>
  <c r="A50" i="7"/>
  <c r="A51" i="7"/>
  <c r="A52" i="7"/>
  <c r="A53" i="7"/>
  <c r="A94" i="7"/>
  <c r="A54" i="7"/>
  <c r="A55" i="7"/>
  <c r="A56" i="7"/>
  <c r="A57" i="7"/>
  <c r="A95" i="7"/>
  <c r="A96" i="7"/>
  <c r="A58" i="7"/>
  <c r="A97" i="7"/>
  <c r="A59" i="7"/>
  <c r="A98" i="7"/>
  <c r="A60" i="7"/>
  <c r="A99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4" i="7"/>
  <c r="A5" i="7"/>
  <c r="A6" i="7"/>
  <c r="A7" i="7"/>
  <c r="AF34" i="1" l="1"/>
  <c r="AF35" i="1"/>
  <c r="AF36" i="1"/>
  <c r="AF33" i="1"/>
  <c r="AF20" i="1"/>
  <c r="AF26" i="1"/>
  <c r="AF22" i="1"/>
  <c r="AF13" i="1"/>
  <c r="AF19" i="1"/>
  <c r="AF31" i="1"/>
  <c r="AF29" i="1"/>
  <c r="AF27" i="1"/>
  <c r="AF25" i="1"/>
  <c r="AF16" i="1"/>
  <c r="AF18" i="1"/>
  <c r="AF17" i="1"/>
  <c r="AF24" i="1"/>
  <c r="AF15" i="1"/>
  <c r="AF21" i="1"/>
  <c r="AF32" i="1"/>
  <c r="AF30" i="1"/>
  <c r="AF28" i="1"/>
  <c r="AF23" i="1"/>
  <c r="AF14" i="1"/>
  <c r="E20" i="8"/>
  <c r="AH36" i="1" l="1"/>
  <c r="AJ36" i="1" s="1"/>
  <c r="AH35" i="1"/>
  <c r="AJ35" i="1" s="1"/>
  <c r="AH33" i="1"/>
  <c r="AJ33" i="1" s="1"/>
  <c r="AH34" i="1"/>
  <c r="AJ34" i="1" s="1"/>
  <c r="AH13" i="1"/>
  <c r="AJ13" i="1" s="1"/>
  <c r="AH14" i="1"/>
  <c r="AJ14" i="1" s="1"/>
  <c r="AH15" i="1"/>
  <c r="AJ15" i="1" s="1"/>
  <c r="AH16" i="1"/>
  <c r="AJ16" i="1" s="1"/>
  <c r="AH22" i="1"/>
  <c r="AJ22" i="1" s="1"/>
  <c r="AH23" i="1"/>
  <c r="AJ23" i="1" s="1"/>
  <c r="AH24" i="1"/>
  <c r="AJ24" i="1" s="1"/>
  <c r="AH25" i="1"/>
  <c r="AJ25" i="1" s="1"/>
  <c r="AH26" i="1"/>
  <c r="AJ26" i="1" s="1"/>
  <c r="AH17" i="1"/>
  <c r="AJ17" i="1" s="1"/>
  <c r="AH27" i="1"/>
  <c r="AJ27" i="1" s="1"/>
  <c r="AH28" i="1"/>
  <c r="AJ28" i="1" s="1"/>
  <c r="AH29" i="1"/>
  <c r="AJ29" i="1" s="1"/>
  <c r="AH30" i="1"/>
  <c r="AJ30" i="1" s="1"/>
  <c r="AH31" i="1"/>
  <c r="AJ31" i="1" s="1"/>
  <c r="AH32" i="1"/>
  <c r="AJ32" i="1" s="1"/>
  <c r="AH18" i="1"/>
  <c r="AJ18" i="1" s="1"/>
  <c r="AH19" i="1"/>
  <c r="AJ19" i="1" s="1"/>
  <c r="AH20" i="1"/>
  <c r="AJ20" i="1" s="1"/>
  <c r="AH21" i="1"/>
  <c r="AJ21" i="1" s="1"/>
  <c r="C16" i="11" l="1"/>
  <c r="B16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V33" i="1" l="1"/>
  <c r="V35" i="1"/>
  <c r="V36" i="1"/>
  <c r="V34" i="1"/>
  <c r="U33" i="1" l="1"/>
  <c r="U36" i="1"/>
  <c r="U34" i="1"/>
  <c r="U35" i="1"/>
  <c r="T34" i="1"/>
  <c r="T36" i="1"/>
  <c r="T33" i="1"/>
  <c r="T35" i="1"/>
  <c r="H13" i="1" l="1"/>
  <c r="H14" i="1"/>
  <c r="H15" i="1"/>
  <c r="H16" i="1"/>
  <c r="H22" i="1"/>
  <c r="H23" i="1"/>
  <c r="H24" i="1"/>
  <c r="H25" i="1"/>
  <c r="H26" i="1"/>
  <c r="H17" i="1"/>
  <c r="H27" i="1"/>
  <c r="H28" i="1"/>
  <c r="H29" i="1"/>
  <c r="H30" i="1"/>
  <c r="H31" i="1"/>
  <c r="H32" i="1"/>
  <c r="H18" i="1"/>
  <c r="H19" i="1"/>
  <c r="H20" i="1"/>
  <c r="H21" i="1"/>
  <c r="G13" i="1"/>
  <c r="G14" i="1"/>
  <c r="G15" i="1"/>
  <c r="G16" i="1"/>
  <c r="G22" i="1"/>
  <c r="G23" i="1"/>
  <c r="G24" i="1"/>
  <c r="G25" i="1"/>
  <c r="G26" i="1"/>
  <c r="G17" i="1"/>
  <c r="G27" i="1"/>
  <c r="G28" i="1"/>
  <c r="G29" i="1"/>
  <c r="G30" i="1"/>
  <c r="G31" i="1"/>
  <c r="G32" i="1"/>
  <c r="G18" i="1"/>
  <c r="G19" i="1"/>
  <c r="G20" i="1"/>
  <c r="G21" i="1"/>
  <c r="F13" i="1"/>
  <c r="F14" i="1"/>
  <c r="F15" i="1"/>
  <c r="F16" i="1"/>
  <c r="F22" i="1"/>
  <c r="F23" i="1"/>
  <c r="F24" i="1"/>
  <c r="F25" i="1"/>
  <c r="F26" i="1"/>
  <c r="F17" i="1"/>
  <c r="F27" i="1"/>
  <c r="F28" i="1"/>
  <c r="F29" i="1"/>
  <c r="F30" i="1"/>
  <c r="F31" i="1"/>
  <c r="F32" i="1"/>
  <c r="F18" i="1"/>
  <c r="F19" i="1"/>
  <c r="F20" i="1"/>
  <c r="F21" i="1"/>
  <c r="D13" i="1"/>
  <c r="D14" i="1"/>
  <c r="D15" i="1"/>
  <c r="D16" i="1"/>
  <c r="D22" i="1"/>
  <c r="D23" i="1"/>
  <c r="D24" i="1"/>
  <c r="D25" i="1"/>
  <c r="D26" i="1"/>
  <c r="D17" i="1"/>
  <c r="D27" i="1"/>
  <c r="D28" i="1"/>
  <c r="D29" i="1"/>
  <c r="D30" i="1"/>
  <c r="D31" i="1"/>
  <c r="D32" i="1"/>
  <c r="D18" i="1"/>
  <c r="D19" i="1"/>
  <c r="D20" i="1"/>
  <c r="D21" i="1"/>
  <c r="E13" i="1"/>
  <c r="E14" i="1"/>
  <c r="E15" i="1"/>
  <c r="E16" i="1"/>
  <c r="E22" i="1"/>
  <c r="E23" i="1"/>
  <c r="E24" i="1"/>
  <c r="E25" i="1"/>
  <c r="E26" i="1"/>
  <c r="E17" i="1"/>
  <c r="E27" i="1"/>
  <c r="E28" i="1"/>
  <c r="E29" i="1"/>
  <c r="E30" i="1"/>
  <c r="E31" i="1"/>
  <c r="E32" i="1"/>
  <c r="E18" i="1"/>
  <c r="E19" i="1"/>
  <c r="E20" i="1"/>
  <c r="E21" i="1"/>
  <c r="F66" i="8"/>
  <c r="B11" i="8"/>
  <c r="U25" i="1" l="1"/>
  <c r="T25" i="1"/>
  <c r="U24" i="1"/>
  <c r="T24" i="1"/>
  <c r="S14" i="1"/>
  <c r="S34" i="1"/>
  <c r="S35" i="1"/>
  <c r="S36" i="1"/>
  <c r="S33" i="1"/>
  <c r="V30" i="1"/>
  <c r="T30" i="1"/>
  <c r="U30" i="1"/>
  <c r="V13" i="1"/>
  <c r="T13" i="1"/>
  <c r="U13" i="1"/>
  <c r="V20" i="1"/>
  <c r="T20" i="1"/>
  <c r="U20" i="1"/>
  <c r="V16" i="1"/>
  <c r="U16" i="1"/>
  <c r="T16" i="1"/>
  <c r="V19" i="1"/>
  <c r="T19" i="1"/>
  <c r="U19" i="1"/>
  <c r="V31" i="1"/>
  <c r="T31" i="1"/>
  <c r="U31" i="1"/>
  <c r="V29" i="1"/>
  <c r="T29" i="1"/>
  <c r="U29" i="1"/>
  <c r="V27" i="1"/>
  <c r="U27" i="1"/>
  <c r="T27" i="1"/>
  <c r="V24" i="1"/>
  <c r="V15" i="1"/>
  <c r="T15" i="1"/>
  <c r="U15" i="1"/>
  <c r="V21" i="1"/>
  <c r="U21" i="1"/>
  <c r="T21" i="1"/>
  <c r="V32" i="1"/>
  <c r="U32" i="1"/>
  <c r="T32" i="1"/>
  <c r="V28" i="1"/>
  <c r="U28" i="1"/>
  <c r="T28" i="1"/>
  <c r="V22" i="1"/>
  <c r="U22" i="1"/>
  <c r="T22" i="1"/>
  <c r="V26" i="1"/>
  <c r="T26" i="1"/>
  <c r="U26" i="1"/>
  <c r="V25" i="1"/>
  <c r="V18" i="1"/>
  <c r="U18" i="1"/>
  <c r="T18" i="1"/>
  <c r="V17" i="1"/>
  <c r="U17" i="1"/>
  <c r="T17" i="1"/>
  <c r="V23" i="1"/>
  <c r="U23" i="1"/>
  <c r="T23" i="1"/>
  <c r="V14" i="1"/>
  <c r="T14" i="1"/>
  <c r="U14" i="1"/>
  <c r="S15" i="1"/>
  <c r="S24" i="1"/>
  <c r="S27" i="1"/>
  <c r="S29" i="1"/>
  <c r="S31" i="1"/>
  <c r="S19" i="1"/>
  <c r="S20" i="1"/>
  <c r="S16" i="1"/>
  <c r="S25" i="1"/>
  <c r="S26" i="1"/>
  <c r="S17" i="1"/>
  <c r="S18" i="1"/>
  <c r="S13" i="1"/>
  <c r="S22" i="1"/>
  <c r="S28" i="1"/>
  <c r="S30" i="1"/>
  <c r="S32" i="1"/>
  <c r="S21" i="1"/>
  <c r="S23" i="1"/>
  <c r="F39" i="8"/>
  <c r="F30" i="8"/>
  <c r="I23" i="8"/>
  <c r="H23" i="8"/>
  <c r="F23" i="8"/>
  <c r="B10" i="8"/>
  <c r="E9" i="8"/>
  <c r="E8" i="8"/>
  <c r="E7" i="8"/>
  <c r="J23" i="8" l="1"/>
  <c r="D23" i="8"/>
  <c r="E11" i="8"/>
  <c r="F46" i="8" s="1"/>
  <c r="F76" i="8" l="1"/>
  <c r="F85" i="8"/>
  <c r="F73" i="8"/>
  <c r="F78" i="8" s="1"/>
  <c r="F82" i="8"/>
  <c r="F31" i="8"/>
  <c r="F67" i="8"/>
  <c r="F40" i="8"/>
  <c r="F49" i="8" s="1"/>
  <c r="F51" i="8" s="1"/>
  <c r="F28" i="8"/>
  <c r="F64" i="8"/>
  <c r="F37" i="8"/>
  <c r="F87" i="8" l="1"/>
  <c r="J39" i="6" s="1"/>
  <c r="J40" i="6" s="1"/>
  <c r="S6" i="1"/>
  <c r="F69" i="8"/>
  <c r="F33" i="8"/>
  <c r="S8" i="1" s="1"/>
  <c r="F42" i="8"/>
  <c r="F55" i="8" s="1"/>
  <c r="S9" i="1" s="1"/>
  <c r="D22" i="4"/>
  <c r="R13" i="3" s="1"/>
  <c r="D21" i="4"/>
  <c r="Q13" i="3" s="1"/>
  <c r="D20" i="4"/>
  <c r="P13" i="3" s="1"/>
  <c r="D19" i="4"/>
  <c r="O13" i="3" s="1"/>
  <c r="D18" i="4"/>
  <c r="D17" i="4"/>
  <c r="D16" i="4"/>
  <c r="D15" i="4"/>
  <c r="D14" i="4"/>
  <c r="D13" i="4"/>
  <c r="D12" i="4"/>
  <c r="D11" i="4"/>
  <c r="D10" i="4"/>
  <c r="D9" i="4"/>
  <c r="D8" i="4"/>
  <c r="C13" i="2" s="1"/>
  <c r="D7" i="4"/>
  <c r="D6" i="4"/>
  <c r="D5" i="4"/>
  <c r="K13" i="2" s="1"/>
  <c r="D4" i="4"/>
  <c r="J13" i="2" s="1"/>
  <c r="D3" i="4"/>
  <c r="D13" i="3" s="1"/>
  <c r="D2" i="4"/>
  <c r="Q63" i="3" l="1"/>
  <c r="Q64" i="3" s="1"/>
  <c r="Q66" i="3" s="1"/>
  <c r="J35" i="1" s="1"/>
  <c r="K35" i="1" s="1"/>
  <c r="R63" i="3"/>
  <c r="R64" i="3" s="1"/>
  <c r="R66" i="3" s="1"/>
  <c r="J36" i="1" s="1"/>
  <c r="K36" i="1" s="1"/>
  <c r="P63" i="3"/>
  <c r="P64" i="3" s="1"/>
  <c r="P66" i="3" s="1"/>
  <c r="J34" i="1" s="1"/>
  <c r="K34" i="1" s="1"/>
  <c r="O63" i="3"/>
  <c r="O64" i="3" s="1"/>
  <c r="O66" i="3" s="1"/>
  <c r="J33" i="1" s="1"/>
  <c r="K33" i="1" s="1"/>
  <c r="E13" i="3"/>
  <c r="F13" i="3"/>
  <c r="I13" i="2"/>
  <c r="S7" i="1"/>
  <c r="N18" i="1"/>
  <c r="O34" i="1" l="1"/>
  <c r="X34" i="1" s="1"/>
  <c r="O33" i="1"/>
  <c r="X33" i="1" s="1"/>
  <c r="O36" i="1"/>
  <c r="X36" i="1" s="1"/>
  <c r="O35" i="1"/>
  <c r="X35" i="1" s="1"/>
  <c r="N33" i="1"/>
  <c r="N35" i="1"/>
  <c r="N34" i="1"/>
  <c r="N36" i="1"/>
  <c r="O39" i="1"/>
  <c r="N13" i="1"/>
  <c r="N17" i="1"/>
  <c r="N21" i="1"/>
  <c r="O40" i="1"/>
  <c r="N14" i="1"/>
  <c r="N16" i="1"/>
  <c r="O37" i="1"/>
  <c r="N19" i="1"/>
  <c r="O38" i="1"/>
  <c r="N20" i="1"/>
  <c r="N15" i="1"/>
  <c r="E62" i="4"/>
  <c r="Z34" i="1" l="1"/>
  <c r="AA34" i="1" s="1"/>
  <c r="Z35" i="1"/>
  <c r="AA35" i="1" s="1"/>
  <c r="Z36" i="1"/>
  <c r="AA36" i="1" s="1"/>
  <c r="Z33" i="1"/>
  <c r="AA33" i="1" s="1"/>
  <c r="P36" i="1"/>
  <c r="P35" i="1"/>
  <c r="P33" i="1"/>
  <c r="P34" i="1"/>
  <c r="I20" i="5"/>
  <c r="H20" i="5"/>
  <c r="G20" i="5"/>
  <c r="F20" i="5"/>
  <c r="E20" i="5"/>
  <c r="I21" i="5"/>
  <c r="H21" i="5"/>
  <c r="G21" i="5"/>
  <c r="F21" i="5"/>
  <c r="E21" i="5"/>
  <c r="J31" i="5"/>
  <c r="J32" i="5"/>
  <c r="J33" i="5"/>
  <c r="J34" i="5"/>
  <c r="J35" i="5"/>
  <c r="J36" i="5"/>
  <c r="H4" i="6" l="1"/>
  <c r="J37" i="5"/>
  <c r="K32" i="5" s="1"/>
  <c r="H3" i="6"/>
  <c r="H5" i="6"/>
  <c r="H6" i="6" l="1"/>
  <c r="M40" i="3"/>
  <c r="N40" i="3"/>
  <c r="L40" i="3"/>
  <c r="K40" i="3"/>
  <c r="J40" i="3"/>
  <c r="I40" i="3"/>
  <c r="H40" i="3"/>
  <c r="D40" i="3"/>
  <c r="E40" i="3"/>
  <c r="F40" i="3"/>
  <c r="G40" i="3"/>
  <c r="C40" i="3"/>
  <c r="N39" i="3"/>
  <c r="M39" i="3"/>
  <c r="L39" i="3"/>
  <c r="K39" i="3"/>
  <c r="J39" i="3"/>
  <c r="I39" i="3"/>
  <c r="H39" i="3"/>
  <c r="D39" i="3"/>
  <c r="E39" i="3"/>
  <c r="F39" i="3"/>
  <c r="G39" i="3"/>
  <c r="C39" i="3"/>
  <c r="N38" i="3"/>
  <c r="M38" i="3"/>
  <c r="L38" i="3"/>
  <c r="K38" i="3"/>
  <c r="J38" i="3"/>
  <c r="I38" i="3"/>
  <c r="H38" i="3"/>
  <c r="D38" i="3"/>
  <c r="E38" i="3"/>
  <c r="F38" i="3"/>
  <c r="G38" i="3"/>
  <c r="C38" i="3"/>
  <c r="N37" i="3"/>
  <c r="M37" i="3"/>
  <c r="L37" i="3"/>
  <c r="K37" i="3"/>
  <c r="J37" i="3"/>
  <c r="I37" i="3"/>
  <c r="H37" i="3"/>
  <c r="D37" i="3"/>
  <c r="E37" i="3"/>
  <c r="F37" i="3"/>
  <c r="G37" i="3"/>
  <c r="C37" i="3"/>
  <c r="M34" i="3"/>
  <c r="N34" i="3"/>
  <c r="L34" i="3"/>
  <c r="K34" i="3"/>
  <c r="J34" i="3"/>
  <c r="I34" i="3"/>
  <c r="H34" i="3"/>
  <c r="D34" i="3"/>
  <c r="E34" i="3"/>
  <c r="F34" i="3"/>
  <c r="G34" i="3"/>
  <c r="C34" i="3"/>
  <c r="N30" i="3"/>
  <c r="M30" i="3"/>
  <c r="L30" i="3"/>
  <c r="K30" i="3"/>
  <c r="J30" i="3"/>
  <c r="I30" i="3"/>
  <c r="H30" i="3"/>
  <c r="D30" i="3"/>
  <c r="E30" i="3"/>
  <c r="F30" i="3"/>
  <c r="G30" i="3"/>
  <c r="C30" i="3"/>
  <c r="N29" i="3"/>
  <c r="M29" i="3"/>
  <c r="L29" i="3"/>
  <c r="K29" i="3"/>
  <c r="J29" i="3"/>
  <c r="I29" i="3"/>
  <c r="H29" i="3"/>
  <c r="D29" i="3"/>
  <c r="E29" i="3"/>
  <c r="F29" i="3"/>
  <c r="G29" i="3"/>
  <c r="C29" i="3"/>
  <c r="M28" i="3"/>
  <c r="N28" i="3"/>
  <c r="L28" i="3"/>
  <c r="D28" i="3"/>
  <c r="E28" i="3"/>
  <c r="F28" i="3"/>
  <c r="G28" i="3"/>
  <c r="H28" i="3"/>
  <c r="I28" i="3"/>
  <c r="J28" i="3"/>
  <c r="K28" i="3"/>
  <c r="C28" i="3"/>
  <c r="N26" i="3"/>
  <c r="M26" i="3"/>
  <c r="L26" i="3"/>
  <c r="K26" i="3"/>
  <c r="J26" i="3"/>
  <c r="I26" i="3"/>
  <c r="H26" i="3"/>
  <c r="D26" i="3"/>
  <c r="E26" i="3"/>
  <c r="F26" i="3"/>
  <c r="G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D19" i="3"/>
  <c r="E19" i="3"/>
  <c r="F19" i="3"/>
  <c r="G19" i="3"/>
  <c r="H19" i="3"/>
  <c r="I19" i="3"/>
  <c r="J19" i="3"/>
  <c r="K19" i="3"/>
  <c r="L19" i="3"/>
  <c r="M19" i="3"/>
  <c r="N19" i="3"/>
  <c r="C19" i="3"/>
  <c r="L13" i="3"/>
  <c r="C13" i="3" l="1"/>
  <c r="E18" i="2" l="1"/>
  <c r="F18" i="2"/>
  <c r="G18" i="2"/>
  <c r="D18" i="2"/>
  <c r="I19" i="2"/>
  <c r="J19" i="2"/>
  <c r="K19" i="2"/>
  <c r="H19" i="2"/>
  <c r="D32" i="2"/>
  <c r="E32" i="2"/>
  <c r="F32" i="2"/>
  <c r="G32" i="2"/>
  <c r="H32" i="2"/>
  <c r="I32" i="2"/>
  <c r="J32" i="2"/>
  <c r="K32" i="2"/>
  <c r="C32" i="2"/>
  <c r="D31" i="2"/>
  <c r="E31" i="2"/>
  <c r="F31" i="2"/>
  <c r="G31" i="2"/>
  <c r="H31" i="2"/>
  <c r="I31" i="2"/>
  <c r="J31" i="2"/>
  <c r="K31" i="2"/>
  <c r="C31" i="2"/>
  <c r="D30" i="2"/>
  <c r="E30" i="2"/>
  <c r="F30" i="2"/>
  <c r="G30" i="2"/>
  <c r="H30" i="2"/>
  <c r="I30" i="2"/>
  <c r="J30" i="2"/>
  <c r="K30" i="2"/>
  <c r="C30" i="2"/>
  <c r="D29" i="2"/>
  <c r="E29" i="2"/>
  <c r="F29" i="2"/>
  <c r="G29" i="2"/>
  <c r="H29" i="2"/>
  <c r="I29" i="2"/>
  <c r="J29" i="2"/>
  <c r="K29" i="2"/>
  <c r="C29" i="2"/>
  <c r="D28" i="2"/>
  <c r="E28" i="2"/>
  <c r="F28" i="2"/>
  <c r="G28" i="2"/>
  <c r="H28" i="2"/>
  <c r="I28" i="2"/>
  <c r="J28" i="2"/>
  <c r="K28" i="2"/>
  <c r="C28" i="2"/>
  <c r="D27" i="2"/>
  <c r="E27" i="2"/>
  <c r="F27" i="2"/>
  <c r="G27" i="2"/>
  <c r="H27" i="2"/>
  <c r="I27" i="2"/>
  <c r="J27" i="2"/>
  <c r="K27" i="2"/>
  <c r="C27" i="2"/>
  <c r="D26" i="2"/>
  <c r="E26" i="2"/>
  <c r="F26" i="2"/>
  <c r="G26" i="2"/>
  <c r="H26" i="2"/>
  <c r="I26" i="2"/>
  <c r="J26" i="2"/>
  <c r="K26" i="2"/>
  <c r="C26" i="2"/>
  <c r="D23" i="2"/>
  <c r="E23" i="2"/>
  <c r="F23" i="2"/>
  <c r="G23" i="2"/>
  <c r="H23" i="2"/>
  <c r="I23" i="2"/>
  <c r="J23" i="2"/>
  <c r="K23" i="2"/>
  <c r="C23" i="2"/>
  <c r="D22" i="2"/>
  <c r="E22" i="2"/>
  <c r="F22" i="2"/>
  <c r="G22" i="2"/>
  <c r="H22" i="2"/>
  <c r="I22" i="2"/>
  <c r="J22" i="2"/>
  <c r="K22" i="2"/>
  <c r="C22" i="2"/>
  <c r="D21" i="2"/>
  <c r="E21" i="2"/>
  <c r="F21" i="2"/>
  <c r="G21" i="2"/>
  <c r="H21" i="2"/>
  <c r="I21" i="2"/>
  <c r="J21" i="2"/>
  <c r="K21" i="2"/>
  <c r="C21" i="2"/>
  <c r="D20" i="2"/>
  <c r="E20" i="2"/>
  <c r="F20" i="2"/>
  <c r="G20" i="2"/>
  <c r="H20" i="2"/>
  <c r="I20" i="2"/>
  <c r="J20" i="2"/>
  <c r="K20" i="2"/>
  <c r="C20" i="2"/>
  <c r="D13" i="2"/>
  <c r="N13" i="3"/>
  <c r="M13" i="3"/>
  <c r="O78" i="3" l="1"/>
  <c r="P78" i="3"/>
  <c r="R78" i="3"/>
  <c r="Q78" i="3"/>
  <c r="N63" i="3"/>
  <c r="K46" i="6"/>
  <c r="E78" i="3"/>
  <c r="Q23" i="1" s="1"/>
  <c r="Q20" i="1"/>
  <c r="F78" i="3"/>
  <c r="Q24" i="1" s="1"/>
  <c r="Q21" i="1"/>
  <c r="G78" i="3"/>
  <c r="Q17" i="1"/>
  <c r="D78" i="3"/>
  <c r="Q22" i="1" s="1"/>
  <c r="Q19" i="1"/>
  <c r="Q16" i="1"/>
  <c r="C78" i="3"/>
  <c r="Q18" i="1"/>
  <c r="K47" i="6"/>
  <c r="I78" i="3"/>
  <c r="Q14" i="1"/>
  <c r="J78" i="3"/>
  <c r="Q15" i="1"/>
  <c r="K78" i="3"/>
  <c r="H78" i="3"/>
  <c r="Q28" i="1" s="1"/>
  <c r="M78" i="3"/>
  <c r="N78" i="3"/>
  <c r="L78" i="3"/>
  <c r="Q25" i="1" s="1"/>
  <c r="K45" i="6"/>
  <c r="K35" i="5"/>
  <c r="L35" i="5" s="1"/>
  <c r="K33" i="5"/>
  <c r="L33" i="5" s="1"/>
  <c r="Q32" i="1" l="1"/>
  <c r="C80" i="3"/>
  <c r="Q35" i="1"/>
  <c r="R35" i="1" s="1"/>
  <c r="W35" i="1" s="1"/>
  <c r="Y35" i="1" s="1"/>
  <c r="AB35" i="1" s="1"/>
  <c r="AN35" i="1" s="1"/>
  <c r="Q80" i="3"/>
  <c r="Q36" i="1"/>
  <c r="R80" i="3"/>
  <c r="Q31" i="1"/>
  <c r="Q34" i="1"/>
  <c r="R34" i="1" s="1"/>
  <c r="W34" i="1" s="1"/>
  <c r="Y34" i="1" s="1"/>
  <c r="AB34" i="1" s="1"/>
  <c r="AN34" i="1" s="1"/>
  <c r="P80" i="3"/>
  <c r="Q33" i="1"/>
  <c r="R33" i="1" s="1"/>
  <c r="W33" i="1" s="1"/>
  <c r="Y33" i="1" s="1"/>
  <c r="AB33" i="1" s="1"/>
  <c r="AN33" i="1" s="1"/>
  <c r="O80" i="3"/>
  <c r="Q30" i="1"/>
  <c r="Q26" i="1"/>
  <c r="Q29" i="1"/>
  <c r="Q27" i="1"/>
  <c r="L32" i="5"/>
  <c r="K34" i="5"/>
  <c r="L34" i="5" s="1"/>
  <c r="K36" i="5"/>
  <c r="L36" i="5" s="1"/>
  <c r="K31" i="5"/>
  <c r="L31" i="5" s="1"/>
  <c r="R36" i="1" l="1"/>
  <c r="W36" i="1" s="1"/>
  <c r="Y36" i="1" s="1"/>
  <c r="AB36" i="1" s="1"/>
  <c r="AN36" i="1" s="1"/>
  <c r="Q37" i="1"/>
  <c r="AG34" i="1"/>
  <c r="AI34" i="1" s="1"/>
  <c r="AD34" i="1"/>
  <c r="AE34" i="1" s="1"/>
  <c r="AD33" i="1"/>
  <c r="AE33" i="1" s="1"/>
  <c r="AG33" i="1"/>
  <c r="AI33" i="1" s="1"/>
  <c r="AD35" i="1"/>
  <c r="AE35" i="1" s="1"/>
  <c r="AG35" i="1"/>
  <c r="AI35" i="1" s="1"/>
  <c r="L37" i="5"/>
  <c r="H18" i="2" s="1"/>
  <c r="AG36" i="1" l="1"/>
  <c r="AI36" i="1" s="1"/>
  <c r="AD36" i="1"/>
  <c r="AE36" i="1" s="1"/>
  <c r="Q38" i="1"/>
  <c r="R37" i="1"/>
  <c r="I18" i="2"/>
  <c r="J18" i="2"/>
  <c r="K18" i="2"/>
  <c r="D43" i="2"/>
  <c r="E43" i="2"/>
  <c r="F43" i="2"/>
  <c r="G43" i="2"/>
  <c r="H43" i="2"/>
  <c r="I43" i="2"/>
  <c r="J43" i="2"/>
  <c r="K43" i="2"/>
  <c r="D40" i="2"/>
  <c r="E40" i="2"/>
  <c r="F40" i="2"/>
  <c r="G40" i="2"/>
  <c r="H40" i="2"/>
  <c r="I40" i="2"/>
  <c r="J40" i="2"/>
  <c r="K40" i="2"/>
  <c r="C40" i="2"/>
  <c r="D39" i="2"/>
  <c r="E39" i="2"/>
  <c r="F39" i="2"/>
  <c r="G39" i="2"/>
  <c r="H39" i="2"/>
  <c r="I39" i="2"/>
  <c r="J39" i="2"/>
  <c r="K39" i="2"/>
  <c r="C39" i="2"/>
  <c r="Q39" i="1" l="1"/>
  <c r="R38" i="1"/>
  <c r="R16" i="1"/>
  <c r="D52" i="2"/>
  <c r="R13" i="1"/>
  <c r="R15" i="1"/>
  <c r="J52" i="2"/>
  <c r="K37" i="1"/>
  <c r="N40" i="1"/>
  <c r="N38" i="1"/>
  <c r="N39" i="1"/>
  <c r="H13" i="2"/>
  <c r="G13" i="2"/>
  <c r="F13" i="2"/>
  <c r="E13" i="2"/>
  <c r="Q40" i="1" l="1"/>
  <c r="R40" i="1" s="1"/>
  <c r="R39" i="1"/>
  <c r="C52" i="2"/>
  <c r="R18" i="1"/>
  <c r="I52" i="2"/>
  <c r="K52" i="2"/>
  <c r="R14" i="1"/>
  <c r="R17" i="1"/>
  <c r="H52" i="2"/>
  <c r="R19" i="1"/>
  <c r="E52" i="2"/>
  <c r="R20" i="1"/>
  <c r="F52" i="2"/>
  <c r="R21" i="1"/>
  <c r="G52" i="2"/>
  <c r="N37" i="1"/>
  <c r="P37" i="1" s="1"/>
  <c r="W37" i="1" s="1"/>
  <c r="P39" i="1"/>
  <c r="K39" i="1"/>
  <c r="P38" i="1"/>
  <c r="K38" i="1"/>
  <c r="P40" i="1"/>
  <c r="K40" i="1"/>
  <c r="D58" i="3"/>
  <c r="E58" i="3"/>
  <c r="F58" i="3"/>
  <c r="G58" i="3"/>
  <c r="H58" i="3"/>
  <c r="I58" i="3"/>
  <c r="J58" i="3"/>
  <c r="K58" i="3"/>
  <c r="L58" i="3"/>
  <c r="M58" i="3"/>
  <c r="N58" i="3"/>
  <c r="C58" i="3"/>
  <c r="M49" i="3"/>
  <c r="N49" i="3"/>
  <c r="L49" i="3"/>
  <c r="K49" i="3"/>
  <c r="J49" i="3"/>
  <c r="I49" i="3"/>
  <c r="H49" i="3"/>
  <c r="G49" i="3"/>
  <c r="D49" i="3"/>
  <c r="E49" i="3"/>
  <c r="F49" i="3"/>
  <c r="C49" i="3"/>
  <c r="W40" i="1" l="1"/>
  <c r="W38" i="1"/>
  <c r="W39" i="1"/>
  <c r="C53" i="3"/>
  <c r="D53" i="3"/>
  <c r="C52" i="3"/>
  <c r="D52" i="3"/>
  <c r="F53" i="3"/>
  <c r="G53" i="3"/>
  <c r="H53" i="3"/>
  <c r="I53" i="3"/>
  <c r="J53" i="3"/>
  <c r="K53" i="3"/>
  <c r="L53" i="3"/>
  <c r="M53" i="3"/>
  <c r="N53" i="3"/>
  <c r="E53" i="3"/>
  <c r="F52" i="3"/>
  <c r="G52" i="3"/>
  <c r="H52" i="3"/>
  <c r="I52" i="3"/>
  <c r="J52" i="3"/>
  <c r="K52" i="3"/>
  <c r="L52" i="3"/>
  <c r="M52" i="3"/>
  <c r="N52" i="3"/>
  <c r="E52" i="3"/>
  <c r="D51" i="3"/>
  <c r="E51" i="3"/>
  <c r="F51" i="3"/>
  <c r="G51" i="3"/>
  <c r="H51" i="3"/>
  <c r="I51" i="3"/>
  <c r="J51" i="3"/>
  <c r="K51" i="3"/>
  <c r="L51" i="3"/>
  <c r="M51" i="3"/>
  <c r="N51" i="3"/>
  <c r="C51" i="3"/>
  <c r="M50" i="3"/>
  <c r="N50" i="3"/>
  <c r="L50" i="3"/>
  <c r="H50" i="3"/>
  <c r="I50" i="3"/>
  <c r="J50" i="3"/>
  <c r="K50" i="3"/>
  <c r="G50" i="3"/>
  <c r="D50" i="3"/>
  <c r="E50" i="3"/>
  <c r="F50" i="3"/>
  <c r="C50" i="3"/>
  <c r="D48" i="3"/>
  <c r="E48" i="3"/>
  <c r="F48" i="3"/>
  <c r="G48" i="3"/>
  <c r="H48" i="3"/>
  <c r="I48" i="3"/>
  <c r="J48" i="3"/>
  <c r="K48" i="3"/>
  <c r="L48" i="3"/>
  <c r="M48" i="3"/>
  <c r="N48" i="3"/>
  <c r="C48" i="3"/>
  <c r="D47" i="3"/>
  <c r="D65" i="3" s="1"/>
  <c r="E47" i="3"/>
  <c r="E65" i="3" s="1"/>
  <c r="F47" i="3"/>
  <c r="G47" i="3"/>
  <c r="G65" i="3" s="1"/>
  <c r="H47" i="3"/>
  <c r="H65" i="3" s="1"/>
  <c r="I47" i="3"/>
  <c r="J47" i="3"/>
  <c r="J65" i="3" s="1"/>
  <c r="K47" i="3"/>
  <c r="L47" i="3"/>
  <c r="L65" i="3" s="1"/>
  <c r="M47" i="3"/>
  <c r="M65" i="3" s="1"/>
  <c r="N47" i="3"/>
  <c r="N65" i="3" s="1"/>
  <c r="C47" i="3"/>
  <c r="C65" i="3" s="1"/>
  <c r="D43" i="3"/>
  <c r="E43" i="3"/>
  <c r="F43" i="3"/>
  <c r="G43" i="3"/>
  <c r="H43" i="3"/>
  <c r="I43" i="3"/>
  <c r="J43" i="3"/>
  <c r="K43" i="3"/>
  <c r="L43" i="3"/>
  <c r="M43" i="3"/>
  <c r="N43" i="3"/>
  <c r="C43" i="3"/>
  <c r="D22" i="3"/>
  <c r="E22" i="3"/>
  <c r="F22" i="3"/>
  <c r="C22" i="3"/>
  <c r="K22" i="3"/>
  <c r="J22" i="3"/>
  <c r="J68" i="3" s="1"/>
  <c r="I22" i="3"/>
  <c r="H22" i="3"/>
  <c r="G22" i="3"/>
  <c r="R32" i="1" l="1"/>
  <c r="N80" i="3"/>
  <c r="R26" i="1"/>
  <c r="R25" i="1"/>
  <c r="R24" i="1"/>
  <c r="F80" i="3"/>
  <c r="R22" i="1"/>
  <c r="D80" i="3"/>
  <c r="E80" i="3"/>
  <c r="R23" i="1"/>
  <c r="Y38" i="1"/>
  <c r="AB38" i="1" s="1"/>
  <c r="Y37" i="1"/>
  <c r="AB37" i="1" s="1"/>
  <c r="Y40" i="1"/>
  <c r="AB40" i="1" s="1"/>
  <c r="Y39" i="1"/>
  <c r="AB39" i="1" s="1"/>
  <c r="J70" i="3"/>
  <c r="M70" i="3"/>
  <c r="D70" i="3"/>
  <c r="G70" i="3"/>
  <c r="L70" i="3"/>
  <c r="H70" i="3"/>
  <c r="I70" i="3"/>
  <c r="E70" i="3"/>
  <c r="C70" i="3"/>
  <c r="K70" i="3"/>
  <c r="N70" i="3"/>
  <c r="F70" i="3"/>
  <c r="N57" i="3"/>
  <c r="N59" i="3" s="1"/>
  <c r="K57" i="3"/>
  <c r="K59" i="3" s="1"/>
  <c r="K65" i="3"/>
  <c r="I57" i="3"/>
  <c r="I59" i="3" s="1"/>
  <c r="I65" i="3"/>
  <c r="F57" i="3"/>
  <c r="F59" i="3" s="1"/>
  <c r="F65" i="3"/>
  <c r="L57" i="3"/>
  <c r="L59" i="3" s="1"/>
  <c r="J57" i="3"/>
  <c r="J59" i="3" s="1"/>
  <c r="H57" i="3"/>
  <c r="H59" i="3" s="1"/>
  <c r="D57" i="3"/>
  <c r="D59" i="3" s="1"/>
  <c r="M57" i="3"/>
  <c r="M59" i="3" s="1"/>
  <c r="E57" i="3"/>
  <c r="E59" i="3" s="1"/>
  <c r="C57" i="3"/>
  <c r="C59" i="3" s="1"/>
  <c r="G57" i="3"/>
  <c r="G59" i="3" s="1"/>
  <c r="L22" i="3"/>
  <c r="M22" i="3"/>
  <c r="L80" i="3" l="1"/>
  <c r="M80" i="3"/>
  <c r="E7" i="12"/>
  <c r="E8" i="12"/>
  <c r="F12" i="12"/>
  <c r="F11" i="12"/>
  <c r="F10" i="12"/>
  <c r="F13" i="12"/>
  <c r="F9" i="12"/>
  <c r="D5" i="12"/>
  <c r="D4" i="12"/>
  <c r="D6" i="12"/>
  <c r="D14" i="12"/>
  <c r="N22" i="3"/>
  <c r="K13" i="3" l="1"/>
  <c r="J13" i="3"/>
  <c r="I13" i="3"/>
  <c r="H13" i="3"/>
  <c r="G13" i="3"/>
  <c r="N64" i="3"/>
  <c r="N66" i="3" s="1"/>
  <c r="D42" i="2"/>
  <c r="D44" i="2" s="1"/>
  <c r="E42" i="2"/>
  <c r="E44" i="2" s="1"/>
  <c r="F42" i="2"/>
  <c r="F44" i="2" s="1"/>
  <c r="G42" i="2"/>
  <c r="G44" i="2" s="1"/>
  <c r="H42" i="2"/>
  <c r="H44" i="2" s="1"/>
  <c r="I42" i="2"/>
  <c r="I44" i="2" s="1"/>
  <c r="J42" i="2"/>
  <c r="J44" i="2" s="1"/>
  <c r="K42" i="2"/>
  <c r="K44" i="2" s="1"/>
  <c r="C42" i="2"/>
  <c r="C44" i="2" s="1"/>
  <c r="D34" i="2"/>
  <c r="D36" i="2" s="1"/>
  <c r="E34" i="2"/>
  <c r="E36" i="2" s="1"/>
  <c r="F34" i="2"/>
  <c r="F36" i="2" s="1"/>
  <c r="G34" i="2"/>
  <c r="G36" i="2" s="1"/>
  <c r="H34" i="2"/>
  <c r="H36" i="2" s="1"/>
  <c r="I34" i="2"/>
  <c r="I36" i="2" s="1"/>
  <c r="J34" i="2"/>
  <c r="J36" i="2" s="1"/>
  <c r="K34" i="2"/>
  <c r="K36" i="2" s="1"/>
  <c r="C34" i="2"/>
  <c r="C36" i="2" s="1"/>
  <c r="J63" i="3" l="1"/>
  <c r="H80" i="3"/>
  <c r="R28" i="1"/>
  <c r="R27" i="1"/>
  <c r="G80" i="3"/>
  <c r="J80" i="3"/>
  <c r="R30" i="1"/>
  <c r="I80" i="3"/>
  <c r="R29" i="1"/>
  <c r="R31" i="1"/>
  <c r="K80" i="3"/>
  <c r="D63" i="3"/>
  <c r="D64" i="3" s="1"/>
  <c r="D66" i="3" s="1"/>
  <c r="J22" i="1" s="1"/>
  <c r="O22" i="1" s="1"/>
  <c r="X22" i="1" s="1"/>
  <c r="L63" i="3"/>
  <c r="L64" i="3" s="1"/>
  <c r="L66" i="3" s="1"/>
  <c r="J25" i="1" s="1"/>
  <c r="O25" i="1" s="1"/>
  <c r="X25" i="1" s="1"/>
  <c r="M68" i="3"/>
  <c r="M69" i="3" s="1"/>
  <c r="M71" i="3" s="1"/>
  <c r="N26" i="1" s="1"/>
  <c r="C63" i="3"/>
  <c r="C64" i="3" s="1"/>
  <c r="C66" i="3" s="1"/>
  <c r="J32" i="1" s="1"/>
  <c r="O32" i="1" s="1"/>
  <c r="X32" i="1" s="1"/>
  <c r="H63" i="3"/>
  <c r="H64" i="3" s="1"/>
  <c r="H66" i="3" s="1"/>
  <c r="J28" i="1" s="1"/>
  <c r="O28" i="1" s="1"/>
  <c r="X28" i="1" s="1"/>
  <c r="J64" i="3"/>
  <c r="J66" i="3" s="1"/>
  <c r="J30" i="1" s="1"/>
  <c r="O30" i="1" s="1"/>
  <c r="X30" i="1" s="1"/>
  <c r="N68" i="3"/>
  <c r="N69" i="3" s="1"/>
  <c r="N71" i="3" s="1"/>
  <c r="C68" i="3"/>
  <c r="C69" i="3" s="1"/>
  <c r="C71" i="3" s="1"/>
  <c r="N32" i="1" s="1"/>
  <c r="G68" i="3"/>
  <c r="G69" i="3" s="1"/>
  <c r="G71" i="3" s="1"/>
  <c r="N27" i="1" s="1"/>
  <c r="K68" i="3"/>
  <c r="K69" i="3" s="1"/>
  <c r="K71" i="3" s="1"/>
  <c r="N31" i="1" s="1"/>
  <c r="D68" i="3"/>
  <c r="D69" i="3" s="1"/>
  <c r="D71" i="3" s="1"/>
  <c r="N22" i="1" s="1"/>
  <c r="H68" i="3"/>
  <c r="H69" i="3" s="1"/>
  <c r="H71" i="3" s="1"/>
  <c r="N28" i="1" s="1"/>
  <c r="L68" i="3"/>
  <c r="L69" i="3" s="1"/>
  <c r="L71" i="3" s="1"/>
  <c r="N25" i="1" s="1"/>
  <c r="E63" i="3"/>
  <c r="E64" i="3" s="1"/>
  <c r="E66" i="3" s="1"/>
  <c r="J23" i="1" s="1"/>
  <c r="O23" i="1" s="1"/>
  <c r="X23" i="1" s="1"/>
  <c r="M63" i="3"/>
  <c r="M64" i="3" s="1"/>
  <c r="M66" i="3" s="1"/>
  <c r="J26" i="1" s="1"/>
  <c r="O26" i="1" s="1"/>
  <c r="X26" i="1" s="1"/>
  <c r="I63" i="3"/>
  <c r="I64" i="3" s="1"/>
  <c r="I66" i="3" s="1"/>
  <c r="J29" i="1" s="1"/>
  <c r="O29" i="1" s="1"/>
  <c r="X29" i="1" s="1"/>
  <c r="K63" i="3"/>
  <c r="K64" i="3" s="1"/>
  <c r="K66" i="3" s="1"/>
  <c r="J31" i="1" s="1"/>
  <c r="O31" i="1" s="1"/>
  <c r="X31" i="1" s="1"/>
  <c r="E68" i="3"/>
  <c r="E69" i="3" s="1"/>
  <c r="E71" i="3" s="1"/>
  <c r="N23" i="1" s="1"/>
  <c r="I68" i="3"/>
  <c r="I69" i="3" s="1"/>
  <c r="I71" i="3" s="1"/>
  <c r="N29" i="1" s="1"/>
  <c r="F63" i="3"/>
  <c r="F64" i="3" s="1"/>
  <c r="F66" i="3" s="1"/>
  <c r="J24" i="1" s="1"/>
  <c r="O24" i="1" s="1"/>
  <c r="X24" i="1" s="1"/>
  <c r="G63" i="3"/>
  <c r="G64" i="3" s="1"/>
  <c r="G66" i="3" s="1"/>
  <c r="J27" i="1" s="1"/>
  <c r="O27" i="1" s="1"/>
  <c r="X27" i="1" s="1"/>
  <c r="F68" i="3"/>
  <c r="F69" i="3" s="1"/>
  <c r="F71" i="3" s="1"/>
  <c r="N24" i="1" s="1"/>
  <c r="J69" i="3"/>
  <c r="J71" i="3" s="1"/>
  <c r="N30" i="1" s="1"/>
  <c r="K46" i="2"/>
  <c r="J15" i="1" s="1"/>
  <c r="O15" i="1" s="1"/>
  <c r="G46" i="2"/>
  <c r="J21" i="1" s="1"/>
  <c r="O21" i="1" s="1"/>
  <c r="J46" i="2"/>
  <c r="J14" i="1" s="1"/>
  <c r="O14" i="1" s="1"/>
  <c r="F46" i="2"/>
  <c r="J20" i="1" s="1"/>
  <c r="O20" i="1" s="1"/>
  <c r="I46" i="2"/>
  <c r="J13" i="1" s="1"/>
  <c r="O13" i="1" s="1"/>
  <c r="E46" i="2"/>
  <c r="J19" i="1" s="1"/>
  <c r="O19" i="1" s="1"/>
  <c r="H46" i="2"/>
  <c r="J17" i="1" s="1"/>
  <c r="O17" i="1" s="1"/>
  <c r="D46" i="2"/>
  <c r="J18" i="1" s="1"/>
  <c r="O18" i="1" s="1"/>
  <c r="C46" i="2"/>
  <c r="J16" i="1" s="1"/>
  <c r="O16" i="1" s="1"/>
  <c r="F42" i="3"/>
  <c r="F44" i="3" s="1"/>
  <c r="F61" i="3" s="1"/>
  <c r="C42" i="3"/>
  <c r="C44" i="3" s="1"/>
  <c r="C61" i="3" s="1"/>
  <c r="K42" i="3"/>
  <c r="K44" i="3" s="1"/>
  <c r="K61" i="3" s="1"/>
  <c r="J42" i="3"/>
  <c r="J44" i="3" s="1"/>
  <c r="J61" i="3" s="1"/>
  <c r="N42" i="3"/>
  <c r="N44" i="3" s="1"/>
  <c r="N61" i="3" s="1"/>
  <c r="D42" i="3"/>
  <c r="D44" i="3" s="1"/>
  <c r="D61" i="3" s="1"/>
  <c r="H42" i="3"/>
  <c r="H44" i="3" s="1"/>
  <c r="H61" i="3" s="1"/>
  <c r="E42" i="3"/>
  <c r="E44" i="3" s="1"/>
  <c r="E61" i="3" s="1"/>
  <c r="I42" i="3"/>
  <c r="I44" i="3" s="1"/>
  <c r="I61" i="3" s="1"/>
  <c r="G42" i="3"/>
  <c r="G44" i="3" s="1"/>
  <c r="G61" i="3" s="1"/>
  <c r="L42" i="3"/>
  <c r="L44" i="3" s="1"/>
  <c r="L61" i="3" s="1"/>
  <c r="M42" i="3"/>
  <c r="M44" i="3" s="1"/>
  <c r="M61" i="3" s="1"/>
  <c r="K16" i="1" l="1"/>
  <c r="P16" i="1"/>
  <c r="W16" i="1" s="1"/>
  <c r="K15" i="1"/>
  <c r="P15" i="1"/>
  <c r="W15" i="1" s="1"/>
  <c r="K20" i="1"/>
  <c r="P20" i="1"/>
  <c r="W20" i="1" s="1"/>
  <c r="K17" i="1"/>
  <c r="P17" i="1"/>
  <c r="W17" i="1" s="1"/>
  <c r="K14" i="1"/>
  <c r="P14" i="1"/>
  <c r="W14" i="1" s="1"/>
  <c r="K19" i="1"/>
  <c r="P19" i="1"/>
  <c r="W19" i="1" s="1"/>
  <c r="K21" i="1"/>
  <c r="P21" i="1"/>
  <c r="W21" i="1" s="1"/>
  <c r="K13" i="1"/>
  <c r="P13" i="1"/>
  <c r="W13" i="1" s="1"/>
  <c r="K18" i="1"/>
  <c r="P18" i="1"/>
  <c r="W18" i="1" s="1"/>
  <c r="K25" i="1"/>
  <c r="K27" i="1"/>
  <c r="K31" i="1"/>
  <c r="K28" i="1"/>
  <c r="K22" i="1"/>
  <c r="K23" i="1"/>
  <c r="K24" i="1"/>
  <c r="K29" i="1"/>
  <c r="K32" i="1"/>
  <c r="K30" i="1"/>
  <c r="K26" i="1"/>
  <c r="Z26" i="1" l="1"/>
  <c r="AA26" i="1" s="1"/>
  <c r="C8" i="12" s="1"/>
  <c r="H8" i="12" s="1"/>
  <c r="Z32" i="1"/>
  <c r="AA32" i="1" s="1"/>
  <c r="C14" i="12" s="1"/>
  <c r="H14" i="12" s="1"/>
  <c r="Z24" i="1"/>
  <c r="AA24" i="1" s="1"/>
  <c r="C6" i="12" s="1"/>
  <c r="H6" i="12" s="1"/>
  <c r="Z23" i="1"/>
  <c r="AA23" i="1" s="1"/>
  <c r="Z28" i="1"/>
  <c r="AA28" i="1" s="1"/>
  <c r="C10" i="12" s="1"/>
  <c r="H10" i="12" s="1"/>
  <c r="Z27" i="1"/>
  <c r="AA27" i="1" s="1"/>
  <c r="Z25" i="1"/>
  <c r="AA25" i="1" s="1"/>
  <c r="Z30" i="1"/>
  <c r="AA30" i="1" s="1"/>
  <c r="Z29" i="1"/>
  <c r="AA29" i="1" s="1"/>
  <c r="Z22" i="1"/>
  <c r="AA22" i="1" s="1"/>
  <c r="Z31" i="1"/>
  <c r="AA31" i="1" s="1"/>
  <c r="Y21" i="1"/>
  <c r="Y20" i="1"/>
  <c r="Y13" i="1"/>
  <c r="AB13" i="1" s="1"/>
  <c r="Y19" i="1"/>
  <c r="AB19" i="1" s="1"/>
  <c r="Y17" i="1"/>
  <c r="AB17" i="1" s="1"/>
  <c r="Y15" i="1"/>
  <c r="AB15" i="1" s="1"/>
  <c r="Y18" i="1"/>
  <c r="AB18" i="1" s="1"/>
  <c r="Y14" i="1"/>
  <c r="AB14" i="1" s="1"/>
  <c r="Y16" i="1"/>
  <c r="AB16" i="1" s="1"/>
  <c r="P30" i="1"/>
  <c r="W30" i="1" s="1"/>
  <c r="P32" i="1"/>
  <c r="W32" i="1" s="1"/>
  <c r="P24" i="1"/>
  <c r="W24" i="1" s="1"/>
  <c r="P23" i="1"/>
  <c r="W23" i="1" s="1"/>
  <c r="P28" i="1"/>
  <c r="W28" i="1" s="1"/>
  <c r="P27" i="1"/>
  <c r="W27" i="1" s="1"/>
  <c r="P25" i="1"/>
  <c r="W25" i="1" s="1"/>
  <c r="P29" i="1"/>
  <c r="W29" i="1" s="1"/>
  <c r="P31" i="1"/>
  <c r="W31" i="1" s="1"/>
  <c r="P26" i="1"/>
  <c r="W26" i="1" s="1"/>
  <c r="P22" i="1"/>
  <c r="W22" i="1" s="1"/>
  <c r="C9" i="12" l="1"/>
  <c r="H9" i="12" s="1"/>
  <c r="C13" i="12"/>
  <c r="H13" i="12" s="1"/>
  <c r="C12" i="12"/>
  <c r="H12" i="12" s="1"/>
  <c r="C11" i="12"/>
  <c r="H11" i="12" s="1"/>
  <c r="C7" i="12"/>
  <c r="H7" i="12" s="1"/>
  <c r="C4" i="12"/>
  <c r="H4" i="12" s="1"/>
  <c r="C5" i="12"/>
  <c r="H5" i="12" s="1"/>
  <c r="AG15" i="1"/>
  <c r="AI15" i="1" s="1"/>
  <c r="AD19" i="1"/>
  <c r="AE19" i="1" s="1"/>
  <c r="AD18" i="1"/>
  <c r="AE18" i="1" s="1"/>
  <c r="AG13" i="1"/>
  <c r="AI13" i="1" s="1"/>
  <c r="AD16" i="1"/>
  <c r="AE16" i="1" s="1"/>
  <c r="AD17" i="1"/>
  <c r="AE17" i="1" s="1"/>
  <c r="AD14" i="1"/>
  <c r="AE14" i="1" s="1"/>
  <c r="AG14" i="1"/>
  <c r="AI14" i="1" s="1"/>
  <c r="AG16" i="1"/>
  <c r="AI16" i="1" s="1"/>
  <c r="AG18" i="1"/>
  <c r="AI18" i="1" s="1"/>
  <c r="AG17" i="1"/>
  <c r="AI17" i="1" s="1"/>
  <c r="AD13" i="1"/>
  <c r="AE13" i="1" s="1"/>
  <c r="AB20" i="1"/>
  <c r="Y24" i="1"/>
  <c r="AD15" i="1"/>
  <c r="AE15" i="1" s="1"/>
  <c r="AG19" i="1"/>
  <c r="AI19" i="1" s="1"/>
  <c r="AB21" i="1"/>
  <c r="Y22" i="1"/>
  <c r="AB22" i="1" s="1"/>
  <c r="AN22" i="1" s="1"/>
  <c r="Y25" i="1"/>
  <c r="Y30" i="1"/>
  <c r="Y28" i="1"/>
  <c r="Y29" i="1"/>
  <c r="Y26" i="1"/>
  <c r="AB26" i="1" s="1"/>
  <c r="Y31" i="1"/>
  <c r="AB31" i="1" s="1"/>
  <c r="AN31" i="1" s="1"/>
  <c r="Y27" i="1"/>
  <c r="AB27" i="1" s="1"/>
  <c r="Y23" i="1"/>
  <c r="Y32" i="1"/>
  <c r="AN26" i="1" l="1"/>
  <c r="AN27" i="1"/>
  <c r="AG21" i="1"/>
  <c r="AI21" i="1" s="1"/>
  <c r="AG20" i="1"/>
  <c r="AI20" i="1" s="1"/>
  <c r="AB24" i="1"/>
  <c r="AB25" i="1"/>
  <c r="AN25" i="1" s="1"/>
  <c r="AD21" i="1"/>
  <c r="AE21" i="1" s="1"/>
  <c r="AB29" i="1"/>
  <c r="AN29" i="1" s="1"/>
  <c r="AB32" i="1"/>
  <c r="AN32" i="1" s="1"/>
  <c r="AB23" i="1"/>
  <c r="AN23" i="1" s="1"/>
  <c r="AB30" i="1"/>
  <c r="AN30" i="1" s="1"/>
  <c r="AD20" i="1"/>
  <c r="AE20" i="1" s="1"/>
  <c r="AB28" i="1"/>
  <c r="AG27" i="1"/>
  <c r="AI27" i="1" s="1"/>
  <c r="AD27" i="1"/>
  <c r="AE27" i="1" s="1"/>
  <c r="AD31" i="1"/>
  <c r="AE31" i="1" s="1"/>
  <c r="AG31" i="1"/>
  <c r="AI31" i="1" s="1"/>
  <c r="AD26" i="1"/>
  <c r="AE26" i="1" s="1"/>
  <c r="AG26" i="1"/>
  <c r="AI26" i="1" s="1"/>
  <c r="AN28" i="1" l="1"/>
  <c r="AN24" i="1"/>
  <c r="AG28" i="1"/>
  <c r="AI28" i="1" s="1"/>
  <c r="AG32" i="1"/>
  <c r="AI32" i="1" s="1"/>
  <c r="AD29" i="1"/>
  <c r="AE29" i="1" s="1"/>
  <c r="AG25" i="1"/>
  <c r="AI25" i="1" s="1"/>
  <c r="AG30" i="1"/>
  <c r="AI30" i="1" s="1"/>
  <c r="AG22" i="1"/>
  <c r="AI22" i="1" s="1"/>
  <c r="AG23" i="1"/>
  <c r="AI23" i="1" s="1"/>
  <c r="AD22" i="1"/>
  <c r="AE22" i="1" s="1"/>
  <c r="AG24" i="1"/>
  <c r="AI24" i="1" s="1"/>
  <c r="AD24" i="1"/>
  <c r="AE24" i="1" s="1"/>
  <c r="AD28" i="1"/>
  <c r="AE28" i="1" s="1"/>
  <c r="AD23" i="1"/>
  <c r="AE23" i="1" s="1"/>
  <c r="AG29" i="1"/>
  <c r="AI29" i="1" s="1"/>
  <c r="AD25" i="1"/>
  <c r="AE25" i="1" s="1"/>
  <c r="AD30" i="1"/>
  <c r="AE30" i="1" s="1"/>
  <c r="AD32" i="1"/>
  <c r="AE32" i="1" s="1"/>
</calcChain>
</file>

<file path=xl/sharedStrings.xml><?xml version="1.0" encoding="utf-8"?>
<sst xmlns="http://schemas.openxmlformats.org/spreadsheetml/2006/main" count="1317" uniqueCount="596">
  <si>
    <t>12" bolt</t>
  </si>
  <si>
    <t>Bracket Assembly</t>
  </si>
  <si>
    <t>Lag screw</t>
  </si>
  <si>
    <t>Wire</t>
  </si>
  <si>
    <t>Spool insulator</t>
  </si>
  <si>
    <t>Wedge clamp</t>
  </si>
  <si>
    <t>Square washer</t>
  </si>
  <si>
    <t>One wire rack</t>
  </si>
  <si>
    <t>Labor</t>
  </si>
  <si>
    <t>Fixture</t>
  </si>
  <si>
    <t>PEC</t>
  </si>
  <si>
    <t>Fixture Type</t>
  </si>
  <si>
    <t>Open Bottom</t>
  </si>
  <si>
    <t xml:space="preserve">Flood </t>
  </si>
  <si>
    <t>4500-6000</t>
  </si>
  <si>
    <t>Lumens range</t>
  </si>
  <si>
    <t>HPS Equivalent wattage</t>
  </si>
  <si>
    <t>LED Wattage</t>
  </si>
  <si>
    <t>70w-100w</t>
  </si>
  <si>
    <t>14000-17500</t>
  </si>
  <si>
    <t>22000-28000</t>
  </si>
  <si>
    <t>35000-50000</t>
  </si>
  <si>
    <t>150w-200w</t>
  </si>
  <si>
    <t>400w</t>
  </si>
  <si>
    <t>1000w</t>
  </si>
  <si>
    <t>Cobra</t>
  </si>
  <si>
    <t>70w</t>
  </si>
  <si>
    <t>150w</t>
  </si>
  <si>
    <t>250w</t>
  </si>
  <si>
    <t>2500-4000</t>
  </si>
  <si>
    <t>13000-16500</t>
  </si>
  <si>
    <t>22000-29000</t>
  </si>
  <si>
    <t>N/A</t>
  </si>
  <si>
    <t>Lag screws (2)</t>
  </si>
  <si>
    <t>12" bolt (1)</t>
  </si>
  <si>
    <t>One wire racks (2)</t>
  </si>
  <si>
    <t>Spool insulators (2)</t>
  </si>
  <si>
    <t>Compression connectors (2)</t>
  </si>
  <si>
    <t>Wedge clamps (2)</t>
  </si>
  <si>
    <t>Material subtotal</t>
  </si>
  <si>
    <t>Material burden</t>
  </si>
  <si>
    <t>Materials</t>
  </si>
  <si>
    <t>Investment Per Unit</t>
  </si>
  <si>
    <t>Material total</t>
  </si>
  <si>
    <t>Install fixture</t>
  </si>
  <si>
    <t>Install wire</t>
  </si>
  <si>
    <t>Labor subtotal</t>
  </si>
  <si>
    <t>Labor burden</t>
  </si>
  <si>
    <t>Labor total</t>
  </si>
  <si>
    <t>Investment per unit total</t>
  </si>
  <si>
    <t>Kentucky Utilities</t>
  </si>
  <si>
    <t>150 feet of #4 duplex</t>
  </si>
  <si>
    <t>Pole</t>
  </si>
  <si>
    <t>Ground rod clamp</t>
  </si>
  <si>
    <t>Ground rod</t>
  </si>
  <si>
    <t>PVC 1" ell</t>
  </si>
  <si>
    <t>Install fuse/holder/sleeve</t>
  </si>
  <si>
    <t>Terminate connections</t>
  </si>
  <si>
    <t>Contemporary</t>
  </si>
  <si>
    <t>Colonial</t>
  </si>
  <si>
    <t>Acorn</t>
  </si>
  <si>
    <t>4000-7000</t>
  </si>
  <si>
    <t>8000-11000</t>
  </si>
  <si>
    <t>13500-16500</t>
  </si>
  <si>
    <t>21000-28000</t>
  </si>
  <si>
    <t>45000-50000</t>
  </si>
  <si>
    <t>200w-250w</t>
  </si>
  <si>
    <t>100w</t>
  </si>
  <si>
    <t>One hold straps (3)</t>
  </si>
  <si>
    <t>Standoff brackets (3)</t>
  </si>
  <si>
    <t>Schedule 40 pvc conduit</t>
  </si>
  <si>
    <t>Compression connectors (4)</t>
  </si>
  <si>
    <t>Acorn (Historic)</t>
  </si>
  <si>
    <t>Item Type</t>
  </si>
  <si>
    <t>Item Description</t>
  </si>
  <si>
    <t>IIN #</t>
  </si>
  <si>
    <t>Price  Each</t>
  </si>
  <si>
    <t>LED Cobra (2500-4000 lumens, 70w equivalent)</t>
  </si>
  <si>
    <t>LED Cobra (5500-8200 lumens, 150w equivalent)</t>
  </si>
  <si>
    <t>LED Cobra (13000-16500 lumens, 250w equivalent)</t>
  </si>
  <si>
    <t>Fxiture</t>
  </si>
  <si>
    <t>LED Cobra (22000-29000 lumens, 400w equivalent)</t>
  </si>
  <si>
    <t>LED Acorn (4000-7000 lumens, 70w-100w equivalent)</t>
  </si>
  <si>
    <t xml:space="preserve">Fixture </t>
  </si>
  <si>
    <t>LED Open Bottom (4500-6000 lumens, 100w equivalent)</t>
  </si>
  <si>
    <t>LED Contemporary (4000-7000 lumens, 70w-100w equivalent) Black</t>
  </si>
  <si>
    <t>LED Contemporary (4000-7000 lumens, 70w-100w equivalent) Dark Bronze</t>
  </si>
  <si>
    <t>LED Contemporary (8000-11000 lumens, 150w equivalent) Black</t>
  </si>
  <si>
    <t>LED Contemporary (8000-11000 lumens, 150w equivalent) Dark Bronze</t>
  </si>
  <si>
    <t>LED Contemporary (13500-15000 lumens, 200w-250w equivalent) Black</t>
  </si>
  <si>
    <t>LED Contemporary (13500-15000 lumens, 200w-250w equivalent) Dark Bronze</t>
  </si>
  <si>
    <t>LED Contemporary (21000-28000 lumens, 400w equivalent) Black</t>
  </si>
  <si>
    <t>LED Contemporary (21000-28000 lumens, 400w equivalent) Dark Bronze</t>
  </si>
  <si>
    <t>LED Contemproary (45000-50000 lumens, 1000w MH equivalent) Black</t>
  </si>
  <si>
    <t>LED Contemproary (45000-50000 lumens, 1000w MH equivalent) Dark Bronze</t>
  </si>
  <si>
    <t>LED Floodlight (9500 lumens, 70w-100w equivalent)</t>
  </si>
  <si>
    <t>LED Floodlight (16000-17000  lumens, 150w-200w)</t>
  </si>
  <si>
    <t>LED Floodilght (21000-28000 lumens, 400w)</t>
  </si>
  <si>
    <t>LED Floodlight (45000-50000 lumens, 1000w MH equivalent)</t>
  </si>
  <si>
    <t>Long-life PEC</t>
  </si>
  <si>
    <t>28' MTH black aluminum direct buried - no arm (8' arm separate item)</t>
  </si>
  <si>
    <t>POLE,ALUMINUM,25F MH,ORNAMENTAL,EMBEDDED,SINGLE 6F</t>
  </si>
  <si>
    <t>POLE,ALUMINUM,30F MH,ORNAMENTAL,EMBEDDED,SINGLE 6F</t>
  </si>
  <si>
    <t>30' Ornamental ped mount aluminum - 6' mast arm</t>
  </si>
  <si>
    <t>30' Ornamental ped mount aluminum - 8' mast arm</t>
  </si>
  <si>
    <t>30' Ornamental ped mount aluminum - 10' mast arm</t>
  </si>
  <si>
    <t>35' Ornamental ped mount aluminum - 10' mast arm</t>
  </si>
  <si>
    <t xml:space="preserve">16' MTH aluminum direct buried contemporary </t>
  </si>
  <si>
    <t>POLE,AL,20',BRZ,16' MTH DIR EMBEDDED,HAN</t>
  </si>
  <si>
    <t>30' MTH aluminum direct buried contemporary (bronze)</t>
  </si>
  <si>
    <t>30' MTH aluminum direct buried contemporary (black)</t>
  </si>
  <si>
    <t>30' aluminum ped mount contemporary (bronze)</t>
  </si>
  <si>
    <t>30' aluminum ped mount contemporary (black)</t>
  </si>
  <si>
    <t>3008584/7001414</t>
  </si>
  <si>
    <t>POLE,ALUMINUM,11' LONG,8' MTH,BLACK,HAND</t>
  </si>
  <si>
    <t>10' MTH Decorative smooth direct buried</t>
  </si>
  <si>
    <t>10' MTH straight fluted direct buried</t>
  </si>
  <si>
    <t>12' MTH Decorative smooth direct buried</t>
  </si>
  <si>
    <t>12' MTH Decorative smooth ped mount</t>
  </si>
  <si>
    <t>14' MTH Decorative smooth direct buried</t>
  </si>
  <si>
    <t>14' MTH Decorative smooth ped mount</t>
  </si>
  <si>
    <t>14' Acorn Historic Direct Buried</t>
  </si>
  <si>
    <t>14' Acorn Historic ped mount</t>
  </si>
  <si>
    <t>Mast arm</t>
  </si>
  <si>
    <t>2'</t>
  </si>
  <si>
    <t>4'</t>
  </si>
  <si>
    <t>6'</t>
  </si>
  <si>
    <t>8' (wood pole)</t>
  </si>
  <si>
    <t>10'</t>
  </si>
  <si>
    <t>12'</t>
  </si>
  <si>
    <t>15'</t>
  </si>
  <si>
    <t>4' contemporary mast arm</t>
  </si>
  <si>
    <t>0933227</t>
  </si>
  <si>
    <t>Bracket, Lighting, Single Directional Fixt</t>
  </si>
  <si>
    <t>#6</t>
  </si>
  <si>
    <t>#4</t>
  </si>
  <si>
    <t>#12/2</t>
  </si>
  <si>
    <t>Fuse</t>
  </si>
  <si>
    <t>Ground</t>
  </si>
  <si>
    <t xml:space="preserve">Ground rod </t>
  </si>
  <si>
    <t>Misc</t>
  </si>
  <si>
    <t>Compression connector (average)</t>
  </si>
  <si>
    <t>See comment</t>
  </si>
  <si>
    <t>One hole strap</t>
  </si>
  <si>
    <t>Standoff bracket</t>
  </si>
  <si>
    <t>Conduit</t>
  </si>
  <si>
    <t>Lamp</t>
  </si>
  <si>
    <t>LAMP, HPS, 1000W</t>
  </si>
  <si>
    <t>LAMP, HPS, 100W, 9500L</t>
  </si>
  <si>
    <t>LAMP, HPS, 150W, 16000L</t>
  </si>
  <si>
    <t>LAMP, HPS, 200W, 22000L</t>
  </si>
  <si>
    <t>LAMP, HPS, 250W, 100V, 27500L</t>
  </si>
  <si>
    <t>LAMP, HPS, 400W, 100V, 50000L</t>
  </si>
  <si>
    <t>LAMP, HPS, 50W, 4000L, CLEAR/ECO, MOGUL</t>
  </si>
  <si>
    <t>LAMP, HPS, 70W, 5800L</t>
  </si>
  <si>
    <t>LAMP, MH, 1000W, 110000L</t>
  </si>
  <si>
    <t>LAMP, MH, 175W, 14000L</t>
  </si>
  <si>
    <t>LAMP, MH, 400W, 36000L</t>
  </si>
  <si>
    <t>LAMP, PULSE START MH, 150W, MEDIUM BASE</t>
  </si>
  <si>
    <t>LAMP, PULSE START MH, 350W, MOGUL BASE</t>
  </si>
  <si>
    <t>LAMP, MV, 175W, 8000L, DELUXE WHITE</t>
  </si>
  <si>
    <t>LAMP, MV, 250W, 13000L, DELUXE WHITE</t>
  </si>
  <si>
    <t>LAMP, MV, 400W, 25000L, DELUXE WHITE</t>
  </si>
  <si>
    <t>Burden</t>
  </si>
  <si>
    <t>KU material burden (4/1/18)</t>
  </si>
  <si>
    <t>Install fixture (KU)</t>
  </si>
  <si>
    <t xml:space="preserve">Labor </t>
  </si>
  <si>
    <t>KU labor burden (4/1/18)</t>
  </si>
  <si>
    <t>KU install cable (overhead)</t>
  </si>
  <si>
    <t>KU install cable (underground)</t>
  </si>
  <si>
    <t>KU install fuse/holder</t>
  </si>
  <si>
    <t>KU terminate connections</t>
  </si>
  <si>
    <t>KU install direct buried pole  (17' to 40')</t>
  </si>
  <si>
    <t>KU install ped mount pole (17' to 40')</t>
  </si>
  <si>
    <t>KU install direct buried pole (8' to 16')</t>
  </si>
  <si>
    <t>KU install ped mount pole (8' to 16')</t>
  </si>
  <si>
    <t>KU install concrete base</t>
  </si>
  <si>
    <t>Install concrete base*</t>
  </si>
  <si>
    <t>25' MTH aluminum direct buried contemporary (black)</t>
  </si>
  <si>
    <t>Install secondary riser</t>
  </si>
  <si>
    <t>KU Install secondary riser</t>
  </si>
  <si>
    <t>Install pole</t>
  </si>
  <si>
    <t>30' Brushed aluminum davit - 6' arm</t>
  </si>
  <si>
    <t>30' Brushed aluminum davit - 7' arm (includes t-base?)</t>
  </si>
  <si>
    <t>Total</t>
  </si>
  <si>
    <t>Rate Code</t>
  </si>
  <si>
    <t>Estimated Investment Per Unit</t>
  </si>
  <si>
    <t>LG&amp;E/KU</t>
  </si>
  <si>
    <t>Ac2</t>
  </si>
  <si>
    <t>KU</t>
  </si>
  <si>
    <t>OH</t>
  </si>
  <si>
    <t>UG</t>
  </si>
  <si>
    <t>Fixture materials burdened</t>
  </si>
  <si>
    <t>Pole materials subtotal</t>
  </si>
  <si>
    <t>Pole materials burdened</t>
  </si>
  <si>
    <t xml:space="preserve">Fixture materials subtotal </t>
  </si>
  <si>
    <t>Pole labor burdened</t>
  </si>
  <si>
    <t>Fixture labor burdened</t>
  </si>
  <si>
    <t>Pole Total Investment</t>
  </si>
  <si>
    <t>Fixture Total Investment</t>
  </si>
  <si>
    <t>Bulb Type</t>
  </si>
  <si>
    <t>LED</t>
  </si>
  <si>
    <t>0949519</t>
  </si>
  <si>
    <t>0454443</t>
  </si>
  <si>
    <t>20 amp fuse and  (KU)</t>
  </si>
  <si>
    <t>Fuse holder (KU)</t>
  </si>
  <si>
    <t>1" conduit - schedule 40 (per foot)</t>
  </si>
  <si>
    <t>CONTROL,PHOTOELECTRIC,105/130V,GRAY COVER,ELECTRONIC,1000W,1800VA,TIME DELAYED,1.5 FCS TURN ON,PHOTOTRANSISTOR,MINIMUM 160 JOULE MOV ARRESTER,TWISTLOCK BASE,DUSK TO DAWN,USE IN 120V ONLY</t>
  </si>
  <si>
    <t>CONTROL,PHOTOELECTRIC,105/285V,BLUE COVER,ELECTRONIC,1000W,1800VA,TIMED DELAYED,1.5 FCS TURN ON,PHOTOTRANSISTOR PHOTOCELL,MINIMUM 160 JOULE MOV ARRESTER,TWISTLOCK BASE,DUSK TO DAWN,FOR USE ON 120V,208V,240V AND 277V</t>
  </si>
  <si>
    <t>HPS Equivalent Wattage</t>
  </si>
  <si>
    <t>Capital</t>
  </si>
  <si>
    <t>Capital Total</t>
  </si>
  <si>
    <t>OM</t>
  </si>
  <si>
    <t>OM Total</t>
  </si>
  <si>
    <t>Grand Total</t>
  </si>
  <si>
    <t>KU Spend</t>
  </si>
  <si>
    <t>NEW BUSINESS/STREET LIGHTING</t>
  </si>
  <si>
    <t>REPAIR / REPLACE DEF ST LIGHTING</t>
  </si>
  <si>
    <t>REPAIR / REP DEF ST LIGHTING</t>
  </si>
  <si>
    <t>Total Bulbs Replaced</t>
  </si>
  <si>
    <t>KU repair/replace bulb, PEC, starter</t>
  </si>
  <si>
    <t>Average</t>
  </si>
  <si>
    <t>Maintenance per fixture</t>
  </si>
  <si>
    <t>Total per year</t>
  </si>
  <si>
    <t>LED Colonial (4000-7000 lumens, 70w-100w equivalent)</t>
  </si>
  <si>
    <t>Shared Data Across all LED Lighting options (KU)</t>
  </si>
  <si>
    <t>Capitalization</t>
  </si>
  <si>
    <t>Annual</t>
  </si>
  <si>
    <t>Weighted</t>
  </si>
  <si>
    <t xml:space="preserve">     Ratio</t>
  </si>
  <si>
    <t>R.O.E.</t>
  </si>
  <si>
    <t>Cost</t>
  </si>
  <si>
    <t>Short Term Debt</t>
  </si>
  <si>
    <t>Long Term Debt</t>
  </si>
  <si>
    <t>Total Debt</t>
  </si>
  <si>
    <t>Total WACC</t>
  </si>
  <si>
    <t>Overall Cost of Capital</t>
  </si>
  <si>
    <t>Carrying Charge Income Tax Calculation</t>
  </si>
  <si>
    <t>Corporate Tax Rate:</t>
  </si>
  <si>
    <t xml:space="preserve">Carrying Charge: </t>
  </si>
  <si>
    <t xml:space="preserve">(Weighted Cost of Equity / (1- CORPORATE TAX RATE)) x CORPORATE TAX RATE </t>
  </si>
  <si>
    <t>(</t>
  </si>
  <si>
    <r>
      <t>/  (</t>
    </r>
    <r>
      <rPr>
        <b/>
        <sz val="12"/>
        <rFont val="Arial"/>
        <family val="2"/>
      </rPr>
      <t>1</t>
    </r>
    <r>
      <rPr>
        <sz val="12"/>
        <rFont val="Arial"/>
        <family val="2"/>
      </rPr>
      <t xml:space="preserve">  -</t>
    </r>
  </si>
  <si>
    <t>))           x</t>
  </si>
  <si>
    <t>Overall Rate of Return</t>
  </si>
  <si>
    <t>Straight Line Depreciation</t>
  </si>
  <si>
    <t>year useful life</t>
  </si>
  <si>
    <t>Income Taxes</t>
  </si>
  <si>
    <t>Property Tax</t>
  </si>
  <si>
    <t>TOTAL CARRYING CHARGE</t>
  </si>
  <si>
    <t>Distribution Energy</t>
  </si>
  <si>
    <t>per kWh:</t>
  </si>
  <si>
    <t>From KU Tariff (Sheet No. 37)</t>
  </si>
  <si>
    <t>Base Energy - FAC</t>
  </si>
  <si>
    <t>Base Energy - ECR</t>
  </si>
  <si>
    <t>Lumens</t>
  </si>
  <si>
    <t>Operation and Maintenance ($ / yr)</t>
  </si>
  <si>
    <t>Distribution Energy per kWh ($ / yr)</t>
  </si>
  <si>
    <t>Monthly Rate ($/mo)</t>
  </si>
  <si>
    <t>Current Rates</t>
  </si>
  <si>
    <t>wattage</t>
  </si>
  <si>
    <t>KUUM_401</t>
  </si>
  <si>
    <t>KUUM_404</t>
  </si>
  <si>
    <t>KUUM_409</t>
  </si>
  <si>
    <t>KUUM_410</t>
  </si>
  <si>
    <t>KUUM_411</t>
  </si>
  <si>
    <t>KUUM_412</t>
  </si>
  <si>
    <t>KUUM_413</t>
  </si>
  <si>
    <t>KUUM_414</t>
  </si>
  <si>
    <t>KUUM_415</t>
  </si>
  <si>
    <t>KUUM_420</t>
  </si>
  <si>
    <t>KUUM_421</t>
  </si>
  <si>
    <t>KUUM_422</t>
  </si>
  <si>
    <t>KUUM_424</t>
  </si>
  <si>
    <t>KUUM_425</t>
  </si>
  <si>
    <t>KUUM_426</t>
  </si>
  <si>
    <t>KUUM_428</t>
  </si>
  <si>
    <t>KUUM_430</t>
  </si>
  <si>
    <t>KUUM_440</t>
  </si>
  <si>
    <t>KUUM_446</t>
  </si>
  <si>
    <t>KUUM_447</t>
  </si>
  <si>
    <t>KUUM_448</t>
  </si>
  <si>
    <t>KUUM_450</t>
  </si>
  <si>
    <t>KUUM_451</t>
  </si>
  <si>
    <t>KUUM_452</t>
  </si>
  <si>
    <t>KUUM_454</t>
  </si>
  <si>
    <t>KUUM_455</t>
  </si>
  <si>
    <t>KUUM_456</t>
  </si>
  <si>
    <t>KUUM_457</t>
  </si>
  <si>
    <t>KUUM_458</t>
  </si>
  <si>
    <t>KUUM_459</t>
  </si>
  <si>
    <t>KUUM_460</t>
  </si>
  <si>
    <t>KUUM_461</t>
  </si>
  <si>
    <t>KUUM_462</t>
  </si>
  <si>
    <t>KUUM_463</t>
  </si>
  <si>
    <t>KUUM_464</t>
  </si>
  <si>
    <t>KUUM_465</t>
  </si>
  <si>
    <t>KUUM_466</t>
  </si>
  <si>
    <t>KUUM_467</t>
  </si>
  <si>
    <t>KUUM_468</t>
  </si>
  <si>
    <t>KUUM_469</t>
  </si>
  <si>
    <t>KUUM_470</t>
  </si>
  <si>
    <t>KUUM_471</t>
  </si>
  <si>
    <t>KUUM_472</t>
  </si>
  <si>
    <t>KUUM_473</t>
  </si>
  <si>
    <t>KUUM_474</t>
  </si>
  <si>
    <t>KUUM_475</t>
  </si>
  <si>
    <t>KUUM_476</t>
  </si>
  <si>
    <t>KUUM_477</t>
  </si>
  <si>
    <t>KUUM_478</t>
  </si>
  <si>
    <t>KUUM_479</t>
  </si>
  <si>
    <t>KUUM_487</t>
  </si>
  <si>
    <t>KUUM_488</t>
  </si>
  <si>
    <t>KUUM_489</t>
  </si>
  <si>
    <t>KUUM_490</t>
  </si>
  <si>
    <t>KUUM_491</t>
  </si>
  <si>
    <t>KUUM_492</t>
  </si>
  <si>
    <t>KUUM_493</t>
  </si>
  <si>
    <t>KUUM_494</t>
  </si>
  <si>
    <t>KUUM_495</t>
  </si>
  <si>
    <t>KUUM_496</t>
  </si>
  <si>
    <t>KUUM_497</t>
  </si>
  <si>
    <t>KUUM_498</t>
  </si>
  <si>
    <t>KUUM_499</t>
  </si>
  <si>
    <t>Weighted Average Cost of Capital (WACC) (2016 Rate Case Settlement)</t>
  </si>
  <si>
    <t>From Folder "\Rate Case 2016\Settlement\ORDER..."</t>
  </si>
  <si>
    <t>Common Equity</t>
  </si>
  <si>
    <t>Note:</t>
  </si>
  <si>
    <t>Distribution Energy Rate (Lighting Energy Service Standard Rate)</t>
  </si>
  <si>
    <t>Unit Cost - FAC ($ / mo)</t>
  </si>
  <si>
    <t>Unit Cost - ECR ($ / mo)</t>
  </si>
  <si>
    <t>FAC</t>
  </si>
  <si>
    <t>ECR (LE)</t>
  </si>
  <si>
    <t>12-Month Avg. ECR Billing Adjustment (Total Bill)</t>
  </si>
  <si>
    <t>KU Billing Adjustments</t>
  </si>
  <si>
    <t>Carrying Charges - Poles</t>
  </si>
  <si>
    <t>ECR Billing Adj. ($ / mo)</t>
  </si>
  <si>
    <t>FAC Billing Adj. ($ / mo)</t>
  </si>
  <si>
    <t>Total Monthly Rate ($ / mo)</t>
  </si>
  <si>
    <t>12-Month Avg. FAC Billing Adjustment (Energy Only)</t>
  </si>
  <si>
    <t>Delta (%)</t>
  </si>
  <si>
    <t>Delta ($) (+ Increase, - Decrease)</t>
  </si>
  <si>
    <t>New</t>
  </si>
  <si>
    <t>OH/UG</t>
  </si>
  <si>
    <t>State Corporate Tax Rate (Dropped by 1% on 1/1/2018)</t>
  </si>
  <si>
    <t>Federal Benefit of State Taxes (Credit)</t>
  </si>
  <si>
    <t>TOTAL Corporate Tax Rate</t>
  </si>
  <si>
    <t xml:space="preserve"> Federal Corporate Tax Rate (As of 1/1/2018)</t>
  </si>
  <si>
    <t>JUN 2018</t>
  </si>
  <si>
    <t>KTUM_428</t>
  </si>
  <si>
    <t>9,500 Lumen Open Bottom HP Sodium</t>
  </si>
  <si>
    <t>LS 401: UG HPS Acorn 5800L Decorative</t>
  </si>
  <si>
    <t>RLS 404: OH MV Open Bottom 7000L Fixture</t>
  </si>
  <si>
    <t>KUUM_404CU</t>
  </si>
  <si>
    <t>RLS 404CU: OH MV Open Bottom 7000L Fix</t>
  </si>
  <si>
    <t>KUUM_405CU</t>
  </si>
  <si>
    <t>20,000L Cobra Head M V Std RC-405 Co Use</t>
  </si>
  <si>
    <t>KUUM_407CU</t>
  </si>
  <si>
    <t>50,000L Cobra Head HPS Std RC-407 Co Use</t>
  </si>
  <si>
    <t>KUUM_408CU</t>
  </si>
  <si>
    <t>20,000L MV Special Lighting Co Use</t>
  </si>
  <si>
    <t>RLS 409: OH HPS Cobra Head 50000L Fix</t>
  </si>
  <si>
    <t>KUUM_409CU</t>
  </si>
  <si>
    <t>RLS 409CU: OH HPS Cobra Head 50000L Fix</t>
  </si>
  <si>
    <t>RLS 410: UG HPS Acorn 4000L Historic</t>
  </si>
  <si>
    <t>LS 411: UG HPS Acorn 5800L Historic</t>
  </si>
  <si>
    <t>RLS 412: UG HPS Coach 5800L Decorative</t>
  </si>
  <si>
    <t>RLS 413: UG HPS Coach 9500L Decorative</t>
  </si>
  <si>
    <t>LS 414: UG HPS Victorian 5800L Historic</t>
  </si>
  <si>
    <t>LS 415: UG HPS Victorian 9500L Historic</t>
  </si>
  <si>
    <t>LS 420: UG HPS Acorn 9500L Decorative</t>
  </si>
  <si>
    <t>RLS 421: OH Inc Tear Drop 1000L Fix Only</t>
  </si>
  <si>
    <t>RLS 422: OH Inc Tear Drop 2500L Fix Only</t>
  </si>
  <si>
    <t>RLS 424: OH Inc Tear Drop 4000L Fix Only</t>
  </si>
  <si>
    <t>RLS 425: OH Inc Tear Drop 6000L Fix Only</t>
  </si>
  <si>
    <t>RLS 426: OH HPS Open Bottom 5800L Fix</t>
  </si>
  <si>
    <t>LS 428: OH HPS Open Bottom 9500L Fixture</t>
  </si>
  <si>
    <t>KUUM_428CU</t>
  </si>
  <si>
    <t>LS 428CU: OH HPS Open Bottom 9500L Fix</t>
  </si>
  <si>
    <t>KUUM_429CU</t>
  </si>
  <si>
    <t>22,000L Cobra Head HPS Std Co Use</t>
  </si>
  <si>
    <t>LS 430: UG HPS Acorn 9500L Historic</t>
  </si>
  <si>
    <t>RLS 440: UG HPS Acorn 4000L Decorative</t>
  </si>
  <si>
    <t>RLS 446: OH MV Cobra Head 7000L Fixture</t>
  </si>
  <si>
    <t>RLS 447: OH MV Cobra Head 10000L Fixture</t>
  </si>
  <si>
    <t>RLS 448: OH MV Cobra Head 20000L Fixture</t>
  </si>
  <si>
    <t>KUUM_449CU</t>
  </si>
  <si>
    <t>9,500L Acorn (His. Pole) UG Co Use</t>
  </si>
  <si>
    <t>RLS 450: OH MH Directional 12000L Fix</t>
  </si>
  <si>
    <t>KUUM_450CU</t>
  </si>
  <si>
    <t>LS 450CU: OH MH Directional 12000L Fix</t>
  </si>
  <si>
    <t>LS 451: OH MH Directional 32000L Fixture</t>
  </si>
  <si>
    <t>KUUM_451CU</t>
  </si>
  <si>
    <t>LS 451CU: OH MH Directional 32000L Fix</t>
  </si>
  <si>
    <t>RLS 452: OH MH Directional 107800L Fix</t>
  </si>
  <si>
    <t>KUUM_452CU</t>
  </si>
  <si>
    <t>LS 452CU: OH MH Directional 107800L Fix</t>
  </si>
  <si>
    <t>RLS 454: OH MH Directional 12000L Fix/Po</t>
  </si>
  <si>
    <t>KUUM_454CU</t>
  </si>
  <si>
    <t>RLS 454CU: OH MH Direct 12000L Fix/Pole</t>
  </si>
  <si>
    <t>RLS 455: OH MH Directional 32000L Fix/Po</t>
  </si>
  <si>
    <t>RLS 456: OH MV Cobra 7000L Fixture/Pole</t>
  </si>
  <si>
    <t>RLS 457: OH MV Cobra 10000L Fixture/Pole</t>
  </si>
  <si>
    <t>RLS 458: OH MV Cobra 20000L Fixture/Pole</t>
  </si>
  <si>
    <t>RLS 459: OH MH Directional 107800L Fix/P</t>
  </si>
  <si>
    <t>KUUM_459CU</t>
  </si>
  <si>
    <t>RLS 459CU: OH MH Direct 107800L Fix/Pole</t>
  </si>
  <si>
    <t>RLS 460: UG MH Directional 12000L Deco</t>
  </si>
  <si>
    <t>RLS 461: OH HPS Cobra Head 4000L Fixture</t>
  </si>
  <si>
    <t>LS 462: OH HPS Cobra Head 5800L Fixture</t>
  </si>
  <si>
    <t>LS 463: OH HPS Cobra Head 9500L Fixture</t>
  </si>
  <si>
    <t>KUUM_463CU</t>
  </si>
  <si>
    <t>LS 463CU: OH HPS Cobra Hd 9500L Fixture</t>
  </si>
  <si>
    <t>LS 464: OH HPS Cobra Head 22000L Fixture</t>
  </si>
  <si>
    <t>KUUM_464CU</t>
  </si>
  <si>
    <t>LS 464CU: OH HPS Cobra Hd 22000L Fixture</t>
  </si>
  <si>
    <t>LS 465: OH HPS Cobra Head 50000L Fixture</t>
  </si>
  <si>
    <t>KUUM_465CU</t>
  </si>
  <si>
    <t>LS 465CU: OH HPS Cobra Hd 50000L Fixture</t>
  </si>
  <si>
    <t>RLS 466: UG HPS Colonial 4000L Deco</t>
  </si>
  <si>
    <t>LS 467: UG HPS Colonial 5800L Deco</t>
  </si>
  <si>
    <t>LS 468: UG HPS Colonial 9500L Deco</t>
  </si>
  <si>
    <t>KUUM_468CU</t>
  </si>
  <si>
    <t>LS 468CU: UG HPS Colonial 9500L Decoratv</t>
  </si>
  <si>
    <t>RLS 469: UG MH Directional 32000L Deco</t>
  </si>
  <si>
    <t>RLS 470: UG MH Directional 107800L Deco</t>
  </si>
  <si>
    <t>RLS 471: OH HPS Cobra Hd 4000L Fix/Pole</t>
  </si>
  <si>
    <t>LS 472: OH HPS Cobra 5800L Ornamental</t>
  </si>
  <si>
    <t>LS 473: OH HPS Cobra 9500L Ornamental</t>
  </si>
  <si>
    <t>LS 474: OH HPS Cobra 22000L Ornamental</t>
  </si>
  <si>
    <t>LS 475: OH HPS Cobra 50000L Ornamental</t>
  </si>
  <si>
    <t>KUUM_475CU</t>
  </si>
  <si>
    <t>LS 475CU: OH HPS Cobra 50000L Ornamental</t>
  </si>
  <si>
    <t>LS 476: UG HPS Contemporary 5800L Deco</t>
  </si>
  <si>
    <t>LS 477: UG HPS Contemporary 9500L Deco</t>
  </si>
  <si>
    <t>LS 478: UG HPS Contemporary 22000L Deco</t>
  </si>
  <si>
    <t>LS 479: UG HPS Contemporary 50000L Deco</t>
  </si>
  <si>
    <t>KUUM_485CU</t>
  </si>
  <si>
    <t>22,000L Contemp Decor UG Co Use</t>
  </si>
  <si>
    <t>KUUM_486CU</t>
  </si>
  <si>
    <t>50,000L Contemp Decor UG Co Use</t>
  </si>
  <si>
    <t>LS 487: OH HPS Directional 9500L Fixture</t>
  </si>
  <si>
    <t>KUUM_487CU</t>
  </si>
  <si>
    <t>LS 487CU: OH HPS Directional 9500L Fix</t>
  </si>
  <si>
    <t>LS 488: OH HPS Directional 22000L Fix</t>
  </si>
  <si>
    <t>KUUM_488CU</t>
  </si>
  <si>
    <t>LS 488CU: OH HPS Directional 22000L Fix</t>
  </si>
  <si>
    <t>LS 489: OH HPS Directional 50000L Fix</t>
  </si>
  <si>
    <t>KUUM_489CU</t>
  </si>
  <si>
    <t>LS 489CU: OH HPS Directional 50000L Fix</t>
  </si>
  <si>
    <t>RLS 490: UG MH Contemporary 12000L Fix</t>
  </si>
  <si>
    <t>LS 491: UG MH Contemporary 32000L Fix</t>
  </si>
  <si>
    <t>LS 492: UG HPS Contemporary 5800L Fix</t>
  </si>
  <si>
    <t>RLS 493: UG MH Contemporary 107800L Fix</t>
  </si>
  <si>
    <t>RLS 494: UG MH Contemporary 12000L Deco</t>
  </si>
  <si>
    <t>LS 495: UG MH Contemporary 32000L Deco</t>
  </si>
  <si>
    <t>RLS 496: UG MH Contemporary 107800L Deco</t>
  </si>
  <si>
    <t>LS 497: UG HPS Contemporary 9500L Fix</t>
  </si>
  <si>
    <t>LS 498: UG HPS Contemporary 22000L Fix</t>
  </si>
  <si>
    <t>LS 499: UG HPS Contemporary 50000L Fix</t>
  </si>
  <si>
    <t>KUUM_820</t>
  </si>
  <si>
    <t>ODL Facility Charge</t>
  </si>
  <si>
    <t>KUUM_825</t>
  </si>
  <si>
    <t>Electric Excess Facilities</t>
  </si>
  <si>
    <t>KUUM_826</t>
  </si>
  <si>
    <t>Electric Excess Facilities CIAC</t>
  </si>
  <si>
    <t>KUUM_827</t>
  </si>
  <si>
    <t>Direct Assign</t>
  </si>
  <si>
    <t>KUUM_828</t>
  </si>
  <si>
    <t>Excess Facilities ODL</t>
  </si>
  <si>
    <t>KUUM_390</t>
  </si>
  <si>
    <t>LS 390: OH LED Cobra Head 8179L Fixture</t>
  </si>
  <si>
    <t>KUUM_391</t>
  </si>
  <si>
    <t>LS 391: OH LED Cobra Head 14166L Fixture</t>
  </si>
  <si>
    <t>KUUM_392</t>
  </si>
  <si>
    <t>LS 392: OH LED Cobra Head 23214L Fixture</t>
  </si>
  <si>
    <t>KUUM_393</t>
  </si>
  <si>
    <t>LS 393: OH LED Open Bottom 5007L Fixture</t>
  </si>
  <si>
    <t>Revenue Period</t>
  </si>
  <si>
    <t>Group Company Code</t>
  </si>
  <si>
    <t>Rate Category</t>
  </si>
  <si>
    <t>Rate Category Description</t>
  </si>
  <si>
    <t># Lights at start of Period</t>
  </si>
  <si>
    <t>From "KU Base Period Jan-Dec 18.xlsx"</t>
  </si>
  <si>
    <t># of Lights (Start of June 2018)</t>
  </si>
  <si>
    <t>Monthly Revenue Requirement Updated</t>
  </si>
  <si>
    <t>Monthly Revenue Requirement Current</t>
  </si>
  <si>
    <t>Annual Revenue Requirement Updated</t>
  </si>
  <si>
    <t>Annual Revenue Requirement Current</t>
  </si>
  <si>
    <t>Poles</t>
  </si>
  <si>
    <t>Estimated Poles Investment per Unit</t>
  </si>
  <si>
    <t>Estimated Fixture Investment per Unit</t>
  </si>
  <si>
    <t>Poles Fixed Carrying Cost ($/yr)</t>
  </si>
  <si>
    <t>Fixtures Fixed Carrying Cost ($/yr)</t>
  </si>
  <si>
    <t>Total Fixed Carrying Cost ($/yr)</t>
  </si>
  <si>
    <t>Other</t>
  </si>
  <si>
    <t>Cobra - Ornamental</t>
  </si>
  <si>
    <t>Monthly Rate / Fixture Only</t>
  </si>
  <si>
    <t>Total Monthly Rate - Fixture Only</t>
  </si>
  <si>
    <t>Non-fixture maintenance per year</t>
  </si>
  <si>
    <t>Non Fixture Maintenance per year</t>
  </si>
  <si>
    <t>ECR Billing Adj. Fixtures Only ($ / mo)</t>
  </si>
  <si>
    <t>Calculation of Annual Carrying Charge for LED fixtures - 25 Year Depreciation Study Method</t>
  </si>
  <si>
    <t>Carrying Charges - 25-Year Depreciation Study Method</t>
  </si>
  <si>
    <t>Calculation of Annual Carrying Charge for LED fixtures - Open Bottom LED 15 year life</t>
  </si>
  <si>
    <t>Carrying Charges - Open Bottom LED 15-Year Life</t>
  </si>
  <si>
    <t>25-Year</t>
  </si>
  <si>
    <t>15-Year</t>
  </si>
  <si>
    <t>Fixture Useful Life</t>
  </si>
  <si>
    <t>Pole Useful Life</t>
  </si>
  <si>
    <t>Decorative Smooth - Post Top</t>
  </si>
  <si>
    <t>Historic Fluted - Post Top</t>
  </si>
  <si>
    <t>Forcasted test year</t>
  </si>
  <si>
    <t>KU lights</t>
  </si>
  <si>
    <t>ODP Lights</t>
  </si>
  <si>
    <t>Weighted average invest per unit</t>
  </si>
  <si>
    <t>Pole Type</t>
  </si>
  <si>
    <t>Present Day Invest Per Unit</t>
  </si>
  <si>
    <t># of Poles</t>
  </si>
  <si>
    <t>Calculated Present day NBV</t>
  </si>
  <si>
    <t>% of total calcualted present day pole NBV</t>
  </si>
  <si>
    <t>NBV per pole type</t>
  </si>
  <si>
    <t>New Bus NBV per pole type</t>
  </si>
  <si>
    <t>Replacement NBV per year</t>
  </si>
  <si>
    <t>Total fixture</t>
  </si>
  <si>
    <t>Avg OH Fix Invest per unit</t>
  </si>
  <si>
    <t>OH Fixtures</t>
  </si>
  <si>
    <t>Avg UG Fixture Invest Per unit</t>
  </si>
  <si>
    <t>UG Fixtures</t>
  </si>
  <si>
    <t>2017 NBV</t>
  </si>
  <si>
    <t>OH Fix</t>
  </si>
  <si>
    <t>UG Fix</t>
  </si>
  <si>
    <t>Poles NBV</t>
  </si>
  <si>
    <t>NBV / pole</t>
  </si>
  <si>
    <t>Total Fix</t>
  </si>
  <si>
    <t>Fix NBV</t>
  </si>
  <si>
    <t>NBV / fix</t>
  </si>
  <si>
    <t>Pole Replacement NBV per year</t>
  </si>
  <si>
    <t>Annual Non-Fix Maintenance per pole</t>
  </si>
  <si>
    <t>Adjusted Invest per unit</t>
  </si>
  <si>
    <t>6000-8200</t>
  </si>
  <si>
    <t>Pole Charge</t>
  </si>
  <si>
    <t>Fixture Only Charge</t>
  </si>
  <si>
    <t>Orn.</t>
  </si>
  <si>
    <t>Dec. Sm. - PT</t>
  </si>
  <si>
    <t>Cont.</t>
  </si>
  <si>
    <t>His. Fl. - PT</t>
  </si>
  <si>
    <t>Total Charges (w/o Conv. Fee)</t>
  </si>
  <si>
    <t>KC1</t>
  </si>
  <si>
    <t>KF1</t>
  </si>
  <si>
    <t>KF2</t>
  </si>
  <si>
    <t>KF3</t>
  </si>
  <si>
    <t>KF4</t>
  </si>
  <si>
    <t>KC2</t>
  </si>
  <si>
    <t>KA1</t>
  </si>
  <si>
    <t>KN1</t>
  </si>
  <si>
    <t>KN2</t>
  </si>
  <si>
    <t>KN3</t>
  </si>
  <si>
    <t>KN4</t>
  </si>
  <si>
    <t>KN5</t>
  </si>
  <si>
    <t>PK1</t>
  </si>
  <si>
    <t>PK3</t>
  </si>
  <si>
    <t>PK2</t>
  </si>
  <si>
    <t>PK4</t>
  </si>
  <si>
    <t>Calculation of Annual Carrying Charge for Conversion Fee - 5 years</t>
  </si>
  <si>
    <t>Annual Converison Fee</t>
  </si>
  <si>
    <t>Monthly Conversion Fee</t>
  </si>
  <si>
    <t>KF5</t>
  </si>
  <si>
    <t>KF6</t>
  </si>
  <si>
    <t>KF7</t>
  </si>
  <si>
    <t>KF8</t>
  </si>
  <si>
    <t>Total Maintenance per year</t>
  </si>
  <si>
    <t>Flood</t>
  </si>
  <si>
    <t>New Bus number of poles</t>
  </si>
  <si>
    <t>Calculation of Annual Carrying Charge for New Poles</t>
  </si>
  <si>
    <t>Calculation of Annual Carrying Charge for Vintage Poles</t>
  </si>
  <si>
    <t>Calculation of Annual Carrying Charge for Weighted average of New and Vintage Poles</t>
  </si>
  <si>
    <t>Calculation of Annual Carrying Charge for LED fixtures - LED 25 year life</t>
  </si>
  <si>
    <t>Carrying Charges - LED 25-Year Life</t>
  </si>
  <si>
    <t>Luminaire</t>
  </si>
  <si>
    <t>Mast Arm</t>
  </si>
  <si>
    <t>Wire through mast arm (10')</t>
  </si>
  <si>
    <t>Square washer (1)</t>
  </si>
  <si>
    <t>T-base</t>
  </si>
  <si>
    <t>Ground wire 5' (#4 duplex)</t>
  </si>
  <si>
    <t>Concrete base</t>
  </si>
  <si>
    <t>Cable through pole</t>
  </si>
  <si>
    <t>Fuse and Fuse Holder</t>
  </si>
  <si>
    <t>Relay box</t>
  </si>
  <si>
    <t>200 feet of wire</t>
  </si>
  <si>
    <t>Install Secondary Riser (KU only)</t>
  </si>
  <si>
    <t>Kentucky Utilities/ODP Usage</t>
  </si>
  <si>
    <t>Total KU/ODP lights</t>
  </si>
  <si>
    <t>Weighted average</t>
  </si>
  <si>
    <t>Estimated New Fixtures installed per year</t>
  </si>
  <si>
    <t>Estimated New Bus Cap poles NBV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</si>
</sst>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&quot;$&quot;#,##0.00000_);\(&quot;$&quot;#,##0.00000\)"/>
    <numFmt numFmtId="170" formatCode="General_)"/>
    <numFmt numFmtId="171" formatCode="0.0%"/>
    <numFmt numFmtId="172" formatCode="[$-409]mmm\-yy;@"/>
    <numFmt numFmtId="173" formatCode="#,##0.00000_);\(#,##0.00000\)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70C0"/>
      <name val="Arial"/>
      <family val="2"/>
    </font>
    <font>
      <sz val="12"/>
      <color indexed="48"/>
      <name val="Arial"/>
      <family val="2"/>
    </font>
    <font>
      <sz val="12"/>
      <color rgb="FFFF0000"/>
      <name val="Arial"/>
      <family val="2"/>
    </font>
    <font>
      <b/>
      <u/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Helv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Times New Roman"/>
      <family val="1"/>
    </font>
    <font>
      <b/>
      <sz val="11"/>
      <color rgb="FF00B0F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D9D9D9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BC2E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0" borderId="0"/>
    <xf numFmtId="43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18" fillId="0" borderId="0"/>
    <xf numFmtId="41" fontId="19" fillId="0" borderId="0"/>
  </cellStyleXfs>
  <cellXfs count="36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44" fontId="0" fillId="0" borderId="0" xfId="1" applyFont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0" fontId="4" fillId="0" borderId="0" xfId="0" applyFont="1"/>
    <xf numFmtId="44" fontId="0" fillId="0" borderId="0" xfId="0" applyNumberFormat="1"/>
    <xf numFmtId="10" fontId="0" fillId="0" borderId="0" xfId="2" applyNumberFormat="1" applyFont="1"/>
    <xf numFmtId="164" fontId="0" fillId="0" borderId="0" xfId="2" applyNumberFormat="1" applyFont="1"/>
    <xf numFmtId="0" fontId="3" fillId="0" borderId="0" xfId="0" applyNumberFormat="1" applyFont="1"/>
    <xf numFmtId="0" fontId="0" fillId="0" borderId="0" xfId="1" applyNumberFormat="1" applyFont="1"/>
    <xf numFmtId="0" fontId="2" fillId="0" borderId="0" xfId="1" applyNumberFormat="1" applyFont="1"/>
    <xf numFmtId="0" fontId="4" fillId="0" borderId="0" xfId="1" applyNumberFormat="1" applyFont="1"/>
    <xf numFmtId="0" fontId="0" fillId="0" borderId="0" xfId="0" applyFill="1"/>
    <xf numFmtId="49" fontId="0" fillId="0" borderId="0" xfId="0" applyNumberFormat="1" applyFont="1" applyAlignment="1"/>
    <xf numFmtId="49" fontId="0" fillId="0" borderId="0" xfId="0" applyNumberFormat="1" applyFont="1" applyFill="1" applyAlignment="1"/>
    <xf numFmtId="164" fontId="0" fillId="0" borderId="0" xfId="2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44" fontId="5" fillId="0" borderId="1" xfId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9" fontId="0" fillId="0" borderId="0" xfId="2" applyFont="1"/>
    <xf numFmtId="166" fontId="0" fillId="0" borderId="0" xfId="3" applyNumberFormat="1" applyFont="1"/>
    <xf numFmtId="166" fontId="0" fillId="0" borderId="0" xfId="0" applyNumberFormat="1"/>
    <xf numFmtId="0" fontId="7" fillId="0" borderId="0" xfId="0" applyFont="1" applyFill="1" applyBorder="1"/>
    <xf numFmtId="0" fontId="8" fillId="4" borderId="0" xfId="0" applyFont="1" applyFill="1" applyBorder="1"/>
    <xf numFmtId="0" fontId="8" fillId="5" borderId="0" xfId="0" applyFont="1" applyFill="1" applyBorder="1"/>
    <xf numFmtId="0" fontId="8" fillId="4" borderId="8" xfId="0" applyFont="1" applyFill="1" applyBorder="1"/>
    <xf numFmtId="0" fontId="8" fillId="5" borderId="8" xfId="0" applyFont="1" applyFill="1" applyBorder="1"/>
    <xf numFmtId="167" fontId="7" fillId="0" borderId="0" xfId="0" applyNumberFormat="1" applyFont="1" applyFill="1" applyBorder="1"/>
    <xf numFmtId="1" fontId="0" fillId="0" borderId="0" xfId="0" applyNumberFormat="1"/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10" fillId="0" borderId="0" xfId="0" quotePrefix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10" fontId="12" fillId="0" borderId="0" xfId="2" quotePrefix="1" applyNumberFormat="1" applyFont="1" applyBorder="1" applyAlignment="1">
      <alignment horizontal="center"/>
    </xf>
    <xf numFmtId="0" fontId="14" fillId="0" borderId="0" xfId="0" applyFont="1" applyBorder="1"/>
    <xf numFmtId="10" fontId="11" fillId="0" borderId="0" xfId="0" applyNumberFormat="1" applyFont="1" applyBorder="1" applyAlignment="1">
      <alignment horizontal="center"/>
    </xf>
    <xf numFmtId="0" fontId="10" fillId="0" borderId="0" xfId="0" applyFont="1" applyAlignment="1"/>
    <xf numFmtId="10" fontId="10" fillId="0" borderId="0" xfId="0" quotePrefix="1" applyNumberFormat="1" applyFont="1" applyBorder="1" applyAlignment="1">
      <alignment horizontal="center"/>
    </xf>
    <xf numFmtId="10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0" xfId="0" quotePrefix="1" applyFont="1" applyFill="1" applyBorder="1"/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0" fillId="0" borderId="0" xfId="0" applyFont="1" applyBorder="1" applyAlignment="1" applyProtection="1">
      <protection locked="0"/>
    </xf>
    <xf numFmtId="0" fontId="10" fillId="0" borderId="0" xfId="0" applyFont="1" applyAlignment="1" applyProtection="1">
      <protection locked="0"/>
    </xf>
    <xf numFmtId="0" fontId="15" fillId="0" borderId="0" xfId="0" applyFont="1" applyBorder="1" applyAlignment="1"/>
    <xf numFmtId="7" fontId="10" fillId="0" borderId="0" xfId="0" applyNumberFormat="1" applyFont="1" applyBorder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Border="1"/>
    <xf numFmtId="165" fontId="11" fillId="0" borderId="0" xfId="2" applyNumberFormat="1" applyFont="1" applyBorder="1"/>
    <xf numFmtId="0" fontId="10" fillId="0" borderId="0" xfId="0" quotePrefix="1" applyFont="1" applyBorder="1" applyAlignment="1"/>
    <xf numFmtId="0" fontId="11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0" xfId="0" applyFont="1" applyFill="1" applyBorder="1"/>
    <xf numFmtId="10" fontId="10" fillId="0" borderId="0" xfId="0" applyNumberFormat="1" applyFont="1" applyFill="1" applyBorder="1" applyAlignment="1">
      <alignment horizontal="centerContinuous"/>
    </xf>
    <xf numFmtId="164" fontId="10" fillId="0" borderId="0" xfId="0" applyNumberFormat="1" applyFont="1" applyFill="1" applyBorder="1"/>
    <xf numFmtId="0" fontId="10" fillId="0" borderId="0" xfId="0" quotePrefix="1" applyFont="1" applyBorder="1" applyAlignment="1" applyProtection="1">
      <alignment horizontal="left"/>
      <protection locked="0"/>
    </xf>
    <xf numFmtId="7" fontId="10" fillId="0" borderId="0" xfId="0" applyNumberFormat="1" applyFont="1" applyFill="1" applyBorder="1"/>
    <xf numFmtId="0" fontId="15" fillId="0" borderId="0" xfId="0" applyFont="1" applyFill="1" applyBorder="1" applyAlignment="1"/>
    <xf numFmtId="2" fontId="12" fillId="0" borderId="0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/>
    <xf numFmtId="168" fontId="12" fillId="0" borderId="0" xfId="1" applyNumberFormat="1" applyFont="1"/>
    <xf numFmtId="0" fontId="14" fillId="0" borderId="0" xfId="0" applyFont="1"/>
    <xf numFmtId="0" fontId="9" fillId="0" borderId="0" xfId="0" applyFont="1" applyBorder="1"/>
    <xf numFmtId="164" fontId="11" fillId="0" borderId="0" xfId="0" applyNumberFormat="1" applyFont="1" applyBorder="1" applyAlignment="1">
      <alignment horizontal="center"/>
    </xf>
    <xf numFmtId="10" fontId="12" fillId="0" borderId="0" xfId="2" applyNumberFormat="1" applyFont="1" applyBorder="1" applyAlignment="1">
      <alignment horizontal="center"/>
    </xf>
    <xf numFmtId="0" fontId="15" fillId="0" borderId="0" xfId="0" applyFont="1" applyBorder="1" applyAlignment="1">
      <alignment horizontal="centerContinuous"/>
    </xf>
    <xf numFmtId="0" fontId="11" fillId="0" borderId="0" xfId="0" applyFont="1" applyFill="1" applyBorder="1"/>
    <xf numFmtId="10" fontId="11" fillId="0" borderId="0" xfId="0" applyNumberFormat="1" applyFont="1" applyFill="1" applyBorder="1"/>
    <xf numFmtId="0" fontId="10" fillId="0" borderId="16" xfId="0" applyFont="1" applyBorder="1" applyAlignment="1"/>
    <xf numFmtId="0" fontId="10" fillId="0" borderId="10" xfId="0" applyFont="1" applyBorder="1" applyAlignment="1">
      <alignment horizontal="center"/>
    </xf>
    <xf numFmtId="0" fontId="10" fillId="0" borderId="17" xfId="0" applyFont="1" applyBorder="1" applyAlignment="1"/>
    <xf numFmtId="164" fontId="10" fillId="0" borderId="13" xfId="0" applyNumberFormat="1" applyFont="1" applyBorder="1" applyAlignment="1">
      <alignment horizontal="center"/>
    </xf>
    <xf numFmtId="0" fontId="10" fillId="0" borderId="18" xfId="0" applyFont="1" applyBorder="1" applyAlignment="1"/>
    <xf numFmtId="0" fontId="10" fillId="0" borderId="12" xfId="0" applyFont="1" applyBorder="1" applyAlignment="1">
      <alignment horizontal="center"/>
    </xf>
    <xf numFmtId="0" fontId="11" fillId="0" borderId="19" xfId="0" applyFont="1" applyBorder="1" applyAlignment="1"/>
    <xf numFmtId="164" fontId="11" fillId="0" borderId="14" xfId="0" applyNumberFormat="1" applyFont="1" applyFill="1" applyBorder="1" applyAlignment="1">
      <alignment horizontal="center"/>
    </xf>
    <xf numFmtId="0" fontId="14" fillId="0" borderId="0" xfId="0" quotePrefix="1" applyFont="1" applyBorder="1" applyAlignment="1">
      <alignment horizontal="left"/>
    </xf>
    <xf numFmtId="0" fontId="14" fillId="0" borderId="0" xfId="0" applyFont="1" applyBorder="1" applyAlignment="1"/>
    <xf numFmtId="0" fontId="17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22" fillId="0" borderId="0" xfId="0" applyFont="1"/>
    <xf numFmtId="0" fontId="24" fillId="0" borderId="0" xfId="0" applyFont="1"/>
    <xf numFmtId="0" fontId="10" fillId="0" borderId="5" xfId="0" applyFont="1" applyBorder="1" applyAlignment="1"/>
    <xf numFmtId="10" fontId="10" fillId="0" borderId="6" xfId="0" applyNumberFormat="1" applyFont="1" applyBorder="1" applyAlignment="1">
      <alignment horizontal="center"/>
    </xf>
    <xf numFmtId="10" fontId="10" fillId="0" borderId="6" xfId="0" quotePrefix="1" applyNumberFormat="1" applyFont="1" applyBorder="1" applyAlignment="1">
      <alignment horizontal="center"/>
    </xf>
    <xf numFmtId="10" fontId="13" fillId="0" borderId="6" xfId="2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166" fontId="2" fillId="0" borderId="0" xfId="3" applyNumberFormat="1" applyFont="1"/>
    <xf numFmtId="171" fontId="0" fillId="0" borderId="0" xfId="2" applyNumberFormat="1" applyFont="1"/>
    <xf numFmtId="167" fontId="2" fillId="0" borderId="0" xfId="1" applyNumberFormat="1" applyFont="1"/>
    <xf numFmtId="0" fontId="25" fillId="0" borderId="0" xfId="0" applyFont="1"/>
    <xf numFmtId="168" fontId="0" fillId="0" borderId="0" xfId="1" applyNumberFormat="1" applyFont="1"/>
    <xf numFmtId="0" fontId="26" fillId="0" borderId="0" xfId="0" applyFont="1"/>
    <xf numFmtId="0" fontId="27" fillId="0" borderId="0" xfId="0" applyFont="1" applyAlignment="1">
      <alignment horizontal="center"/>
    </xf>
    <xf numFmtId="172" fontId="28" fillId="0" borderId="0" xfId="0" applyNumberFormat="1" applyFont="1"/>
    <xf numFmtId="173" fontId="28" fillId="0" borderId="0" xfId="0" applyNumberFormat="1" applyFont="1"/>
    <xf numFmtId="10" fontId="28" fillId="0" borderId="0" xfId="2" applyNumberFormat="1" applyFont="1"/>
    <xf numFmtId="172" fontId="26" fillId="0" borderId="0" xfId="0" applyNumberFormat="1" applyFont="1"/>
    <xf numFmtId="173" fontId="28" fillId="0" borderId="9" xfId="0" applyNumberFormat="1" applyFont="1" applyBorder="1"/>
    <xf numFmtId="10" fontId="28" fillId="0" borderId="9" xfId="2" applyNumberFormat="1" applyFont="1" applyBorder="1"/>
    <xf numFmtId="0" fontId="26" fillId="0" borderId="0" xfId="0" applyFont="1" applyAlignment="1">
      <alignment horizontal="right"/>
    </xf>
    <xf numFmtId="173" fontId="26" fillId="0" borderId="0" xfId="0" applyNumberFormat="1" applyFont="1"/>
    <xf numFmtId="10" fontId="26" fillId="0" borderId="0" xfId="2" applyNumberFormat="1" applyFont="1"/>
    <xf numFmtId="168" fontId="26" fillId="0" borderId="0" xfId="8" applyNumberFormat="1" applyFont="1"/>
    <xf numFmtId="44" fontId="0" fillId="0" borderId="0" xfId="0" applyNumberFormat="1" applyFont="1"/>
    <xf numFmtId="168" fontId="0" fillId="0" borderId="0" xfId="0" applyNumberFormat="1" applyFont="1"/>
    <xf numFmtId="169" fontId="29" fillId="0" borderId="0" xfId="1" applyNumberFormat="1" applyFont="1" applyFill="1" applyAlignment="1">
      <alignment horizontal="center"/>
    </xf>
    <xf numFmtId="10" fontId="2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0" fontId="29" fillId="6" borderId="6" xfId="4" applyFont="1" applyFill="1" applyBorder="1" applyAlignment="1">
      <alignment horizontal="center" wrapText="1"/>
    </xf>
    <xf numFmtId="7" fontId="29" fillId="6" borderId="6" xfId="8" applyNumberFormat="1" applyFont="1" applyFill="1" applyBorder="1" applyAlignment="1" applyProtection="1">
      <alignment horizontal="center" wrapText="1"/>
    </xf>
    <xf numFmtId="44" fontId="26" fillId="0" borderId="0" xfId="1" applyFont="1" applyFill="1" applyBorder="1" applyAlignment="1">
      <alignment horizontal="center"/>
    </xf>
    <xf numFmtId="0" fontId="0" fillId="0" borderId="0" xfId="0" applyFont="1" applyFill="1"/>
    <xf numFmtId="10" fontId="2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wrapText="1"/>
    </xf>
    <xf numFmtId="0" fontId="29" fillId="8" borderId="6" xfId="4" applyFont="1" applyFill="1" applyBorder="1" applyAlignment="1">
      <alignment horizontal="center" wrapText="1"/>
    </xf>
    <xf numFmtId="7" fontId="29" fillId="8" borderId="6" xfId="8" applyNumberFormat="1" applyFont="1" applyFill="1" applyBorder="1" applyAlignment="1" applyProtection="1">
      <alignment horizontal="center" wrapText="1"/>
    </xf>
    <xf numFmtId="0" fontId="28" fillId="0" borderId="0" xfId="0" applyFont="1" applyAlignment="1">
      <alignment horizontal="center"/>
    </xf>
    <xf numFmtId="44" fontId="26" fillId="0" borderId="0" xfId="1" applyFont="1" applyAlignment="1">
      <alignment horizontal="right"/>
    </xf>
    <xf numFmtId="171" fontId="26" fillId="0" borderId="0" xfId="2" applyNumberFormat="1" applyFont="1" applyAlignment="1">
      <alignment horizontal="right"/>
    </xf>
    <xf numFmtId="166" fontId="0" fillId="0" borderId="0" xfId="3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166" fontId="0" fillId="0" borderId="0" xfId="0" applyNumberFormat="1" applyFont="1"/>
    <xf numFmtId="164" fontId="12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center"/>
    </xf>
    <xf numFmtId="171" fontId="30" fillId="0" borderId="0" xfId="2" applyNumberFormat="1" applyFont="1"/>
    <xf numFmtId="171" fontId="30" fillId="0" borderId="0" xfId="2" applyNumberFormat="1" applyFont="1" applyBorder="1"/>
    <xf numFmtId="10" fontId="30" fillId="0" borderId="9" xfId="2" applyNumberFormat="1" applyFont="1" applyBorder="1"/>
    <xf numFmtId="10" fontId="24" fillId="0" borderId="0" xfId="2" applyNumberFormat="1" applyFont="1"/>
    <xf numFmtId="164" fontId="11" fillId="0" borderId="0" xfId="2" applyNumberFormat="1" applyFont="1" applyBorder="1" applyAlignment="1">
      <alignment horizontal="right"/>
    </xf>
    <xf numFmtId="0" fontId="23" fillId="0" borderId="0" xfId="0" applyFont="1"/>
    <xf numFmtId="0" fontId="31" fillId="0" borderId="0" xfId="0" applyFont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Alignment="1">
      <alignment wrapText="1"/>
    </xf>
    <xf numFmtId="3" fontId="31" fillId="0" borderId="0" xfId="0" applyNumberFormat="1" applyFont="1"/>
    <xf numFmtId="0" fontId="2" fillId="0" borderId="0" xfId="0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right"/>
    </xf>
    <xf numFmtId="167" fontId="0" fillId="0" borderId="0" xfId="0" applyNumberFormat="1"/>
    <xf numFmtId="7" fontId="29" fillId="8" borderId="20" xfId="8" applyNumberFormat="1" applyFont="1" applyFill="1" applyBorder="1" applyAlignment="1" applyProtection="1">
      <alignment horizontal="center" wrapText="1"/>
    </xf>
    <xf numFmtId="0" fontId="29" fillId="8" borderId="20" xfId="4" applyFont="1" applyFill="1" applyBorder="1" applyAlignment="1">
      <alignment horizontal="center" wrapText="1"/>
    </xf>
    <xf numFmtId="171" fontId="26" fillId="0" borderId="3" xfId="2" applyNumberFormat="1" applyFont="1" applyBorder="1" applyAlignment="1">
      <alignment horizontal="right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171" fontId="26" fillId="0" borderId="0" xfId="2" applyNumberFormat="1" applyFont="1" applyBorder="1" applyAlignment="1">
      <alignment horizontal="right"/>
    </xf>
    <xf numFmtId="44" fontId="0" fillId="0" borderId="27" xfId="1" applyFont="1" applyBorder="1" applyAlignment="1">
      <alignment horizontal="center"/>
    </xf>
    <xf numFmtId="171" fontId="26" fillId="0" borderId="27" xfId="2" applyNumberFormat="1" applyFont="1" applyBorder="1" applyAlignment="1">
      <alignment horizontal="right"/>
    </xf>
    <xf numFmtId="0" fontId="28" fillId="8" borderId="2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44" fontId="0" fillId="8" borderId="3" xfId="1" applyFont="1" applyFill="1" applyBorder="1" applyAlignment="1">
      <alignment horizontal="center"/>
    </xf>
    <xf numFmtId="44" fontId="26" fillId="8" borderId="3" xfId="1" applyFont="1" applyFill="1" applyBorder="1" applyAlignment="1">
      <alignment horizontal="center"/>
    </xf>
    <xf numFmtId="44" fontId="0" fillId="8" borderId="3" xfId="1" applyFont="1" applyFill="1" applyBorder="1"/>
    <xf numFmtId="44" fontId="28" fillId="8" borderId="23" xfId="1" applyFont="1" applyFill="1" applyBorder="1"/>
    <xf numFmtId="44" fontId="26" fillId="8" borderId="3" xfId="1" applyFont="1" applyFill="1" applyBorder="1" applyAlignment="1">
      <alignment horizontal="right"/>
    </xf>
    <xf numFmtId="0" fontId="28" fillId="8" borderId="24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44" fontId="0" fillId="8" borderId="0" xfId="1" applyFont="1" applyFill="1" applyBorder="1" applyAlignment="1">
      <alignment horizontal="center"/>
    </xf>
    <xf numFmtId="44" fontId="26" fillId="8" borderId="0" xfId="1" applyFont="1" applyFill="1" applyBorder="1" applyAlignment="1">
      <alignment horizontal="center"/>
    </xf>
    <xf numFmtId="44" fontId="0" fillId="8" borderId="0" xfId="1" applyFont="1" applyFill="1" applyBorder="1"/>
    <xf numFmtId="44" fontId="0" fillId="8" borderId="21" xfId="1" applyFont="1" applyFill="1" applyBorder="1"/>
    <xf numFmtId="44" fontId="28" fillId="8" borderId="21" xfId="1" applyFont="1" applyFill="1" applyBorder="1"/>
    <xf numFmtId="44" fontId="26" fillId="8" borderId="0" xfId="1" applyFont="1" applyFill="1" applyBorder="1" applyAlignment="1">
      <alignment horizontal="right"/>
    </xf>
    <xf numFmtId="44" fontId="28" fillId="8" borderId="21" xfId="1" applyFont="1" applyFill="1" applyBorder="1" applyAlignment="1">
      <alignment horizontal="center"/>
    </xf>
    <xf numFmtId="0" fontId="28" fillId="8" borderId="26" xfId="0" applyFont="1" applyFill="1" applyBorder="1" applyAlignment="1">
      <alignment horizontal="center"/>
    </xf>
    <xf numFmtId="0" fontId="28" fillId="8" borderId="27" xfId="0" applyFont="1" applyFill="1" applyBorder="1" applyAlignment="1">
      <alignment horizontal="center"/>
    </xf>
    <xf numFmtId="0" fontId="0" fillId="8" borderId="27" xfId="0" applyFont="1" applyFill="1" applyBorder="1" applyAlignment="1">
      <alignment horizontal="center"/>
    </xf>
    <xf numFmtId="44" fontId="0" fillId="8" borderId="27" xfId="1" applyFont="1" applyFill="1" applyBorder="1" applyAlignment="1">
      <alignment horizontal="center"/>
    </xf>
    <xf numFmtId="44" fontId="26" fillId="8" borderId="27" xfId="1" applyFont="1" applyFill="1" applyBorder="1" applyAlignment="1">
      <alignment horizontal="center"/>
    </xf>
    <xf numFmtId="44" fontId="0" fillId="8" borderId="27" xfId="1" applyFont="1" applyFill="1" applyBorder="1"/>
    <xf numFmtId="44" fontId="28" fillId="8" borderId="22" xfId="1" applyFont="1" applyFill="1" applyBorder="1" applyAlignment="1">
      <alignment horizontal="center"/>
    </xf>
    <xf numFmtId="44" fontId="26" fillId="8" borderId="27" xfId="1" applyFont="1" applyFill="1" applyBorder="1" applyAlignment="1">
      <alignment horizontal="right"/>
    </xf>
    <xf numFmtId="166" fontId="0" fillId="8" borderId="3" xfId="3" applyNumberFormat="1" applyFont="1" applyFill="1" applyBorder="1" applyAlignment="1">
      <alignment horizontal="right"/>
    </xf>
    <xf numFmtId="167" fontId="0" fillId="8" borderId="3" xfId="0" applyNumberFormat="1" applyFont="1" applyFill="1" applyBorder="1" applyAlignment="1">
      <alignment horizontal="right"/>
    </xf>
    <xf numFmtId="167" fontId="0" fillId="8" borderId="3" xfId="0" applyNumberFormat="1" applyFill="1" applyBorder="1" applyAlignment="1">
      <alignment horizontal="right"/>
    </xf>
    <xf numFmtId="167" fontId="0" fillId="8" borderId="4" xfId="0" applyNumberFormat="1" applyFill="1" applyBorder="1" applyAlignment="1">
      <alignment horizontal="right"/>
    </xf>
    <xf numFmtId="166" fontId="0" fillId="8" borderId="0" xfId="3" applyNumberFormat="1" applyFont="1" applyFill="1" applyBorder="1" applyAlignment="1">
      <alignment horizontal="right"/>
    </xf>
    <xf numFmtId="167" fontId="0" fillId="8" borderId="0" xfId="0" applyNumberFormat="1" applyFont="1" applyFill="1" applyBorder="1" applyAlignment="1">
      <alignment horizontal="right"/>
    </xf>
    <xf numFmtId="167" fontId="0" fillId="8" borderId="0" xfId="0" applyNumberFormat="1" applyFill="1" applyBorder="1" applyAlignment="1">
      <alignment horizontal="right"/>
    </xf>
    <xf numFmtId="167" fontId="0" fillId="8" borderId="25" xfId="0" applyNumberFormat="1" applyFill="1" applyBorder="1" applyAlignment="1">
      <alignment horizontal="right"/>
    </xf>
    <xf numFmtId="166" fontId="0" fillId="8" borderId="27" xfId="3" applyNumberFormat="1" applyFont="1" applyFill="1" applyBorder="1" applyAlignment="1">
      <alignment horizontal="right"/>
    </xf>
    <xf numFmtId="167" fontId="0" fillId="8" borderId="27" xfId="0" applyNumberFormat="1" applyFont="1" applyFill="1" applyBorder="1" applyAlignment="1">
      <alignment horizontal="right"/>
    </xf>
    <xf numFmtId="167" fontId="0" fillId="8" borderId="27" xfId="0" applyNumberFormat="1" applyFill="1" applyBorder="1" applyAlignment="1">
      <alignment horizontal="right"/>
    </xf>
    <xf numFmtId="167" fontId="0" fillId="8" borderId="28" xfId="0" applyNumberFormat="1" applyFill="1" applyBorder="1" applyAlignment="1">
      <alignment horizontal="right"/>
    </xf>
    <xf numFmtId="44" fontId="28" fillId="0" borderId="0" xfId="1" applyFont="1" applyBorder="1" applyAlignment="1">
      <alignment horizontal="center"/>
    </xf>
    <xf numFmtId="0" fontId="17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2" fillId="8" borderId="29" xfId="0" applyFont="1" applyFill="1" applyBorder="1" applyAlignment="1">
      <alignment horizontal="center" wrapText="1"/>
    </xf>
    <xf numFmtId="0" fontId="2" fillId="8" borderId="30" xfId="0" applyFont="1" applyFill="1" applyBorder="1" applyAlignment="1">
      <alignment horizontal="center" wrapText="1"/>
    </xf>
    <xf numFmtId="0" fontId="29" fillId="8" borderId="31" xfId="4" quotePrefix="1" applyFont="1" applyFill="1" applyBorder="1" applyAlignment="1">
      <alignment horizontal="center" wrapText="1"/>
    </xf>
    <xf numFmtId="44" fontId="0" fillId="0" borderId="24" xfId="1" applyFont="1" applyBorder="1" applyAlignment="1">
      <alignment horizontal="center"/>
    </xf>
    <xf numFmtId="44" fontId="0" fillId="8" borderId="2" xfId="1" applyFont="1" applyFill="1" applyBorder="1" applyAlignment="1">
      <alignment horizontal="center"/>
    </xf>
    <xf numFmtId="44" fontId="0" fillId="8" borderId="4" xfId="1" applyFont="1" applyFill="1" applyBorder="1" applyAlignment="1">
      <alignment horizontal="center"/>
    </xf>
    <xf numFmtId="44" fontId="0" fillId="8" borderId="24" xfId="1" applyFont="1" applyFill="1" applyBorder="1" applyAlignment="1">
      <alignment horizontal="center"/>
    </xf>
    <xf numFmtId="44" fontId="0" fillId="8" borderId="25" xfId="1" applyFont="1" applyFill="1" applyBorder="1" applyAlignment="1">
      <alignment horizontal="center"/>
    </xf>
    <xf numFmtId="44" fontId="0" fillId="8" borderId="26" xfId="1" applyFont="1" applyFill="1" applyBorder="1" applyAlignment="1">
      <alignment horizontal="center"/>
    </xf>
    <xf numFmtId="44" fontId="0" fillId="8" borderId="28" xfId="1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 wrapText="1"/>
    </xf>
    <xf numFmtId="44" fontId="28" fillId="3" borderId="21" xfId="1" applyFont="1" applyFill="1" applyBorder="1"/>
    <xf numFmtId="44" fontId="0" fillId="9" borderId="24" xfId="1" applyFont="1" applyFill="1" applyBorder="1" applyAlignment="1">
      <alignment horizontal="center"/>
    </xf>
    <xf numFmtId="44" fontId="0" fillId="7" borderId="24" xfId="1" applyFont="1" applyFill="1" applyBorder="1" applyAlignment="1">
      <alignment horizontal="center"/>
    </xf>
    <xf numFmtId="44" fontId="0" fillId="12" borderId="24" xfId="1" applyFont="1" applyFill="1" applyBorder="1" applyAlignment="1">
      <alignment horizontal="center"/>
    </xf>
    <xf numFmtId="44" fontId="0" fillId="10" borderId="0" xfId="1" applyFont="1" applyFill="1" applyBorder="1" applyAlignment="1">
      <alignment horizontal="center"/>
    </xf>
    <xf numFmtId="44" fontId="0" fillId="10" borderId="25" xfId="1" applyFont="1" applyFill="1" applyBorder="1" applyAlignment="1">
      <alignment horizontal="center"/>
    </xf>
    <xf numFmtId="44" fontId="26" fillId="10" borderId="0" xfId="1" applyFont="1" applyFill="1" applyBorder="1" applyAlignment="1">
      <alignment horizontal="center"/>
    </xf>
    <xf numFmtId="44" fontId="0" fillId="10" borderId="21" xfId="1" applyFont="1" applyFill="1" applyBorder="1"/>
    <xf numFmtId="44" fontId="28" fillId="10" borderId="21" xfId="1" applyFont="1" applyFill="1" applyBorder="1"/>
    <xf numFmtId="0" fontId="28" fillId="10" borderId="2" xfId="0" applyFont="1" applyFill="1" applyBorder="1" applyAlignment="1">
      <alignment horizontal="center"/>
    </xf>
    <xf numFmtId="0" fontId="28" fillId="10" borderId="3" xfId="0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/>
    </xf>
    <xf numFmtId="44" fontId="0" fillId="10" borderId="3" xfId="1" applyFont="1" applyFill="1" applyBorder="1" applyAlignment="1">
      <alignment horizontal="center"/>
    </xf>
    <xf numFmtId="44" fontId="0" fillId="10" borderId="4" xfId="1" applyFont="1" applyFill="1" applyBorder="1" applyAlignment="1">
      <alignment horizontal="center"/>
    </xf>
    <xf numFmtId="44" fontId="26" fillId="10" borderId="3" xfId="1" applyFont="1" applyFill="1" applyBorder="1" applyAlignment="1">
      <alignment horizontal="center"/>
    </xf>
    <xf numFmtId="44" fontId="0" fillId="10" borderId="3" xfId="1" applyFont="1" applyFill="1" applyBorder="1"/>
    <xf numFmtId="44" fontId="0" fillId="10" borderId="23" xfId="1" applyFont="1" applyFill="1" applyBorder="1"/>
    <xf numFmtId="44" fontId="28" fillId="10" borderId="23" xfId="1" applyFont="1" applyFill="1" applyBorder="1"/>
    <xf numFmtId="44" fontId="26" fillId="10" borderId="3" xfId="1" applyFont="1" applyFill="1" applyBorder="1" applyAlignment="1">
      <alignment horizontal="right"/>
    </xf>
    <xf numFmtId="171" fontId="26" fillId="10" borderId="3" xfId="2" applyNumberFormat="1" applyFont="1" applyFill="1" applyBorder="1" applyAlignment="1">
      <alignment horizontal="right"/>
    </xf>
    <xf numFmtId="166" fontId="0" fillId="10" borderId="3" xfId="3" applyNumberFormat="1" applyFont="1" applyFill="1" applyBorder="1" applyAlignment="1">
      <alignment horizontal="right"/>
    </xf>
    <xf numFmtId="167" fontId="0" fillId="10" borderId="3" xfId="0" applyNumberFormat="1" applyFont="1" applyFill="1" applyBorder="1" applyAlignment="1">
      <alignment horizontal="right"/>
    </xf>
    <xf numFmtId="167" fontId="0" fillId="10" borderId="3" xfId="0" applyNumberFormat="1" applyFill="1" applyBorder="1" applyAlignment="1">
      <alignment horizontal="right"/>
    </xf>
    <xf numFmtId="167" fontId="0" fillId="10" borderId="4" xfId="0" applyNumberFormat="1" applyFill="1" applyBorder="1" applyAlignment="1">
      <alignment horizontal="right"/>
    </xf>
    <xf numFmtId="0" fontId="28" fillId="10" borderId="24" xfId="0" applyFont="1" applyFill="1" applyBorder="1" applyAlignment="1">
      <alignment horizontal="center"/>
    </xf>
    <xf numFmtId="0" fontId="28" fillId="10" borderId="0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44" fontId="0" fillId="10" borderId="0" xfId="1" applyFont="1" applyFill="1" applyBorder="1"/>
    <xf numFmtId="44" fontId="26" fillId="10" borderId="0" xfId="1" applyFont="1" applyFill="1" applyBorder="1" applyAlignment="1">
      <alignment horizontal="right"/>
    </xf>
    <xf numFmtId="171" fontId="26" fillId="10" borderId="0" xfId="2" applyNumberFormat="1" applyFont="1" applyFill="1" applyBorder="1" applyAlignment="1">
      <alignment horizontal="right"/>
    </xf>
    <xf numFmtId="166" fontId="0" fillId="10" borderId="0" xfId="3" applyNumberFormat="1" applyFont="1" applyFill="1" applyBorder="1" applyAlignment="1">
      <alignment horizontal="right"/>
    </xf>
    <xf numFmtId="167" fontId="0" fillId="10" borderId="0" xfId="0" applyNumberFormat="1" applyFont="1" applyFill="1" applyBorder="1" applyAlignment="1">
      <alignment horizontal="right"/>
    </xf>
    <xf numFmtId="167" fontId="0" fillId="10" borderId="0" xfId="0" applyNumberFormat="1" applyFill="1" applyBorder="1" applyAlignment="1">
      <alignment horizontal="right"/>
    </xf>
    <xf numFmtId="167" fontId="0" fillId="10" borderId="25" xfId="0" applyNumberFormat="1" applyFill="1" applyBorder="1" applyAlignment="1">
      <alignment horizontal="right"/>
    </xf>
    <xf numFmtId="0" fontId="28" fillId="10" borderId="26" xfId="0" applyFont="1" applyFill="1" applyBorder="1" applyAlignment="1">
      <alignment horizontal="center"/>
    </xf>
    <xf numFmtId="0" fontId="28" fillId="10" borderId="27" xfId="0" applyFont="1" applyFill="1" applyBorder="1" applyAlignment="1">
      <alignment horizontal="center"/>
    </xf>
    <xf numFmtId="0" fontId="0" fillId="10" borderId="27" xfId="0" applyFont="1" applyFill="1" applyBorder="1" applyAlignment="1">
      <alignment horizontal="center"/>
    </xf>
    <xf numFmtId="44" fontId="0" fillId="10" borderId="26" xfId="1" applyFont="1" applyFill="1" applyBorder="1" applyAlignment="1">
      <alignment horizontal="center"/>
    </xf>
    <xf numFmtId="44" fontId="0" fillId="10" borderId="27" xfId="1" applyFont="1" applyFill="1" applyBorder="1" applyAlignment="1">
      <alignment horizontal="center"/>
    </xf>
    <xf numFmtId="44" fontId="0" fillId="10" borderId="28" xfId="1" applyFont="1" applyFill="1" applyBorder="1" applyAlignment="1">
      <alignment horizontal="center"/>
    </xf>
    <xf numFmtId="44" fontId="26" fillId="10" borderId="27" xfId="1" applyFont="1" applyFill="1" applyBorder="1" applyAlignment="1">
      <alignment horizontal="center"/>
    </xf>
    <xf numFmtId="44" fontId="0" fillId="10" borderId="27" xfId="1" applyFont="1" applyFill="1" applyBorder="1"/>
    <xf numFmtId="44" fontId="0" fillId="10" borderId="22" xfId="1" applyFont="1" applyFill="1" applyBorder="1"/>
    <xf numFmtId="44" fontId="28" fillId="10" borderId="22" xfId="1" applyFont="1" applyFill="1" applyBorder="1"/>
    <xf numFmtId="44" fontId="26" fillId="10" borderId="27" xfId="1" applyFont="1" applyFill="1" applyBorder="1" applyAlignment="1">
      <alignment horizontal="right"/>
    </xf>
    <xf numFmtId="171" fontId="26" fillId="10" borderId="27" xfId="2" applyNumberFormat="1" applyFont="1" applyFill="1" applyBorder="1" applyAlignment="1">
      <alignment horizontal="right"/>
    </xf>
    <xf numFmtId="166" fontId="0" fillId="10" borderId="27" xfId="3" applyNumberFormat="1" applyFont="1" applyFill="1" applyBorder="1" applyAlignment="1">
      <alignment horizontal="right"/>
    </xf>
    <xf numFmtId="167" fontId="0" fillId="10" borderId="27" xfId="0" applyNumberFormat="1" applyFont="1" applyFill="1" applyBorder="1" applyAlignment="1">
      <alignment horizontal="right"/>
    </xf>
    <xf numFmtId="167" fontId="0" fillId="10" borderId="27" xfId="0" applyNumberFormat="1" applyFill="1" applyBorder="1" applyAlignment="1">
      <alignment horizontal="right"/>
    </xf>
    <xf numFmtId="167" fontId="0" fillId="10" borderId="28" xfId="0" applyNumberFormat="1" applyFill="1" applyBorder="1" applyAlignment="1">
      <alignment horizontal="right"/>
    </xf>
    <xf numFmtId="44" fontId="0" fillId="11" borderId="0" xfId="1" applyFont="1" applyFill="1" applyBorder="1"/>
    <xf numFmtId="44" fontId="0" fillId="11" borderId="27" xfId="1" applyFont="1" applyFill="1" applyBorder="1"/>
    <xf numFmtId="0" fontId="29" fillId="11" borderId="6" xfId="4" applyFont="1" applyFill="1" applyBorder="1" applyAlignment="1">
      <alignment horizontal="center" wrapText="1"/>
    </xf>
    <xf numFmtId="44" fontId="0" fillId="9" borderId="2" xfId="1" applyFont="1" applyFill="1" applyBorder="1" applyAlignment="1">
      <alignment horizontal="center"/>
    </xf>
    <xf numFmtId="0" fontId="29" fillId="8" borderId="30" xfId="4" quotePrefix="1" applyFont="1" applyFill="1" applyBorder="1" applyAlignment="1">
      <alignment horizontal="center" wrapText="1"/>
    </xf>
    <xf numFmtId="0" fontId="29" fillId="8" borderId="31" xfId="4" applyFont="1" applyFill="1" applyBorder="1" applyAlignment="1">
      <alignment horizontal="center" wrapText="1"/>
    </xf>
    <xf numFmtId="44" fontId="0" fillId="10" borderId="28" xfId="1" applyFont="1" applyFill="1" applyBorder="1"/>
    <xf numFmtId="44" fontId="17" fillId="10" borderId="0" xfId="1" applyFont="1" applyFill="1" applyBorder="1"/>
    <xf numFmtId="44" fontId="17" fillId="10" borderId="27" xfId="1" applyFont="1" applyFill="1" applyBorder="1"/>
    <xf numFmtId="0" fontId="29" fillId="10" borderId="32" xfId="4" applyFont="1" applyFill="1" applyBorder="1" applyAlignment="1">
      <alignment horizontal="center" wrapText="1"/>
    </xf>
    <xf numFmtId="44" fontId="26" fillId="0" borderId="0" xfId="0" applyNumberFormat="1" applyFont="1"/>
    <xf numFmtId="44" fontId="28" fillId="10" borderId="0" xfId="1" applyFont="1" applyFill="1" applyBorder="1" applyAlignment="1">
      <alignment horizontal="center"/>
    </xf>
    <xf numFmtId="44" fontId="28" fillId="10" borderId="27" xfId="1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44" fontId="28" fillId="10" borderId="26" xfId="1" applyFont="1" applyFill="1" applyBorder="1" applyAlignment="1">
      <alignment horizontal="center"/>
    </xf>
    <xf numFmtId="44" fontId="0" fillId="0" borderId="26" xfId="1" applyFont="1" applyBorder="1" applyAlignment="1">
      <alignment horizontal="center"/>
    </xf>
    <xf numFmtId="0" fontId="0" fillId="0" borderId="0" xfId="0" applyAlignment="1">
      <alignment wrapText="1"/>
    </xf>
    <xf numFmtId="8" fontId="0" fillId="0" borderId="0" xfId="0" applyNumberFormat="1"/>
    <xf numFmtId="0" fontId="4" fillId="0" borderId="0" xfId="0" applyFont="1" applyAlignment="1">
      <alignment wrapText="1"/>
    </xf>
    <xf numFmtId="44" fontId="2" fillId="0" borderId="0" xfId="0" applyNumberFormat="1" applyFont="1"/>
    <xf numFmtId="44" fontId="0" fillId="0" borderId="0" xfId="1" applyNumberFormat="1" applyFont="1"/>
    <xf numFmtId="0" fontId="0" fillId="0" borderId="1" xfId="0" applyBorder="1" applyAlignment="1">
      <alignment horizontal="right"/>
    </xf>
    <xf numFmtId="44" fontId="0" fillId="0" borderId="1" xfId="0" applyNumberFormat="1" applyBorder="1"/>
    <xf numFmtId="44" fontId="0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 applyNumberFormat="1" applyFill="1"/>
    <xf numFmtId="44" fontId="0" fillId="0" borderId="0" xfId="1" applyFont="1" applyFill="1" applyAlignment="1">
      <alignment horizontal="right"/>
    </xf>
    <xf numFmtId="44" fontId="0" fillId="0" borderId="0" xfId="1" applyFont="1" applyFill="1"/>
    <xf numFmtId="164" fontId="0" fillId="0" borderId="0" xfId="2" applyNumberFormat="1" applyFont="1" applyFill="1"/>
    <xf numFmtId="0" fontId="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9" fontId="5" fillId="0" borderId="1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3" fillId="0" borderId="0" xfId="0" applyFont="1" applyAlignment="1">
      <alignment vertical="center"/>
    </xf>
    <xf numFmtId="44" fontId="33" fillId="0" borderId="1" xfId="1" applyFont="1" applyFill="1" applyBorder="1" applyAlignment="1">
      <alignment horizontal="right" vertical="center"/>
    </xf>
    <xf numFmtId="0" fontId="33" fillId="0" borderId="1" xfId="0" applyFont="1" applyBorder="1" applyAlignment="1">
      <alignment vertical="center"/>
    </xf>
    <xf numFmtId="0" fontId="26" fillId="0" borderId="0" xfId="0" quotePrefix="1" applyFont="1"/>
    <xf numFmtId="9" fontId="26" fillId="0" borderId="0" xfId="2" applyFont="1"/>
    <xf numFmtId="166" fontId="26" fillId="0" borderId="0" xfId="0" applyNumberFormat="1" applyFont="1"/>
    <xf numFmtId="0" fontId="5" fillId="0" borderId="0" xfId="0" applyFont="1" applyFill="1" applyBorder="1" applyAlignment="1">
      <alignment vertical="center"/>
    </xf>
    <xf numFmtId="166" fontId="26" fillId="0" borderId="0" xfId="3" applyNumberFormat="1" applyFont="1"/>
    <xf numFmtId="0" fontId="0" fillId="0" borderId="16" xfId="0" applyFill="1" applyBorder="1"/>
    <xf numFmtId="0" fontId="0" fillId="0" borderId="11" xfId="0" applyFill="1" applyBorder="1"/>
    <xf numFmtId="44" fontId="0" fillId="0" borderId="10" xfId="0" applyNumberFormat="1" applyFill="1" applyBorder="1"/>
    <xf numFmtId="0" fontId="0" fillId="0" borderId="17" xfId="0" applyFill="1" applyBorder="1"/>
    <xf numFmtId="0" fontId="0" fillId="0" borderId="13" xfId="0" applyFill="1" applyBorder="1"/>
    <xf numFmtId="10" fontId="0" fillId="0" borderId="17" xfId="0" applyNumberFormat="1" applyFill="1" applyBorder="1"/>
    <xf numFmtId="44" fontId="0" fillId="0" borderId="13" xfId="1" applyFont="1" applyFill="1" applyBorder="1"/>
    <xf numFmtId="44" fontId="0" fillId="0" borderId="13" xfId="0" applyNumberFormat="1" applyFill="1" applyBorder="1"/>
    <xf numFmtId="44" fontId="0" fillId="0" borderId="17" xfId="0" applyNumberFormat="1" applyFill="1" applyBorder="1"/>
    <xf numFmtId="44" fontId="0" fillId="0" borderId="18" xfId="0" applyNumberFormat="1" applyFill="1" applyBorder="1"/>
    <xf numFmtId="0" fontId="0" fillId="0" borderId="9" xfId="0" applyFill="1" applyBorder="1"/>
    <xf numFmtId="44" fontId="0" fillId="0" borderId="12" xfId="0" applyNumberFormat="1" applyFill="1" applyBorder="1"/>
    <xf numFmtId="0" fontId="0" fillId="2" borderId="6" xfId="0" applyFill="1" applyBorder="1" applyAlignment="1">
      <alignment horizontal="center"/>
    </xf>
    <xf numFmtId="44" fontId="0" fillId="9" borderId="0" xfId="1" applyFont="1" applyFill="1" applyBorder="1" applyAlignment="1">
      <alignment horizontal="center"/>
    </xf>
    <xf numFmtId="0" fontId="0" fillId="0" borderId="0" xfId="0" applyFont="1" applyFill="1" applyBorder="1"/>
    <xf numFmtId="44" fontId="28" fillId="8" borderId="25" xfId="1" applyFont="1" applyFill="1" applyBorder="1" applyAlignment="1">
      <alignment horizontal="center"/>
    </xf>
    <xf numFmtId="44" fontId="0" fillId="8" borderId="25" xfId="1" applyFont="1" applyFill="1" applyBorder="1"/>
    <xf numFmtId="44" fontId="0" fillId="10" borderId="25" xfId="1" applyFont="1" applyFill="1" applyBorder="1"/>
    <xf numFmtId="0" fontId="0" fillId="8" borderId="25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44" fontId="0" fillId="9" borderId="26" xfId="1" applyFont="1" applyFill="1" applyBorder="1" applyAlignment="1">
      <alignment horizontal="center"/>
    </xf>
    <xf numFmtId="44" fontId="0" fillId="8" borderId="28" xfId="1" applyFont="1" applyFill="1" applyBorder="1"/>
    <xf numFmtId="44" fontId="28" fillId="8" borderId="28" xfId="1" applyFont="1" applyFill="1" applyBorder="1" applyAlignment="1">
      <alignment horizontal="center"/>
    </xf>
    <xf numFmtId="166" fontId="0" fillId="0" borderId="9" xfId="3" applyNumberFormat="1" applyFont="1" applyBorder="1"/>
    <xf numFmtId="174" fontId="0" fillId="0" borderId="0" xfId="0" applyNumberFormat="1" applyFont="1"/>
    <xf numFmtId="175" fontId="0" fillId="0" borderId="0" xfId="0" applyNumberFormat="1" applyFont="1"/>
    <xf numFmtId="44" fontId="28" fillId="10" borderId="28" xfId="1" applyFont="1" applyFill="1" applyBorder="1" applyAlignment="1">
      <alignment horizontal="center"/>
    </xf>
    <xf numFmtId="44" fontId="28" fillId="10" borderId="2" xfId="1" applyFont="1" applyFill="1" applyBorder="1" applyAlignment="1">
      <alignment horizontal="center"/>
    </xf>
    <xf numFmtId="44" fontId="28" fillId="10" borderId="4" xfId="1" applyFont="1" applyFill="1" applyBorder="1" applyAlignment="1">
      <alignment horizontal="center"/>
    </xf>
    <xf numFmtId="44" fontId="28" fillId="10" borderId="24" xfId="1" applyFont="1" applyFill="1" applyBorder="1" applyAlignment="1">
      <alignment horizontal="center"/>
    </xf>
    <xf numFmtId="44" fontId="28" fillId="10" borderId="25" xfId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4" fillId="0" borderId="0" xfId="0" applyFont="1"/>
    <xf numFmtId="0" fontId="35" fillId="0" borderId="0" xfId="0" applyFont="1"/>
  </cellXfs>
  <cellStyles count="11">
    <cellStyle name="Comma" xfId="3" builtinId="3"/>
    <cellStyle name="Comma 2" xfId="6"/>
    <cellStyle name="Currency" xfId="1" builtinId="4"/>
    <cellStyle name="Currency 2" xfId="8"/>
    <cellStyle name="Normal" xfId="0" builtinId="0"/>
    <cellStyle name="Normal 2" xfId="4"/>
    <cellStyle name="Normal 2 19" xfId="10"/>
    <cellStyle name="Normal 3" xfId="5"/>
    <cellStyle name="Normal 6" xfId="9"/>
    <cellStyle name="Percent" xfId="2" builtinId="5"/>
    <cellStyle name="Percent 2" xfId="7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4"/>
  <sheetViews>
    <sheetView tabSelected="1" zoomScale="80" zoomScaleNormal="80" workbookViewId="0"/>
  </sheetViews>
  <sheetFormatPr defaultRowHeight="15" x14ac:dyDescent="0.25"/>
  <cols>
    <col min="1" max="1" width="9.140625" style="135"/>
    <col min="2" max="2" width="13.140625" style="135" customWidth="1"/>
    <col min="3" max="3" width="9.7109375" style="135" bestFit="1" customWidth="1"/>
    <col min="4" max="4" width="9.7109375" style="135" customWidth="1"/>
    <col min="5" max="5" width="30.140625" style="135" bestFit="1" customWidth="1"/>
    <col min="6" max="10" width="13.5703125" style="135" customWidth="1"/>
    <col min="11" max="11" width="19" style="135" bestFit="1" customWidth="1"/>
    <col min="12" max="15" width="19" style="135" customWidth="1"/>
    <col min="16" max="16" width="11" style="135" bestFit="1" customWidth="1"/>
    <col min="17" max="17" width="11" style="135" customWidth="1"/>
    <col min="18" max="18" width="12.5703125" style="2" customWidth="1"/>
    <col min="19" max="19" width="14" style="2" customWidth="1"/>
    <col min="20" max="26" width="14.85546875" style="2" customWidth="1"/>
    <col min="27" max="27" width="12.5703125" style="2" customWidth="1"/>
    <col min="28" max="28" width="12.85546875" style="2" customWidth="1"/>
    <col min="29" max="29" width="9.140625" style="2"/>
    <col min="30" max="30" width="12.42578125" style="2" customWidth="1"/>
    <col min="31" max="31" width="10" style="2" customWidth="1"/>
    <col min="32" max="32" width="12.7109375" style="2" customWidth="1"/>
    <col min="33" max="33" width="12.7109375" style="2" bestFit="1" customWidth="1"/>
    <col min="34" max="34" width="13.42578125" style="2" bestFit="1" customWidth="1"/>
    <col min="35" max="35" width="13.28515625" style="2" customWidth="1"/>
    <col min="36" max="36" width="15.7109375" style="2" bestFit="1" customWidth="1"/>
    <col min="37" max="40" width="9.140625" style="2"/>
    <col min="41" max="41" width="14.85546875" style="2" customWidth="1"/>
    <col min="42" max="42" width="10.7109375" style="2" bestFit="1" customWidth="1"/>
    <col min="43" max="43" width="12.7109375" style="2" customWidth="1"/>
    <col min="44" max="16384" width="9.140625" style="2"/>
  </cols>
  <sheetData>
    <row r="1" spans="1:36" x14ac:dyDescent="0.25">
      <c r="S1" s="127">
        <v>7.2639999999999996E-2</v>
      </c>
      <c r="T1" s="2" t="s">
        <v>328</v>
      </c>
    </row>
    <row r="2" spans="1:36" x14ac:dyDescent="0.25">
      <c r="S2" s="127">
        <v>2.6089999999999999E-2</v>
      </c>
      <c r="T2" s="2" t="s">
        <v>253</v>
      </c>
    </row>
    <row r="3" spans="1:36" x14ac:dyDescent="0.25">
      <c r="S3" s="127">
        <v>9.4999999999999998E-3</v>
      </c>
      <c r="T3" s="2" t="s">
        <v>254</v>
      </c>
    </row>
    <row r="4" spans="1:36" x14ac:dyDescent="0.25">
      <c r="S4" s="127">
        <v>0</v>
      </c>
      <c r="T4" s="2" t="s">
        <v>339</v>
      </c>
    </row>
    <row r="5" spans="1:36" x14ac:dyDescent="0.25">
      <c r="R5" s="211"/>
      <c r="S5" s="128">
        <v>0</v>
      </c>
      <c r="T5" s="2" t="s">
        <v>333</v>
      </c>
    </row>
    <row r="6" spans="1:36" x14ac:dyDescent="0.25">
      <c r="P6" s="2"/>
      <c r="Q6" s="2"/>
      <c r="R6" s="288" t="s">
        <v>507</v>
      </c>
      <c r="S6" s="128">
        <f>'Fixed Carrying Cost'!F78</f>
        <v>0.17566971332376194</v>
      </c>
      <c r="T6" s="2" t="s">
        <v>505</v>
      </c>
    </row>
    <row r="7" spans="1:36" x14ac:dyDescent="0.25">
      <c r="P7" s="2"/>
      <c r="Q7" s="2"/>
      <c r="R7" s="288" t="s">
        <v>506</v>
      </c>
      <c r="S7" s="128">
        <f>'Fixed Carrying Cost'!F69</f>
        <v>0.14900304665709527</v>
      </c>
      <c r="T7" s="2" t="s">
        <v>578</v>
      </c>
    </row>
    <row r="8" spans="1:36" x14ac:dyDescent="0.25">
      <c r="P8" s="2"/>
      <c r="Q8" s="2"/>
      <c r="R8" s="288" t="s">
        <v>506</v>
      </c>
      <c r="S8" s="128">
        <f>'Fixed Carrying Cost'!F33</f>
        <v>0.14900304665709527</v>
      </c>
      <c r="T8" s="2" t="s">
        <v>503</v>
      </c>
    </row>
    <row r="9" spans="1:36" x14ac:dyDescent="0.25">
      <c r="P9" s="2"/>
      <c r="Q9" s="2"/>
      <c r="R9" s="288" t="s">
        <v>489</v>
      </c>
      <c r="S9" s="134">
        <f>'Fixed Carrying Cost'!F55</f>
        <v>0.16392527775058691</v>
      </c>
      <c r="T9" s="133" t="s">
        <v>335</v>
      </c>
    </row>
    <row r="10" spans="1:36" x14ac:dyDescent="0.25">
      <c r="N10" s="212"/>
      <c r="O10" s="212"/>
      <c r="P10" s="213"/>
      <c r="Q10" s="213"/>
    </row>
    <row r="11" spans="1:36" ht="15.75" thickBot="1" x14ac:dyDescent="0.3">
      <c r="N11" s="212"/>
      <c r="O11" s="212"/>
      <c r="P11" s="213"/>
      <c r="Q11" s="213"/>
      <c r="S11" s="129">
        <f>S1-S2-S3</f>
        <v>3.7049999999999993E-2</v>
      </c>
    </row>
    <row r="12" spans="1:36" ht="60.75" thickBot="1" x14ac:dyDescent="0.3">
      <c r="A12" s="137" t="s">
        <v>187</v>
      </c>
      <c r="B12" s="137" t="s">
        <v>185</v>
      </c>
      <c r="C12" s="137" t="s">
        <v>343</v>
      </c>
      <c r="D12" s="137" t="s">
        <v>200</v>
      </c>
      <c r="E12" s="137" t="s">
        <v>11</v>
      </c>
      <c r="F12" s="138" t="s">
        <v>209</v>
      </c>
      <c r="G12" s="138" t="s">
        <v>260</v>
      </c>
      <c r="H12" s="138" t="s">
        <v>255</v>
      </c>
      <c r="I12" s="214" t="s">
        <v>490</v>
      </c>
      <c r="J12" s="215" t="s">
        <v>491</v>
      </c>
      <c r="K12" s="224" t="s">
        <v>186</v>
      </c>
      <c r="L12" s="215" t="s">
        <v>509</v>
      </c>
      <c r="M12" s="215" t="s">
        <v>508</v>
      </c>
      <c r="N12" s="214" t="s">
        <v>492</v>
      </c>
      <c r="O12" s="215" t="s">
        <v>493</v>
      </c>
      <c r="P12" s="216" t="s">
        <v>494</v>
      </c>
      <c r="Q12" s="279" t="s">
        <v>495</v>
      </c>
      <c r="R12" s="280" t="s">
        <v>256</v>
      </c>
      <c r="S12" s="139" t="s">
        <v>257</v>
      </c>
      <c r="T12" s="139" t="s">
        <v>329</v>
      </c>
      <c r="U12" s="139" t="s">
        <v>330</v>
      </c>
      <c r="V12" s="139" t="s">
        <v>337</v>
      </c>
      <c r="W12" s="139" t="s">
        <v>258</v>
      </c>
      <c r="X12" s="277" t="s">
        <v>497</v>
      </c>
      <c r="Y12" s="139" t="s">
        <v>336</v>
      </c>
      <c r="Z12" s="277" t="s">
        <v>501</v>
      </c>
      <c r="AA12" s="284" t="s">
        <v>498</v>
      </c>
      <c r="AB12" s="165" t="s">
        <v>338</v>
      </c>
      <c r="AC12" s="164" t="s">
        <v>259</v>
      </c>
      <c r="AD12" s="140" t="s">
        <v>341</v>
      </c>
      <c r="AE12" s="140" t="s">
        <v>340</v>
      </c>
      <c r="AF12" s="130" t="s">
        <v>484</v>
      </c>
      <c r="AG12" s="131" t="s">
        <v>485</v>
      </c>
      <c r="AH12" s="131" t="s">
        <v>486</v>
      </c>
      <c r="AI12" s="140" t="s">
        <v>487</v>
      </c>
      <c r="AJ12" s="140" t="s">
        <v>488</v>
      </c>
    </row>
    <row r="13" spans="1:36" x14ac:dyDescent="0.25">
      <c r="A13" s="172" t="s">
        <v>189</v>
      </c>
      <c r="B13" s="173">
        <v>390</v>
      </c>
      <c r="C13" s="173" t="s">
        <v>190</v>
      </c>
      <c r="D13" s="174" t="str">
        <f>IF($C13="UG",HLOOKUP($B13,'LS - Underground Lights'!$C$3:$R$76,4,FALSE),HLOOKUP($B13,'LS - Overhead Lights'!$C$3:$K$52,4,FALSE))</f>
        <v>LED</v>
      </c>
      <c r="E13" s="174" t="str">
        <f>IF(C13="UG",HLOOKUP($B13,'LS - Underground Lights'!$C$3:$R$76,2,FALSE),HLOOKUP($B13,'LS - Overhead Lights'!$C$3:$K$52,2,FALSE))</f>
        <v>Cobra</v>
      </c>
      <c r="F13" s="174" t="str">
        <f>IF($C13="UG",HLOOKUP($B13,'LS - Underground Lights'!$C$3:$R$76,5,FALSE),HLOOKUP($B13,'LS - Overhead Lights'!$C$3:$K$52,5,FALSE))</f>
        <v>150w</v>
      </c>
      <c r="G13" s="174">
        <f>IF($C13="UG",HLOOKUP($B13,'LS - Underground Lights'!$C$3:$R$76,6,FALSE),HLOOKUP($B13,'LS - Overhead Lights'!$C$3:$K$52,6,FALSE))</f>
        <v>71</v>
      </c>
      <c r="H13" s="174" t="str">
        <f>IF($C13="UG",HLOOKUP($B13,'LS - Underground Lights'!$C$3:$R$76,3,FALSE),HLOOKUP($B13,'LS - Overhead Lights'!$C$3:$K$52,3,FALSE))</f>
        <v>6000-8200</v>
      </c>
      <c r="I13" s="218">
        <f>IFERROR(IF(C13="UG",VLOOKUP($AK13,'Maintenance &amp; NBV'!$B$44:$K$47,9,FALSE),0),0)</f>
        <v>0</v>
      </c>
      <c r="J13" s="175">
        <f>IF($C13="UG",HLOOKUP($B13,'LS - Underground Lights'!$C$3:$R$76,64,FALSE),HLOOKUP($B13,'LS - Overhead Lights'!$C$3:$K$52,44,FALSE))</f>
        <v>654.21571399595973</v>
      </c>
      <c r="K13" s="219">
        <f t="shared" ref="K13:K31" si="0">SUM(I13:J13)</f>
        <v>654.21571399595973</v>
      </c>
      <c r="L13" s="286" t="s">
        <v>489</v>
      </c>
      <c r="M13" s="286" t="s">
        <v>506</v>
      </c>
      <c r="N13" s="217">
        <f t="shared" ref="N13:N40" si="1">$I13*VLOOKUP($L13,$R$6:$S$9,2,FALSE)</f>
        <v>0</v>
      </c>
      <c r="O13" s="183">
        <f t="shared" ref="O13:O40" si="2">$J13*VLOOKUP($M13,$R$6:$S$9,2,FALSE)</f>
        <v>97.480134556344879</v>
      </c>
      <c r="P13" s="221">
        <f t="shared" ref="P13:P31" si="3">SUM(N13:O13)</f>
        <v>97.480134556344879</v>
      </c>
      <c r="Q13" s="175">
        <f>IF($C13="UG",HLOOKUP($B13,'LS - Underground Lights'!$C$3:$R$78,76,FALSE),HLOOKUP($B13,'LS - Overhead Lights'!$C$3:$K$52,49,FALSE))</f>
        <v>4.6254197082383142</v>
      </c>
      <c r="R13" s="219">
        <f t="shared" ref="R13:R40" si="4">SUM(Q13:Q13)</f>
        <v>4.6254197082383142</v>
      </c>
      <c r="S13" s="176">
        <f t="shared" ref="S13:S40" si="5">IF(G13=0,0,$S$11*((G13/1000)*4000))</f>
        <v>10.522199999999998</v>
      </c>
      <c r="T13" s="176">
        <f t="shared" ref="T13:T23" si="6">IF($G13=0,0,$S$2*(($G13/1000)*4000))/12</f>
        <v>0.61746333333333336</v>
      </c>
      <c r="U13" s="176">
        <f t="shared" ref="U13:U23" si="7">IF($G13=0,0,$S$3*(($G13/1000)*4000))/12</f>
        <v>0.22483333333333333</v>
      </c>
      <c r="V13" s="176">
        <f t="shared" ref="V13:V40" si="8">IF($G13=0,0,$S$4*(($G13/1000)*4000))/12</f>
        <v>0</v>
      </c>
      <c r="W13" s="177">
        <f t="shared" ref="W13:W36" si="9">(SUM(P13,R13,S13)/12)+T13+U13+V13</f>
        <v>10.227942855381931</v>
      </c>
      <c r="X13" s="177"/>
      <c r="Y13" s="177">
        <f t="shared" ref="Y13:Y14" si="10">W13*$S$5</f>
        <v>0</v>
      </c>
      <c r="Z13" s="177"/>
      <c r="AA13" s="177"/>
      <c r="AB13" s="241">
        <f>SUM(W13,Y13)</f>
        <v>10.227942855381931</v>
      </c>
      <c r="AC13" s="178">
        <v>15.88</v>
      </c>
      <c r="AD13" s="179">
        <f t="shared" ref="AD13:AD14" si="11">IFERROR(AB13-AC13,"-")</f>
        <v>-5.6520571446180696</v>
      </c>
      <c r="AE13" s="166">
        <f t="shared" ref="AE13:AE14" si="12">IFERROR(AD13/AC13,"-")</f>
        <v>-0.35592299399358118</v>
      </c>
      <c r="AF13" s="198">
        <f>IFERROR(SUMIFS('Forecast Count'!$F$4:$F$99,'Forecast Count'!$A$4:$A$99,$B13),"N/A")</f>
        <v>1</v>
      </c>
      <c r="AG13" s="199">
        <f t="shared" ref="AG13:AG14" si="13">IFERROR(AB13*AF13,"N/A")</f>
        <v>10.227942855381931</v>
      </c>
      <c r="AH13" s="199">
        <f t="shared" ref="AH13:AH14" si="14">IFERROR(AF13*AC13,"N/A")</f>
        <v>15.88</v>
      </c>
      <c r="AI13" s="200">
        <f t="shared" ref="AI13:AI14" si="15">AG13*12</f>
        <v>122.73531426458317</v>
      </c>
      <c r="AJ13" s="201">
        <f t="shared" ref="AJ13:AJ14" si="16">IFERROR(AH13*12,0)</f>
        <v>190.56</v>
      </c>
    </row>
    <row r="14" spans="1:36" x14ac:dyDescent="0.25">
      <c r="A14" s="180" t="s">
        <v>189</v>
      </c>
      <c r="B14" s="181">
        <v>391</v>
      </c>
      <c r="C14" s="181" t="s">
        <v>190</v>
      </c>
      <c r="D14" s="182" t="str">
        <f>IF($C14="UG",HLOOKUP($B14,'LS - Underground Lights'!$C$3:$R$76,4,FALSE),HLOOKUP($B14,'LS - Overhead Lights'!$C$3:$K$52,4,FALSE))</f>
        <v>LED</v>
      </c>
      <c r="E14" s="182" t="str">
        <f>IF(C14="UG",HLOOKUP($B14,'LS - Underground Lights'!$C$3:$R$76,2,FALSE),HLOOKUP($B14,'LS - Overhead Lights'!$C$3:$K$52,2,FALSE))</f>
        <v>Cobra</v>
      </c>
      <c r="F14" s="182" t="str">
        <f>IF($C14="UG",HLOOKUP($B14,'LS - Underground Lights'!$C$3:$R$76,5,FALSE),HLOOKUP($B14,'LS - Overhead Lights'!$C$3:$K$52,5,FALSE))</f>
        <v>250w</v>
      </c>
      <c r="G14" s="182">
        <f>IF($C14="UG",HLOOKUP($B14,'LS - Underground Lights'!$C$3:$R$76,6,FALSE),HLOOKUP($B14,'LS - Overhead Lights'!$C$3:$K$52,6,FALSE))</f>
        <v>122</v>
      </c>
      <c r="H14" s="182" t="str">
        <f>IF($C14="UG",HLOOKUP($B14,'LS - Underground Lights'!$C$3:$R$76,3,FALSE),HLOOKUP($B14,'LS - Overhead Lights'!$C$3:$K$52,3,FALSE))</f>
        <v>13000-16500</v>
      </c>
      <c r="I14" s="220">
        <f>IFERROR(IF(C14="UG",VLOOKUP($AK14,'Maintenance &amp; NBV'!$B$44:$K$47,9,FALSE),0),0)</f>
        <v>0</v>
      </c>
      <c r="J14" s="183">
        <f>IF($C14="UG",HLOOKUP($B14,'LS - Underground Lights'!$C$3:$R$76,64,FALSE),HLOOKUP($B14,'LS - Overhead Lights'!$C$3:$K$52,44,FALSE))</f>
        <v>725.08871399595967</v>
      </c>
      <c r="K14" s="221">
        <f t="shared" si="0"/>
        <v>725.08871399595967</v>
      </c>
      <c r="L14" s="286" t="s">
        <v>489</v>
      </c>
      <c r="M14" s="286" t="s">
        <v>506</v>
      </c>
      <c r="N14" s="217">
        <f t="shared" si="1"/>
        <v>0</v>
      </c>
      <c r="O14" s="183">
        <f t="shared" si="2"/>
        <v>108.04042748207318</v>
      </c>
      <c r="P14" s="221">
        <f t="shared" si="3"/>
        <v>108.04042748207318</v>
      </c>
      <c r="Q14" s="183">
        <f>IF($C14="UG",HLOOKUP($B14,'LS - Underground Lights'!$C$3:$R$78,76,FALSE),HLOOKUP($B14,'LS - Overhead Lights'!$C$3:$K$52,49,FALSE))</f>
        <v>4.6254197082383142</v>
      </c>
      <c r="R14" s="221">
        <f t="shared" si="4"/>
        <v>4.6254197082383142</v>
      </c>
      <c r="S14" s="184">
        <f t="shared" si="5"/>
        <v>18.080399999999997</v>
      </c>
      <c r="T14" s="184">
        <f t="shared" si="6"/>
        <v>1.0609933333333332</v>
      </c>
      <c r="U14" s="184">
        <f t="shared" si="7"/>
        <v>0.38633333333333336</v>
      </c>
      <c r="V14" s="184">
        <f t="shared" si="8"/>
        <v>0</v>
      </c>
      <c r="W14" s="185">
        <f t="shared" si="9"/>
        <v>12.342847265859291</v>
      </c>
      <c r="X14" s="185"/>
      <c r="Y14" s="185">
        <f t="shared" si="10"/>
        <v>0</v>
      </c>
      <c r="Z14" s="185"/>
      <c r="AA14" s="185"/>
      <c r="AB14" s="232">
        <f t="shared" ref="AB14:AB40" si="17">SUM(W14,Y14)</f>
        <v>12.342847265859291</v>
      </c>
      <c r="AC14" s="187">
        <v>18.600000000000001</v>
      </c>
      <c r="AD14" s="188">
        <f t="shared" si="11"/>
        <v>-6.2571527341407105</v>
      </c>
      <c r="AE14" s="169">
        <f t="shared" si="12"/>
        <v>-0.33640606097530701</v>
      </c>
      <c r="AF14" s="202">
        <f>IFERROR(SUMIFS('Forecast Count'!$F$4:$F$99,'Forecast Count'!$A$4:$A$99,$B14),"N/A")</f>
        <v>8</v>
      </c>
      <c r="AG14" s="203">
        <f t="shared" si="13"/>
        <v>98.742778126874327</v>
      </c>
      <c r="AH14" s="203">
        <f t="shared" si="14"/>
        <v>148.80000000000001</v>
      </c>
      <c r="AI14" s="204">
        <f t="shared" si="15"/>
        <v>1184.9133375224919</v>
      </c>
      <c r="AJ14" s="205">
        <f t="shared" si="16"/>
        <v>1785.6000000000001</v>
      </c>
    </row>
    <row r="15" spans="1:36" x14ac:dyDescent="0.25">
      <c r="A15" s="180" t="s">
        <v>189</v>
      </c>
      <c r="B15" s="181">
        <v>392</v>
      </c>
      <c r="C15" s="181" t="s">
        <v>190</v>
      </c>
      <c r="D15" s="182" t="str">
        <f>IF($C15="UG",HLOOKUP($B15,'LS - Underground Lights'!$C$3:$R$76,4,FALSE),HLOOKUP($B15,'LS - Overhead Lights'!$C$3:$K$52,4,FALSE))</f>
        <v>LED</v>
      </c>
      <c r="E15" s="182" t="str">
        <f>IF(C15="UG",HLOOKUP($B15,'LS - Underground Lights'!$C$3:$R$76,2,FALSE),HLOOKUP($B15,'LS - Overhead Lights'!$C$3:$K$52,2,FALSE))</f>
        <v>Cobra</v>
      </c>
      <c r="F15" s="182" t="str">
        <f>IF($C15="UG",HLOOKUP($B15,'LS - Underground Lights'!$C$3:$R$76,5,FALSE),HLOOKUP($B15,'LS - Overhead Lights'!$C$3:$K$52,5,FALSE))</f>
        <v>400w</v>
      </c>
      <c r="G15" s="182">
        <f>IF($C15="UG",HLOOKUP($B15,'LS - Underground Lights'!$C$3:$R$76,6,FALSE),HLOOKUP($B15,'LS - Overhead Lights'!$C$3:$K$52,6,FALSE))</f>
        <v>194</v>
      </c>
      <c r="H15" s="182" t="str">
        <f>IF($C15="UG",HLOOKUP($B15,'LS - Underground Lights'!$C$3:$R$76,3,FALSE),HLOOKUP($B15,'LS - Overhead Lights'!$C$3:$K$52,3,FALSE))</f>
        <v>22000-29000</v>
      </c>
      <c r="I15" s="220">
        <f>IFERROR(IF(C15="UG",VLOOKUP($AK15,'Maintenance &amp; NBV'!$B$44:$K$47,9,FALSE),0),0)</f>
        <v>0</v>
      </c>
      <c r="J15" s="183">
        <f>IF($C15="UG",HLOOKUP($B15,'LS - Underground Lights'!$C$3:$R$76,64,FALSE),HLOOKUP($B15,'LS - Overhead Lights'!$C$3:$K$52,44,FALSE))</f>
        <v>852.66011399595959</v>
      </c>
      <c r="K15" s="221">
        <f t="shared" si="0"/>
        <v>852.66011399595959</v>
      </c>
      <c r="L15" s="286" t="s">
        <v>489</v>
      </c>
      <c r="M15" s="286" t="s">
        <v>506</v>
      </c>
      <c r="N15" s="217">
        <f t="shared" si="1"/>
        <v>0</v>
      </c>
      <c r="O15" s="183">
        <f t="shared" si="2"/>
        <v>127.04895474838413</v>
      </c>
      <c r="P15" s="221">
        <f t="shared" si="3"/>
        <v>127.04895474838413</v>
      </c>
      <c r="Q15" s="183">
        <f>IF($C15="UG",HLOOKUP($B15,'LS - Underground Lights'!$C$3:$R$78,76,FALSE),HLOOKUP($B15,'LS - Overhead Lights'!$C$3:$K$52,49,FALSE))</f>
        <v>4.6254197082383142</v>
      </c>
      <c r="R15" s="221">
        <f t="shared" si="4"/>
        <v>4.6254197082383142</v>
      </c>
      <c r="S15" s="184">
        <f t="shared" si="5"/>
        <v>28.750799999999995</v>
      </c>
      <c r="T15" s="184">
        <f t="shared" si="6"/>
        <v>1.6871533333333331</v>
      </c>
      <c r="U15" s="184">
        <f t="shared" si="7"/>
        <v>0.61433333333333329</v>
      </c>
      <c r="V15" s="184">
        <f t="shared" si="8"/>
        <v>0</v>
      </c>
      <c r="W15" s="185">
        <f t="shared" si="9"/>
        <v>15.670251204718536</v>
      </c>
      <c r="X15" s="185"/>
      <c r="Y15" s="185">
        <f t="shared" ref="Y15:Z37" si="18">W15*$S$5</f>
        <v>0</v>
      </c>
      <c r="Z15" s="185"/>
      <c r="AA15" s="185"/>
      <c r="AB15" s="232">
        <f t="shared" si="17"/>
        <v>15.670251204718536</v>
      </c>
      <c r="AC15" s="187">
        <v>27.95</v>
      </c>
      <c r="AD15" s="188">
        <f t="shared" ref="AD15:AD31" si="19">IFERROR(AB15-AC15,"-")</f>
        <v>-12.279748795281463</v>
      </c>
      <c r="AE15" s="169">
        <f t="shared" ref="AE15:AE31" si="20">IFERROR(AD15/AC15,"-")</f>
        <v>-0.4393470051979057</v>
      </c>
      <c r="AF15" s="202">
        <f>IFERROR(SUMIFS('Forecast Count'!$F$4:$F$99,'Forecast Count'!$A$4:$A$99,$B15),"N/A")</f>
        <v>12</v>
      </c>
      <c r="AG15" s="203">
        <f t="shared" ref="AG15:AG31" si="21">IFERROR(AB15*AF15,"N/A")</f>
        <v>188.04301445662242</v>
      </c>
      <c r="AH15" s="203">
        <f t="shared" ref="AH15:AH31" si="22">IFERROR(AF15*AC15,"N/A")</f>
        <v>335.4</v>
      </c>
      <c r="AI15" s="204">
        <f t="shared" ref="AI15:AI31" si="23">AG15*12</f>
        <v>2256.5161734794692</v>
      </c>
      <c r="AJ15" s="205">
        <f t="shared" ref="AJ15:AJ31" si="24">IFERROR(AH15*12,0)</f>
        <v>4024.7999999999997</v>
      </c>
    </row>
    <row r="16" spans="1:36" x14ac:dyDescent="0.25">
      <c r="A16" s="180" t="s">
        <v>189</v>
      </c>
      <c r="B16" s="181">
        <v>393</v>
      </c>
      <c r="C16" s="181" t="s">
        <v>190</v>
      </c>
      <c r="D16" s="182" t="str">
        <f>IF($C16="UG",HLOOKUP($B16,'LS - Underground Lights'!$C$3:$R$76,4,FALSE),HLOOKUP($B16,'LS - Overhead Lights'!$C$3:$K$52,4,FALSE))</f>
        <v>LED</v>
      </c>
      <c r="E16" s="182" t="str">
        <f>IF(C16="UG",HLOOKUP($B16,'LS - Underground Lights'!$C$3:$R$76,2,FALSE),HLOOKUP($B16,'LS - Overhead Lights'!$C$3:$K$52,2,FALSE))</f>
        <v>Open Bottom</v>
      </c>
      <c r="F16" s="182" t="str">
        <f>IF($C16="UG",HLOOKUP($B16,'LS - Underground Lights'!$C$3:$R$76,5,FALSE),HLOOKUP($B16,'LS - Overhead Lights'!$C$3:$K$52,5,FALSE))</f>
        <v>100w</v>
      </c>
      <c r="G16" s="182">
        <f>IF($C16="UG",HLOOKUP($B16,'LS - Underground Lights'!$C$3:$R$76,6,FALSE),HLOOKUP($B16,'LS - Overhead Lights'!$C$3:$K$52,6,FALSE))</f>
        <v>48</v>
      </c>
      <c r="H16" s="182" t="str">
        <f>IF($C16="UG",HLOOKUP($B16,'LS - Underground Lights'!$C$3:$R$76,3,FALSE),HLOOKUP($B16,'LS - Overhead Lights'!$C$3:$K$52,3,FALSE))</f>
        <v>4500-6000</v>
      </c>
      <c r="I16" s="220">
        <f>IFERROR(IF(C16="UG",VLOOKUP($AK16,'Maintenance &amp; NBV'!$B$44:$K$47,9,FALSE),0),0)</f>
        <v>0</v>
      </c>
      <c r="J16" s="183">
        <f>IF($C16="UG",HLOOKUP($B16,'LS - Underground Lights'!$C$3:$R$76,64,FALSE),HLOOKUP($B16,'LS - Overhead Lights'!$C$3:$K$52,44,FALSE))</f>
        <v>495.71952800000003</v>
      </c>
      <c r="K16" s="221">
        <f t="shared" si="0"/>
        <v>495.71952800000003</v>
      </c>
      <c r="L16" s="286" t="s">
        <v>489</v>
      </c>
      <c r="M16" s="286" t="s">
        <v>507</v>
      </c>
      <c r="N16" s="217">
        <f t="shared" si="1"/>
        <v>0</v>
      </c>
      <c r="O16" s="183">
        <f t="shared" si="2"/>
        <v>87.082907372750583</v>
      </c>
      <c r="P16" s="221">
        <f>SUM(N16:O16)</f>
        <v>87.082907372750583</v>
      </c>
      <c r="Q16" s="183">
        <f>IF($C16="UG",HLOOKUP($B16,'LS - Underground Lights'!$C$3:$R$78,76,FALSE),HLOOKUP($B16,'LS - Overhead Lights'!$C$3:$K$52,49,FALSE))</f>
        <v>4.6254197082383142</v>
      </c>
      <c r="R16" s="221">
        <f t="shared" si="4"/>
        <v>4.6254197082383142</v>
      </c>
      <c r="S16" s="184">
        <f t="shared" si="5"/>
        <v>7.1135999999999981</v>
      </c>
      <c r="T16" s="184">
        <f t="shared" si="6"/>
        <v>0.41743999999999998</v>
      </c>
      <c r="U16" s="184">
        <f t="shared" si="7"/>
        <v>0.152</v>
      </c>
      <c r="V16" s="184">
        <f t="shared" si="8"/>
        <v>0</v>
      </c>
      <c r="W16" s="185">
        <f t="shared" si="9"/>
        <v>8.8046005900824067</v>
      </c>
      <c r="X16" s="185"/>
      <c r="Y16" s="185">
        <f t="shared" si="18"/>
        <v>0</v>
      </c>
      <c r="Z16" s="185"/>
      <c r="AA16" s="185"/>
      <c r="AB16" s="232">
        <f t="shared" si="17"/>
        <v>8.8046005900824067</v>
      </c>
      <c r="AC16" s="187">
        <v>10.71</v>
      </c>
      <c r="AD16" s="188">
        <f t="shared" si="19"/>
        <v>-1.9053994099175942</v>
      </c>
      <c r="AE16" s="169">
        <f t="shared" si="20"/>
        <v>-0.17790844163562969</v>
      </c>
      <c r="AF16" s="202">
        <f>IFERROR(SUMIFS('Forecast Count'!$F$4:$F$99,'Forecast Count'!$A$4:$A$99,$B16),"N/A")</f>
        <v>32</v>
      </c>
      <c r="AG16" s="203">
        <f t="shared" si="21"/>
        <v>281.74721888263701</v>
      </c>
      <c r="AH16" s="203">
        <f t="shared" si="22"/>
        <v>342.72</v>
      </c>
      <c r="AI16" s="204">
        <f t="shared" si="23"/>
        <v>3380.9666265916439</v>
      </c>
      <c r="AJ16" s="205">
        <f t="shared" si="24"/>
        <v>4112.6400000000003</v>
      </c>
    </row>
    <row r="17" spans="1:44" x14ac:dyDescent="0.25">
      <c r="A17" s="180" t="s">
        <v>189</v>
      </c>
      <c r="B17" s="181" t="s">
        <v>548</v>
      </c>
      <c r="C17" s="181" t="s">
        <v>190</v>
      </c>
      <c r="D17" s="182" t="str">
        <f>IF($C17="UG",HLOOKUP($B17,'LS - Underground Lights'!$C$3:$R$76,4,FALSE),HLOOKUP($B17,'LS - Overhead Lights'!$C$3:$K$52,4,FALSE))</f>
        <v>LED</v>
      </c>
      <c r="E17" s="182" t="str">
        <f>IF(C17="UG",HLOOKUP($B17,'LS - Underground Lights'!$C$3:$R$76,2,FALSE),HLOOKUP($B17,'LS - Overhead Lights'!$C$3:$K$52,2,FALSE))</f>
        <v>Cobra</v>
      </c>
      <c r="F17" s="182" t="str">
        <f>IF($C17="UG",HLOOKUP($B17,'LS - Underground Lights'!$C$3:$R$76,5,FALSE),HLOOKUP($B17,'LS - Overhead Lights'!$C$3:$K$52,5,FALSE))</f>
        <v>70w</v>
      </c>
      <c r="G17" s="182">
        <f>IF($C17="UG",HLOOKUP($B17,'LS - Underground Lights'!$C$3:$R$76,6,FALSE),HLOOKUP($B17,'LS - Overhead Lights'!$C$3:$K$52,6,FALSE))</f>
        <v>22</v>
      </c>
      <c r="H17" s="182" t="str">
        <f>IF($C17="UG",HLOOKUP($B17,'LS - Underground Lights'!$C$3:$R$76,3,FALSE),HLOOKUP($B17,'LS - Overhead Lights'!$C$3:$K$52,3,FALSE))</f>
        <v>2500-4000</v>
      </c>
      <c r="I17" s="220">
        <f>IFERROR(IF(C17="UG",VLOOKUP($AK17,'Maintenance &amp; NBV'!$B$44:$K$47,9,FALSE),0),0)</f>
        <v>0</v>
      </c>
      <c r="J17" s="183">
        <f>IF($C17="UG",HLOOKUP($B17,'LS - Underground Lights'!$C$3:$R$76,64,FALSE),HLOOKUP($B17,'LS - Overhead Lights'!$C$3:$K$52,44,FALSE))</f>
        <v>647.1284139959597</v>
      </c>
      <c r="K17" s="221">
        <f t="shared" si="0"/>
        <v>647.1284139959597</v>
      </c>
      <c r="L17" s="286" t="s">
        <v>489</v>
      </c>
      <c r="M17" s="286" t="s">
        <v>506</v>
      </c>
      <c r="N17" s="217">
        <f t="shared" si="1"/>
        <v>0</v>
      </c>
      <c r="O17" s="183">
        <f t="shared" si="2"/>
        <v>96.424105263772049</v>
      </c>
      <c r="P17" s="221">
        <f t="shared" si="3"/>
        <v>96.424105263772049</v>
      </c>
      <c r="Q17" s="183">
        <f>IF($C17="UG",HLOOKUP($B17,'LS - Underground Lights'!$C$3:$R$78,76,FALSE),HLOOKUP($B17,'LS - Overhead Lights'!$C$3:$K$52,49,FALSE))</f>
        <v>4.6254197082383142</v>
      </c>
      <c r="R17" s="221">
        <f t="shared" si="4"/>
        <v>4.6254197082383142</v>
      </c>
      <c r="S17" s="184">
        <f t="shared" si="5"/>
        <v>3.2603999999999993</v>
      </c>
      <c r="T17" s="184">
        <f t="shared" si="6"/>
        <v>0.19132666666666664</v>
      </c>
      <c r="U17" s="184">
        <f t="shared" si="7"/>
        <v>6.9666666666666668E-2</v>
      </c>
      <c r="V17" s="184">
        <f t="shared" si="8"/>
        <v>0</v>
      </c>
      <c r="W17" s="185">
        <f t="shared" si="9"/>
        <v>8.9534870810008638</v>
      </c>
      <c r="X17" s="185"/>
      <c r="Y17" s="185">
        <f t="shared" si="18"/>
        <v>0</v>
      </c>
      <c r="Z17" s="185"/>
      <c r="AA17" s="185"/>
      <c r="AB17" s="232">
        <f t="shared" si="17"/>
        <v>8.9534870810008638</v>
      </c>
      <c r="AC17" s="189" t="s">
        <v>342</v>
      </c>
      <c r="AD17" s="188" t="str">
        <f t="shared" si="19"/>
        <v>-</v>
      </c>
      <c r="AE17" s="169" t="str">
        <f t="shared" si="20"/>
        <v>-</v>
      </c>
      <c r="AF17" s="202">
        <f>IFERROR(SUMIFS('Forecast Count'!$F$4:$F$99,'Forecast Count'!$A$4:$A$99,$B17),"N/A")</f>
        <v>0</v>
      </c>
      <c r="AG17" s="203">
        <f t="shared" si="21"/>
        <v>0</v>
      </c>
      <c r="AH17" s="203" t="str">
        <f t="shared" si="22"/>
        <v>N/A</v>
      </c>
      <c r="AI17" s="204">
        <f t="shared" si="23"/>
        <v>0</v>
      </c>
      <c r="AJ17" s="205">
        <f t="shared" si="24"/>
        <v>0</v>
      </c>
    </row>
    <row r="18" spans="1:44" x14ac:dyDescent="0.25">
      <c r="A18" s="180" t="s">
        <v>189</v>
      </c>
      <c r="B18" s="181" t="s">
        <v>549</v>
      </c>
      <c r="C18" s="181" t="s">
        <v>190</v>
      </c>
      <c r="D18" s="182" t="str">
        <f>IF($C18="UG",HLOOKUP($B18,'LS - Underground Lights'!$C$3:$R$76,4,FALSE),HLOOKUP($B18,'LS - Overhead Lights'!$C$3:$K$52,4,FALSE))</f>
        <v>LED</v>
      </c>
      <c r="E18" s="182" t="str">
        <f>IF(C18="UG",HLOOKUP($B18,'LS - Underground Lights'!$C$3:$R$76,2,FALSE),HLOOKUP($B18,'LS - Overhead Lights'!$C$3:$K$52,2,FALSE))</f>
        <v xml:space="preserve">Flood </v>
      </c>
      <c r="F18" s="182" t="str">
        <f>IF($C18="UG",HLOOKUP($B18,'LS - Underground Lights'!$C$3:$R$76,5,FALSE),HLOOKUP($B18,'LS - Overhead Lights'!$C$3:$K$52,5,FALSE))</f>
        <v>70w-100w</v>
      </c>
      <c r="G18" s="182">
        <f>IF($C18="UG",HLOOKUP($B18,'LS - Underground Lights'!$C$3:$R$76,6,FALSE),HLOOKUP($B18,'LS - Overhead Lights'!$C$3:$K$52,6,FALSE))</f>
        <v>30</v>
      </c>
      <c r="H18" s="182" t="str">
        <f>IF($C18="UG",HLOOKUP($B18,'LS - Underground Lights'!$C$3:$R$76,3,FALSE),HLOOKUP($B18,'LS - Overhead Lights'!$C$3:$K$52,3,FALSE))</f>
        <v>4500-6000</v>
      </c>
      <c r="I18" s="220">
        <f>IFERROR(IF(C18="UG",VLOOKUP($AK18,'Maintenance &amp; NBV'!$B$44:$K$47,9,FALSE),0),0)</f>
        <v>0</v>
      </c>
      <c r="J18" s="183">
        <f>IF($C18="UG",HLOOKUP($B18,'LS - Underground Lights'!$C$3:$R$76,64,FALSE),HLOOKUP($B18,'LS - Overhead Lights'!$C$3:$K$52,44,FALSE))</f>
        <v>848.88613000000009</v>
      </c>
      <c r="K18" s="221">
        <f t="shared" si="0"/>
        <v>848.88613000000009</v>
      </c>
      <c r="L18" s="286" t="s">
        <v>489</v>
      </c>
      <c r="M18" s="286" t="s">
        <v>506</v>
      </c>
      <c r="N18" s="217">
        <f t="shared" si="1"/>
        <v>0</v>
      </c>
      <c r="O18" s="183">
        <f t="shared" si="2"/>
        <v>126.48661963495105</v>
      </c>
      <c r="P18" s="221">
        <f t="shared" si="3"/>
        <v>126.48661963495105</v>
      </c>
      <c r="Q18" s="183">
        <f>IF($C18="UG",HLOOKUP($B18,'LS - Underground Lights'!$C$3:$R$78,76,FALSE),HLOOKUP($B18,'LS - Overhead Lights'!$C$3:$K$52,49,FALSE))</f>
        <v>4.6254197082383142</v>
      </c>
      <c r="R18" s="221">
        <f t="shared" si="4"/>
        <v>4.6254197082383142</v>
      </c>
      <c r="S18" s="184">
        <f t="shared" si="5"/>
        <v>4.4459999999999988</v>
      </c>
      <c r="T18" s="184">
        <f t="shared" si="6"/>
        <v>0.26089999999999997</v>
      </c>
      <c r="U18" s="184">
        <f t="shared" si="7"/>
        <v>9.4999999999999987E-2</v>
      </c>
      <c r="V18" s="184">
        <f t="shared" si="8"/>
        <v>0</v>
      </c>
      <c r="W18" s="185">
        <f t="shared" si="9"/>
        <v>11.652403278599113</v>
      </c>
      <c r="X18" s="185"/>
      <c r="Y18" s="185">
        <f t="shared" si="18"/>
        <v>0</v>
      </c>
      <c r="Z18" s="185"/>
      <c r="AA18" s="185"/>
      <c r="AB18" s="232">
        <f t="shared" si="17"/>
        <v>11.652403278599113</v>
      </c>
      <c r="AC18" s="189" t="s">
        <v>342</v>
      </c>
      <c r="AD18" s="188" t="str">
        <f t="shared" si="19"/>
        <v>-</v>
      </c>
      <c r="AE18" s="169" t="str">
        <f t="shared" si="20"/>
        <v>-</v>
      </c>
      <c r="AF18" s="202">
        <f>IFERROR(SUMIFS('Forecast Count'!$F$4:$F$99,'Forecast Count'!$A$4:$A$99,$B18),"N/A")</f>
        <v>0</v>
      </c>
      <c r="AG18" s="203">
        <f t="shared" si="21"/>
        <v>0</v>
      </c>
      <c r="AH18" s="203" t="str">
        <f t="shared" si="22"/>
        <v>N/A</v>
      </c>
      <c r="AI18" s="204">
        <f t="shared" si="23"/>
        <v>0</v>
      </c>
      <c r="AJ18" s="205">
        <f t="shared" si="24"/>
        <v>0</v>
      </c>
    </row>
    <row r="19" spans="1:44" x14ac:dyDescent="0.25">
      <c r="A19" s="180" t="s">
        <v>189</v>
      </c>
      <c r="B19" s="181" t="s">
        <v>550</v>
      </c>
      <c r="C19" s="181" t="s">
        <v>190</v>
      </c>
      <c r="D19" s="182" t="str">
        <f>IF($C19="UG",HLOOKUP($B19,'LS - Underground Lights'!$C$3:$R$76,4,FALSE),HLOOKUP($B19,'LS - Overhead Lights'!$C$3:$K$52,4,FALSE))</f>
        <v>LED</v>
      </c>
      <c r="E19" s="182" t="str">
        <f>IF(C19="UG",HLOOKUP($B19,'LS - Underground Lights'!$C$3:$R$76,2,FALSE),HLOOKUP($B19,'LS - Overhead Lights'!$C$3:$K$52,2,FALSE))</f>
        <v xml:space="preserve">Flood </v>
      </c>
      <c r="F19" s="182" t="str">
        <f>IF($C19="UG",HLOOKUP($B19,'LS - Underground Lights'!$C$3:$R$76,5,FALSE),HLOOKUP($B19,'LS - Overhead Lights'!$C$3:$K$52,5,FALSE))</f>
        <v>150w-200w</v>
      </c>
      <c r="G19" s="182">
        <f>IF($C19="UG",HLOOKUP($B19,'LS - Underground Lights'!$C$3:$R$76,6,FALSE),HLOOKUP($B19,'LS - Overhead Lights'!$C$3:$K$52,6,FALSE))</f>
        <v>96</v>
      </c>
      <c r="H19" s="182" t="str">
        <f>IF($C19="UG",HLOOKUP($B19,'LS - Underground Lights'!$C$3:$R$76,3,FALSE),HLOOKUP($B19,'LS - Overhead Lights'!$C$3:$K$52,3,FALSE))</f>
        <v>14000-17500</v>
      </c>
      <c r="I19" s="220">
        <f>IFERROR(IF(C19="UG",VLOOKUP($AK19,'Maintenance &amp; NBV'!$B$44:$K$47,9,FALSE),0),0)</f>
        <v>0</v>
      </c>
      <c r="J19" s="183">
        <f>IF($C19="UG",HLOOKUP($B19,'LS - Underground Lights'!$C$3:$R$76,64,FALSE),HLOOKUP($B19,'LS - Overhead Lights'!$C$3:$K$52,44,FALSE))</f>
        <v>870.14803000000006</v>
      </c>
      <c r="K19" s="221">
        <f t="shared" si="0"/>
        <v>870.14803000000006</v>
      </c>
      <c r="L19" s="286" t="s">
        <v>489</v>
      </c>
      <c r="M19" s="286" t="s">
        <v>506</v>
      </c>
      <c r="N19" s="217">
        <f t="shared" si="1"/>
        <v>0</v>
      </c>
      <c r="O19" s="183">
        <f t="shared" si="2"/>
        <v>129.65470751266955</v>
      </c>
      <c r="P19" s="221">
        <f t="shared" si="3"/>
        <v>129.65470751266955</v>
      </c>
      <c r="Q19" s="183">
        <f>IF($C19="UG",HLOOKUP($B19,'LS - Underground Lights'!$C$3:$R$78,76,FALSE),HLOOKUP($B19,'LS - Overhead Lights'!$C$3:$K$52,49,FALSE))</f>
        <v>4.6254197082383142</v>
      </c>
      <c r="R19" s="221">
        <f t="shared" si="4"/>
        <v>4.6254197082383142</v>
      </c>
      <c r="S19" s="184">
        <f t="shared" si="5"/>
        <v>14.227199999999996</v>
      </c>
      <c r="T19" s="184">
        <f t="shared" si="6"/>
        <v>0.83487999999999996</v>
      </c>
      <c r="U19" s="184">
        <f t="shared" si="7"/>
        <v>0.30399999999999999</v>
      </c>
      <c r="V19" s="184">
        <f t="shared" si="8"/>
        <v>0</v>
      </c>
      <c r="W19" s="185">
        <f t="shared" si="9"/>
        <v>13.514490601742324</v>
      </c>
      <c r="X19" s="185"/>
      <c r="Y19" s="185">
        <f t="shared" si="18"/>
        <v>0</v>
      </c>
      <c r="Z19" s="185"/>
      <c r="AA19" s="185"/>
      <c r="AB19" s="232">
        <f t="shared" si="17"/>
        <v>13.514490601742324</v>
      </c>
      <c r="AC19" s="189" t="s">
        <v>342</v>
      </c>
      <c r="AD19" s="188" t="str">
        <f t="shared" si="19"/>
        <v>-</v>
      </c>
      <c r="AE19" s="169" t="str">
        <f t="shared" si="20"/>
        <v>-</v>
      </c>
      <c r="AF19" s="202">
        <f>IFERROR(SUMIFS('Forecast Count'!$F$4:$F$99,'Forecast Count'!$A$4:$A$99,$B19),"N/A")</f>
        <v>0</v>
      </c>
      <c r="AG19" s="203">
        <f t="shared" si="21"/>
        <v>0</v>
      </c>
      <c r="AH19" s="203" t="str">
        <f t="shared" si="22"/>
        <v>N/A</v>
      </c>
      <c r="AI19" s="204">
        <f t="shared" si="23"/>
        <v>0</v>
      </c>
      <c r="AJ19" s="205">
        <f t="shared" si="24"/>
        <v>0</v>
      </c>
    </row>
    <row r="20" spans="1:44" x14ac:dyDescent="0.25">
      <c r="A20" s="180" t="s">
        <v>189</v>
      </c>
      <c r="B20" s="181" t="s">
        <v>551</v>
      </c>
      <c r="C20" s="181" t="s">
        <v>190</v>
      </c>
      <c r="D20" s="182" t="str">
        <f>IF($C20="UG",HLOOKUP($B20,'LS - Underground Lights'!$C$3:$R$76,4,FALSE),HLOOKUP($B20,'LS - Overhead Lights'!$C$3:$K$52,4,FALSE))</f>
        <v>LED</v>
      </c>
      <c r="E20" s="182" t="str">
        <f>IF(C20="UG",HLOOKUP($B20,'LS - Underground Lights'!$C$3:$R$76,2,FALSE),HLOOKUP($B20,'LS - Overhead Lights'!$C$3:$K$52,2,FALSE))</f>
        <v xml:space="preserve">Flood </v>
      </c>
      <c r="F20" s="182" t="str">
        <f>IF($C20="UG",HLOOKUP($B20,'LS - Underground Lights'!$C$3:$R$76,5,FALSE),HLOOKUP($B20,'LS - Overhead Lights'!$C$3:$K$52,5,FALSE))</f>
        <v>400w</v>
      </c>
      <c r="G20" s="182">
        <f>IF($C20="UG",HLOOKUP($B20,'LS - Underground Lights'!$C$3:$R$76,6,FALSE),HLOOKUP($B20,'LS - Overhead Lights'!$C$3:$K$52,6,FALSE))</f>
        <v>175</v>
      </c>
      <c r="H20" s="182" t="str">
        <f>IF($C20="UG",HLOOKUP($B20,'LS - Underground Lights'!$C$3:$R$76,3,FALSE),HLOOKUP($B20,'LS - Overhead Lights'!$C$3:$K$52,3,FALSE))</f>
        <v>22000-28000</v>
      </c>
      <c r="I20" s="220">
        <f>IFERROR(IF(C20="UG",VLOOKUP($AK20,'Maintenance &amp; NBV'!$B$44:$K$47,9,FALSE),0),0)</f>
        <v>0</v>
      </c>
      <c r="J20" s="183">
        <f>IF($C20="UG",HLOOKUP($B20,'LS - Underground Lights'!$C$3:$R$76,64,FALSE),HLOOKUP($B20,'LS - Overhead Lights'!$C$3:$K$52,44,FALSE))</f>
        <v>912.67183</v>
      </c>
      <c r="K20" s="221">
        <f t="shared" si="0"/>
        <v>912.67183</v>
      </c>
      <c r="L20" s="286" t="s">
        <v>489</v>
      </c>
      <c r="M20" s="286" t="s">
        <v>506</v>
      </c>
      <c r="N20" s="217">
        <f t="shared" si="1"/>
        <v>0</v>
      </c>
      <c r="O20" s="183">
        <f t="shared" si="2"/>
        <v>135.99088326810653</v>
      </c>
      <c r="P20" s="221">
        <f t="shared" si="3"/>
        <v>135.99088326810653</v>
      </c>
      <c r="Q20" s="183">
        <f>IF($C20="UG",HLOOKUP($B20,'LS - Underground Lights'!$C$3:$R$78,76,FALSE),HLOOKUP($B20,'LS - Overhead Lights'!$C$3:$K$52,49,FALSE))</f>
        <v>4.6254197082383142</v>
      </c>
      <c r="R20" s="221">
        <f t="shared" si="4"/>
        <v>4.6254197082383142</v>
      </c>
      <c r="S20" s="184">
        <f t="shared" si="5"/>
        <v>25.934999999999995</v>
      </c>
      <c r="T20" s="184">
        <f t="shared" si="6"/>
        <v>1.5219166666666666</v>
      </c>
      <c r="U20" s="184">
        <f t="shared" si="7"/>
        <v>0.55416666666666659</v>
      </c>
      <c r="V20" s="184">
        <f t="shared" si="8"/>
        <v>0</v>
      </c>
      <c r="W20" s="185">
        <f t="shared" si="9"/>
        <v>15.955358581362072</v>
      </c>
      <c r="X20" s="185"/>
      <c r="Y20" s="185">
        <f t="shared" si="18"/>
        <v>0</v>
      </c>
      <c r="Z20" s="185"/>
      <c r="AA20" s="185"/>
      <c r="AB20" s="232">
        <f t="shared" si="17"/>
        <v>15.955358581362072</v>
      </c>
      <c r="AC20" s="189" t="s">
        <v>342</v>
      </c>
      <c r="AD20" s="188" t="str">
        <f t="shared" si="19"/>
        <v>-</v>
      </c>
      <c r="AE20" s="169" t="str">
        <f t="shared" si="20"/>
        <v>-</v>
      </c>
      <c r="AF20" s="202">
        <f>IFERROR(SUMIFS('Forecast Count'!$F$4:$F$99,'Forecast Count'!$A$4:$A$99,$B20),"N/A")</f>
        <v>0</v>
      </c>
      <c r="AG20" s="203">
        <f t="shared" si="21"/>
        <v>0</v>
      </c>
      <c r="AH20" s="203" t="str">
        <f t="shared" si="22"/>
        <v>N/A</v>
      </c>
      <c r="AI20" s="204">
        <f t="shared" si="23"/>
        <v>0</v>
      </c>
      <c r="AJ20" s="205">
        <f t="shared" si="24"/>
        <v>0</v>
      </c>
    </row>
    <row r="21" spans="1:44" ht="15.75" thickBot="1" x14ac:dyDescent="0.3">
      <c r="A21" s="190" t="s">
        <v>189</v>
      </c>
      <c r="B21" s="191" t="s">
        <v>552</v>
      </c>
      <c r="C21" s="191" t="s">
        <v>190</v>
      </c>
      <c r="D21" s="192" t="str">
        <f>IF($C21="UG",HLOOKUP($B21,'LS - Underground Lights'!$C$3:$R$76,4,FALSE),HLOOKUP($B21,'LS - Overhead Lights'!$C$3:$K$52,4,FALSE))</f>
        <v>LED</v>
      </c>
      <c r="E21" s="192" t="str">
        <f>IF(C21="UG",HLOOKUP($B21,'LS - Underground Lights'!$C$3:$R$76,2,FALSE),HLOOKUP($B21,'LS - Overhead Lights'!$C$3:$K$52,2,FALSE))</f>
        <v xml:space="preserve">Flood </v>
      </c>
      <c r="F21" s="192" t="str">
        <f>IF($C21="UG",HLOOKUP($B21,'LS - Underground Lights'!$C$3:$R$76,5,FALSE),HLOOKUP($B21,'LS - Overhead Lights'!$C$3:$K$52,5,FALSE))</f>
        <v>1000w</v>
      </c>
      <c r="G21" s="192">
        <f>IF($C21="UG",HLOOKUP($B21,'LS - Underground Lights'!$C$3:$R$76,6,FALSE),HLOOKUP($B21,'LS - Overhead Lights'!$C$3:$K$52,6,FALSE))</f>
        <v>297</v>
      </c>
      <c r="H21" s="192" t="str">
        <f>IF($C21="UG",HLOOKUP($B21,'LS - Underground Lights'!$C$3:$R$76,3,FALSE),HLOOKUP($B21,'LS - Overhead Lights'!$C$3:$K$52,3,FALSE))</f>
        <v>35000-50000</v>
      </c>
      <c r="I21" s="222">
        <f>IFERROR(IF(C21="UG",VLOOKUP($AK21,'Maintenance &amp; NBV'!$B$44:$K$47,9,FALSE),0),0)</f>
        <v>0</v>
      </c>
      <c r="J21" s="193">
        <f>IF($C21="UG",HLOOKUP($B21,'LS - Underground Lights'!$C$3:$R$76,64,FALSE),HLOOKUP($B21,'LS - Overhead Lights'!$C$3:$K$52,44,FALSE))</f>
        <v>1231.60033</v>
      </c>
      <c r="K21" s="223">
        <f t="shared" si="0"/>
        <v>1231.60033</v>
      </c>
      <c r="L21" s="289" t="s">
        <v>489</v>
      </c>
      <c r="M21" s="349" t="s">
        <v>506</v>
      </c>
      <c r="N21" s="290">
        <f t="shared" si="1"/>
        <v>0</v>
      </c>
      <c r="O21" s="193">
        <f t="shared" si="2"/>
        <v>183.51220143388392</v>
      </c>
      <c r="P21" s="223">
        <f t="shared" si="3"/>
        <v>183.51220143388392</v>
      </c>
      <c r="Q21" s="193">
        <f>IF($C21="UG",HLOOKUP($B21,'LS - Underground Lights'!$C$3:$R$78,76,FALSE),HLOOKUP($B21,'LS - Overhead Lights'!$C$3:$K$52,49,FALSE))</f>
        <v>4.6254197082383142</v>
      </c>
      <c r="R21" s="223">
        <f t="shared" si="4"/>
        <v>4.6254197082383142</v>
      </c>
      <c r="S21" s="194">
        <f t="shared" si="5"/>
        <v>44.015399999999993</v>
      </c>
      <c r="T21" s="194">
        <f t="shared" si="6"/>
        <v>2.5829099999999996</v>
      </c>
      <c r="U21" s="194">
        <f t="shared" si="7"/>
        <v>0.9405</v>
      </c>
      <c r="V21" s="194">
        <f t="shared" si="8"/>
        <v>0</v>
      </c>
      <c r="W21" s="195">
        <f t="shared" si="9"/>
        <v>22.869495095176852</v>
      </c>
      <c r="X21" s="195"/>
      <c r="Y21" s="195">
        <f t="shared" si="18"/>
        <v>0</v>
      </c>
      <c r="Z21" s="195"/>
      <c r="AA21" s="195"/>
      <c r="AB21" s="267">
        <f t="shared" si="17"/>
        <v>22.869495095176852</v>
      </c>
      <c r="AC21" s="196" t="s">
        <v>342</v>
      </c>
      <c r="AD21" s="197" t="str">
        <f t="shared" si="19"/>
        <v>-</v>
      </c>
      <c r="AE21" s="171" t="str">
        <f t="shared" si="20"/>
        <v>-</v>
      </c>
      <c r="AF21" s="206">
        <f>IFERROR(SUMIFS('Forecast Count'!$F$4:$F$99,'Forecast Count'!$A$4:$A$99,$B21),"N/A")</f>
        <v>0</v>
      </c>
      <c r="AG21" s="207">
        <f t="shared" si="21"/>
        <v>0</v>
      </c>
      <c r="AH21" s="207" t="str">
        <f t="shared" si="22"/>
        <v>N/A</v>
      </c>
      <c r="AI21" s="208">
        <f t="shared" si="23"/>
        <v>0</v>
      </c>
      <c r="AJ21" s="209">
        <f t="shared" si="24"/>
        <v>0</v>
      </c>
    </row>
    <row r="22" spans="1:44" x14ac:dyDescent="0.25">
      <c r="A22" s="180" t="s">
        <v>189</v>
      </c>
      <c r="B22" s="181">
        <v>396</v>
      </c>
      <c r="C22" s="181" t="s">
        <v>191</v>
      </c>
      <c r="D22" s="182" t="str">
        <f>IF($C22="UG",HLOOKUP($B22,'LS - Underground Lights'!$C$3:$R$76,4,FALSE),HLOOKUP($B22,'LS - Overhead Lights'!$C$3:$K$52,4,FALSE))</f>
        <v>LED</v>
      </c>
      <c r="E22" s="182" t="str">
        <f>IF(C22="UG",HLOOKUP($B22,'LS - Underground Lights'!$C$3:$R$76,2,FALSE),HLOOKUP($B22,'LS - Overhead Lights'!$C$3:$K$52,2,FALSE))</f>
        <v>Cobra</v>
      </c>
      <c r="F22" s="182" t="str">
        <f>IF($C22="UG",HLOOKUP($B22,'LS - Underground Lights'!$C$3:$R$76,5,FALSE),HLOOKUP($B22,'LS - Overhead Lights'!$C$3:$K$52,5,FALSE))</f>
        <v>150w</v>
      </c>
      <c r="G22" s="182">
        <f>IF($C22="UG",HLOOKUP($B22,'LS - Underground Lights'!$C$3:$R$76,6,FALSE),HLOOKUP($B22,'LS - Overhead Lights'!$C$3:$K$52,6,FALSE))</f>
        <v>71</v>
      </c>
      <c r="H22" s="182" t="str">
        <f>IF($C22="UG",HLOOKUP($B22,'LS - Underground Lights'!$C$3:$R$76,3,FALSE),HLOOKUP($B22,'LS - Overhead Lights'!$C$3:$K$52,3,FALSE))</f>
        <v>6000-8200</v>
      </c>
      <c r="I22" s="226">
        <f>IFERROR(IF(C22="UG",VLOOKUP($AK22,'Maintenance &amp; NBV'!$B$44:$K$47,9,FALSE),0),0)</f>
        <v>886.02168932062807</v>
      </c>
      <c r="J22" s="183">
        <f>IF($C22="UG",HLOOKUP($B22,'LS - Underground Lights'!$C$3:$R$76,64,FALSE),HLOOKUP($B22,'LS - Overhead Lights'!$C$3:$K$52,44,FALSE))</f>
        <v>296.67759999999998</v>
      </c>
      <c r="K22" s="221">
        <f t="shared" si="0"/>
        <v>1182.6992893206279</v>
      </c>
      <c r="L22" s="350" t="s">
        <v>489</v>
      </c>
      <c r="M22" s="351" t="s">
        <v>506</v>
      </c>
      <c r="N22" s="167">
        <f t="shared" si="1"/>
        <v>145.24135151492817</v>
      </c>
      <c r="O22" s="183">
        <f t="shared" si="2"/>
        <v>44.205866274915046</v>
      </c>
      <c r="P22" s="221">
        <f t="shared" si="3"/>
        <v>189.44721778984322</v>
      </c>
      <c r="Q22" s="183">
        <f>IF($C22="UG",HLOOKUP($B22,'LS - Underground Lights'!$C$3:$R$78,76,FALSE),HLOOKUP($B22,'LS - Overhead Lights'!$C$3:$K$52,49,FALSE))</f>
        <v>4.6254197082383142</v>
      </c>
      <c r="R22" s="221">
        <f t="shared" si="4"/>
        <v>4.6254197082383142</v>
      </c>
      <c r="S22" s="184">
        <f t="shared" si="5"/>
        <v>10.522199999999998</v>
      </c>
      <c r="T22" s="184">
        <f t="shared" si="6"/>
        <v>0.61746333333333336</v>
      </c>
      <c r="U22" s="184">
        <f t="shared" si="7"/>
        <v>0.22483333333333333</v>
      </c>
      <c r="V22" s="184">
        <f t="shared" si="8"/>
        <v>0</v>
      </c>
      <c r="W22" s="185">
        <f t="shared" si="9"/>
        <v>17.89186645817346</v>
      </c>
      <c r="X22" s="275">
        <f>(SUM(O22,S22)/12)+T22+U22+V22</f>
        <v>5.4029688562429206</v>
      </c>
      <c r="Y22" s="185">
        <f t="shared" si="18"/>
        <v>0</v>
      </c>
      <c r="Z22" s="275">
        <f t="shared" si="18"/>
        <v>0</v>
      </c>
      <c r="AA22" s="252">
        <f>X22+Z22</f>
        <v>5.4029688562429206</v>
      </c>
      <c r="AB22" s="186">
        <f>SUM(W22,Y22)</f>
        <v>17.89186645817346</v>
      </c>
      <c r="AC22" s="178">
        <f>36.4</f>
        <v>36.4</v>
      </c>
      <c r="AD22" s="188">
        <f t="shared" si="19"/>
        <v>-18.508133541826538</v>
      </c>
      <c r="AE22" s="169">
        <f t="shared" si="20"/>
        <v>-0.50846520719303678</v>
      </c>
      <c r="AF22" s="202">
        <f>IFERROR(SUMIFS('Forecast Count'!$F$4:$F$99,'Forecast Count'!$A$4:$A$99,$B22),"N/A")</f>
        <v>0</v>
      </c>
      <c r="AG22" s="203">
        <f t="shared" si="21"/>
        <v>0</v>
      </c>
      <c r="AH22" s="203">
        <f t="shared" si="22"/>
        <v>0</v>
      </c>
      <c r="AI22" s="204">
        <f t="shared" si="23"/>
        <v>0</v>
      </c>
      <c r="AJ22" s="205">
        <f t="shared" si="24"/>
        <v>0</v>
      </c>
      <c r="AK22" s="2" t="s">
        <v>496</v>
      </c>
      <c r="AN22" s="125">
        <f>AB22-AA22</f>
        <v>12.488897601930539</v>
      </c>
    </row>
    <row r="23" spans="1:44" x14ac:dyDescent="0.25">
      <c r="A23" s="180" t="s">
        <v>189</v>
      </c>
      <c r="B23" s="181">
        <v>397</v>
      </c>
      <c r="C23" s="181" t="s">
        <v>191</v>
      </c>
      <c r="D23" s="182" t="str">
        <f>IF($C23="UG",HLOOKUP($B23,'LS - Underground Lights'!$C$3:$R$76,4,FALSE),HLOOKUP($B23,'LS - Overhead Lights'!$C$3:$K$52,4,FALSE))</f>
        <v>LED</v>
      </c>
      <c r="E23" s="182" t="str">
        <f>IF(C23="UG",HLOOKUP($B23,'LS - Underground Lights'!$C$3:$R$76,2,FALSE),HLOOKUP($B23,'LS - Overhead Lights'!$C$3:$K$52,2,FALSE))</f>
        <v>Cobra</v>
      </c>
      <c r="F23" s="182" t="str">
        <f>IF($C23="UG",HLOOKUP($B23,'LS - Underground Lights'!$C$3:$R$76,5,FALSE),HLOOKUP($B23,'LS - Overhead Lights'!$C$3:$K$52,5,FALSE))</f>
        <v>250w</v>
      </c>
      <c r="G23" s="182">
        <f>IF($C23="UG",HLOOKUP($B23,'LS - Underground Lights'!$C$3:$R$76,6,FALSE),HLOOKUP($B23,'LS - Overhead Lights'!$C$3:$K$52,6,FALSE))</f>
        <v>122</v>
      </c>
      <c r="H23" s="182" t="str">
        <f>IF($C23="UG",HLOOKUP($B23,'LS - Underground Lights'!$C$3:$R$76,3,FALSE),HLOOKUP($B23,'LS - Overhead Lights'!$C$3:$K$52,3,FALSE))</f>
        <v>13000-16500</v>
      </c>
      <c r="I23" s="226">
        <f>IFERROR(IF(C23="UG",VLOOKUP($AK23,'Maintenance &amp; NBV'!$B$44:$K$47,9,FALSE),0),0)</f>
        <v>886.02168932062807</v>
      </c>
      <c r="J23" s="183">
        <f>IF($C23="UG",HLOOKUP($B23,'LS - Underground Lights'!$C$3:$R$76,64,FALSE),HLOOKUP($B23,'LS - Overhead Lights'!$C$3:$K$52,44,FALSE))</f>
        <v>367.55060000000003</v>
      </c>
      <c r="K23" s="221">
        <f t="shared" si="0"/>
        <v>1253.572289320628</v>
      </c>
      <c r="L23" s="352" t="s">
        <v>489</v>
      </c>
      <c r="M23" s="353" t="s">
        <v>506</v>
      </c>
      <c r="N23" s="167">
        <f t="shared" si="1"/>
        <v>145.24135151492817</v>
      </c>
      <c r="O23" s="183">
        <f t="shared" si="2"/>
        <v>54.766159200643365</v>
      </c>
      <c r="P23" s="221">
        <f t="shared" si="3"/>
        <v>200.00751071557153</v>
      </c>
      <c r="Q23" s="183">
        <f>IF($C23="UG",HLOOKUP($B23,'LS - Underground Lights'!$C$3:$R$78,76,FALSE),HLOOKUP($B23,'LS - Overhead Lights'!$C$3:$K$52,49,FALSE))</f>
        <v>4.6254197082383142</v>
      </c>
      <c r="R23" s="221">
        <f t="shared" si="4"/>
        <v>4.6254197082383142</v>
      </c>
      <c r="S23" s="184">
        <f t="shared" si="5"/>
        <v>18.080399999999997</v>
      </c>
      <c r="T23" s="184">
        <f t="shared" si="6"/>
        <v>1.0609933333333332</v>
      </c>
      <c r="U23" s="184">
        <f t="shared" si="7"/>
        <v>0.38633333333333336</v>
      </c>
      <c r="V23" s="184">
        <f t="shared" si="8"/>
        <v>0</v>
      </c>
      <c r="W23" s="185">
        <f t="shared" si="9"/>
        <v>20.006770868650818</v>
      </c>
      <c r="X23" s="275">
        <f t="shared" ref="X23:X36" si="25">(SUM(O23,S23)/12)+T23+U23+V23</f>
        <v>7.5178732667202794</v>
      </c>
      <c r="Y23" s="185">
        <f t="shared" si="18"/>
        <v>0</v>
      </c>
      <c r="Z23" s="275">
        <f t="shared" si="18"/>
        <v>0</v>
      </c>
      <c r="AA23" s="252">
        <f t="shared" ref="AA23:AA31" si="26">X23+Z23</f>
        <v>7.5178732667202794</v>
      </c>
      <c r="AB23" s="186">
        <f t="shared" si="17"/>
        <v>20.006770868650818</v>
      </c>
      <c r="AC23" s="187">
        <f>39.12</f>
        <v>39.119999999999997</v>
      </c>
      <c r="AD23" s="188">
        <f t="shared" si="19"/>
        <v>-19.113229131349179</v>
      </c>
      <c r="AE23" s="169">
        <f t="shared" si="20"/>
        <v>-0.48857947677272956</v>
      </c>
      <c r="AF23" s="202">
        <f>IFERROR(SUMIFS('Forecast Count'!$F$4:$F$99,'Forecast Count'!$A$4:$A$99,$B23),"N/A")</f>
        <v>0</v>
      </c>
      <c r="AG23" s="203">
        <f t="shared" si="21"/>
        <v>0</v>
      </c>
      <c r="AH23" s="203">
        <f t="shared" si="22"/>
        <v>0</v>
      </c>
      <c r="AI23" s="204">
        <f t="shared" si="23"/>
        <v>0</v>
      </c>
      <c r="AJ23" s="205">
        <f t="shared" si="24"/>
        <v>0</v>
      </c>
      <c r="AK23" s="2" t="s">
        <v>496</v>
      </c>
      <c r="AN23" s="125">
        <f t="shared" ref="AN23:AN36" si="27">AB23-AA23</f>
        <v>12.488897601930539</v>
      </c>
    </row>
    <row r="24" spans="1:44" x14ac:dyDescent="0.25">
      <c r="A24" s="180" t="s">
        <v>189</v>
      </c>
      <c r="B24" s="181">
        <v>398</v>
      </c>
      <c r="C24" s="181" t="s">
        <v>191</v>
      </c>
      <c r="D24" s="182" t="str">
        <f>IF($C24="UG",HLOOKUP($B24,'LS - Underground Lights'!$C$3:$R$76,4,FALSE),HLOOKUP($B24,'LS - Overhead Lights'!$C$3:$K$52,4,FALSE))</f>
        <v>LED</v>
      </c>
      <c r="E24" s="182" t="str">
        <f>IF(C24="UG",HLOOKUP($B24,'LS - Underground Lights'!$C$3:$R$76,2,FALSE),HLOOKUP($B24,'LS - Overhead Lights'!$C$3:$K$52,2,FALSE))</f>
        <v>Cobra</v>
      </c>
      <c r="F24" s="182" t="str">
        <f>IF($C24="UG",HLOOKUP($B24,'LS - Underground Lights'!$C$3:$R$76,5,FALSE),HLOOKUP($B24,'LS - Overhead Lights'!$C$3:$K$52,5,FALSE))</f>
        <v>400w</v>
      </c>
      <c r="G24" s="182">
        <f>IF($C24="UG",HLOOKUP($B24,'LS - Underground Lights'!$C$3:$R$76,6,FALSE),HLOOKUP($B24,'LS - Overhead Lights'!$C$3:$K$52,6,FALSE))</f>
        <v>194</v>
      </c>
      <c r="H24" s="182" t="str">
        <f>IF($C24="UG",HLOOKUP($B24,'LS - Underground Lights'!$C$3:$R$76,3,FALSE),HLOOKUP($B24,'LS - Overhead Lights'!$C$3:$K$52,3,FALSE))</f>
        <v>22000-29000</v>
      </c>
      <c r="I24" s="226">
        <f>IFERROR(IF(C24="UG",VLOOKUP($AK24,'Maintenance &amp; NBV'!$B$44:$K$47,9,FALSE),0),0)</f>
        <v>886.02168932062807</v>
      </c>
      <c r="J24" s="183">
        <f>IF($C24="UG",HLOOKUP($B24,'LS - Underground Lights'!$C$3:$R$76,64,FALSE),HLOOKUP($B24,'LS - Overhead Lights'!$C$3:$K$52,44,FALSE))</f>
        <v>495.12199999999996</v>
      </c>
      <c r="K24" s="221">
        <f t="shared" si="0"/>
        <v>1381.143689320628</v>
      </c>
      <c r="L24" s="352" t="s">
        <v>489</v>
      </c>
      <c r="M24" s="353" t="s">
        <v>506</v>
      </c>
      <c r="N24" s="167">
        <f t="shared" si="1"/>
        <v>145.24135151492817</v>
      </c>
      <c r="O24" s="183">
        <f t="shared" si="2"/>
        <v>73.774686466954321</v>
      </c>
      <c r="P24" s="221">
        <f t="shared" si="3"/>
        <v>219.0160379818825</v>
      </c>
      <c r="Q24" s="183">
        <f>IF($C24="UG",HLOOKUP($B24,'LS - Underground Lights'!$C$3:$R$78,76,FALSE),HLOOKUP($B24,'LS - Overhead Lights'!$C$3:$K$52,49,FALSE))</f>
        <v>4.6254197082383142</v>
      </c>
      <c r="R24" s="221">
        <f t="shared" si="4"/>
        <v>4.6254197082383142</v>
      </c>
      <c r="S24" s="184">
        <f t="shared" si="5"/>
        <v>28.750799999999995</v>
      </c>
      <c r="T24" s="184">
        <f>IF($G24=0,0,$S$2*(($G24/1000)*4000))/12</f>
        <v>1.6871533333333331</v>
      </c>
      <c r="U24" s="184">
        <f>IF($G24=0,0,$S$3*(($G24/1000)*4000))/12</f>
        <v>0.61433333333333329</v>
      </c>
      <c r="V24" s="184">
        <f t="shared" si="8"/>
        <v>0</v>
      </c>
      <c r="W24" s="185">
        <f t="shared" si="9"/>
        <v>23.33417480751007</v>
      </c>
      <c r="X24" s="275">
        <f t="shared" si="25"/>
        <v>10.845277205579526</v>
      </c>
      <c r="Y24" s="185">
        <f t="shared" si="18"/>
        <v>0</v>
      </c>
      <c r="Z24" s="275">
        <f t="shared" si="18"/>
        <v>0</v>
      </c>
      <c r="AA24" s="252">
        <f t="shared" si="26"/>
        <v>10.845277205579526</v>
      </c>
      <c r="AB24" s="186">
        <f t="shared" si="17"/>
        <v>23.33417480751007</v>
      </c>
      <c r="AC24" s="225">
        <f>27.95</f>
        <v>27.95</v>
      </c>
      <c r="AD24" s="188">
        <f t="shared" si="19"/>
        <v>-4.615825192489929</v>
      </c>
      <c r="AE24" s="169">
        <f t="shared" si="20"/>
        <v>-0.16514580295133915</v>
      </c>
      <c r="AF24" s="202">
        <f>IFERROR(SUMIFS('Forecast Count'!$F$4:$F$99,'Forecast Count'!$A$4:$A$99,$B24),"N/A")</f>
        <v>0</v>
      </c>
      <c r="AG24" s="203">
        <f t="shared" si="21"/>
        <v>0</v>
      </c>
      <c r="AH24" s="203">
        <f t="shared" si="22"/>
        <v>0</v>
      </c>
      <c r="AI24" s="204">
        <f t="shared" si="23"/>
        <v>0</v>
      </c>
      <c r="AJ24" s="205">
        <f t="shared" si="24"/>
        <v>0</v>
      </c>
      <c r="AK24" s="2" t="s">
        <v>496</v>
      </c>
      <c r="AN24" s="125">
        <f t="shared" si="27"/>
        <v>12.488897601930544</v>
      </c>
      <c r="AP24" s="348"/>
      <c r="AQ24" s="347"/>
      <c r="AR24" s="125"/>
    </row>
    <row r="25" spans="1:44" x14ac:dyDescent="0.25">
      <c r="A25" s="180" t="s">
        <v>189</v>
      </c>
      <c r="B25" s="181">
        <v>399</v>
      </c>
      <c r="C25" s="181" t="s">
        <v>191</v>
      </c>
      <c r="D25" s="182" t="str">
        <f>IF($C25="UG",HLOOKUP($B25,'LS - Underground Lights'!$C$3:$R$76,4,FALSE),HLOOKUP($B25,'LS - Overhead Lights'!$C$3:$K$52,4,FALSE))</f>
        <v>LED</v>
      </c>
      <c r="E25" s="182" t="str">
        <f>IF(C25="UG",HLOOKUP($B25,'LS - Underground Lights'!$C$3:$R$76,2,FALSE),HLOOKUP($B25,'LS - Overhead Lights'!$C$3:$K$52,2,FALSE))</f>
        <v>Colonial</v>
      </c>
      <c r="F25" s="182" t="str">
        <f>IF($C25="UG",HLOOKUP($B25,'LS - Underground Lights'!$C$3:$R$76,5,FALSE),HLOOKUP($B25,'LS - Overhead Lights'!$C$3:$K$52,5,FALSE))</f>
        <v>100w</v>
      </c>
      <c r="G25" s="182">
        <f>IF($C25="UG",HLOOKUP($B25,'LS - Underground Lights'!$C$3:$R$76,6,FALSE),HLOOKUP($B25,'LS - Overhead Lights'!$C$3:$K$52,6,FALSE))</f>
        <v>44</v>
      </c>
      <c r="H25" s="182" t="str">
        <f>IF($C25="UG",HLOOKUP($B25,'LS - Underground Lights'!$C$3:$R$76,3,FALSE),HLOOKUP($B25,'LS - Overhead Lights'!$C$3:$K$52,3,FALSE))</f>
        <v>4000-7000</v>
      </c>
      <c r="I25" s="227">
        <f>IFERROR(IF(C25="UG",VLOOKUP($AK25,'Maintenance &amp; NBV'!$B$44:$K$47,9,FALSE),0),0)</f>
        <v>575.38495180149255</v>
      </c>
      <c r="J25" s="183">
        <f>IF($C25="UG",HLOOKUP($B25,'LS - Underground Lights'!$C$3:$R$76,64,FALSE),HLOOKUP($B25,'LS - Overhead Lights'!$C$3:$K$52,44,FALSE))</f>
        <v>530.55849999999998</v>
      </c>
      <c r="K25" s="221">
        <f t="shared" si="0"/>
        <v>1105.9434518014925</v>
      </c>
      <c r="L25" s="352" t="s">
        <v>489</v>
      </c>
      <c r="M25" s="353" t="s">
        <v>506</v>
      </c>
      <c r="N25" s="167">
        <f t="shared" si="1"/>
        <v>94.32013803756773</v>
      </c>
      <c r="O25" s="183">
        <f t="shared" si="2"/>
        <v>79.054832929818474</v>
      </c>
      <c r="P25" s="221">
        <f t="shared" si="3"/>
        <v>173.37497096738622</v>
      </c>
      <c r="Q25" s="183">
        <f>IF($C25="UG",HLOOKUP($B25,'LS - Underground Lights'!$C$3:$R$78,76,FALSE),HLOOKUP($B25,'LS - Overhead Lights'!$C$3:$K$52,49,FALSE))</f>
        <v>4.6254197082383142</v>
      </c>
      <c r="R25" s="221">
        <f t="shared" si="4"/>
        <v>4.6254197082383142</v>
      </c>
      <c r="S25" s="184">
        <f t="shared" si="5"/>
        <v>6.5207999999999986</v>
      </c>
      <c r="T25" s="184">
        <f>IF($G25=0,0,$S$2*(($G25/1000)*4000))/12</f>
        <v>0.38265333333333329</v>
      </c>
      <c r="U25" s="184">
        <f>IF($G25=0,0,$S$3*(($G25/1000)*4000))/12</f>
        <v>0.13933333333333334</v>
      </c>
      <c r="V25" s="184">
        <f t="shared" si="8"/>
        <v>0</v>
      </c>
      <c r="W25" s="185">
        <f t="shared" si="9"/>
        <v>15.898752556302046</v>
      </c>
      <c r="X25" s="275">
        <f t="shared" si="25"/>
        <v>7.6532894108182052</v>
      </c>
      <c r="Y25" s="185">
        <f t="shared" si="18"/>
        <v>0</v>
      </c>
      <c r="Z25" s="275">
        <f t="shared" si="18"/>
        <v>0</v>
      </c>
      <c r="AA25" s="252">
        <f t="shared" si="26"/>
        <v>7.6532894108182052</v>
      </c>
      <c r="AB25" s="186">
        <f t="shared" si="17"/>
        <v>15.898752556302046</v>
      </c>
      <c r="AC25" s="187">
        <v>28.22</v>
      </c>
      <c r="AD25" s="188">
        <f t="shared" si="19"/>
        <v>-12.321247443697953</v>
      </c>
      <c r="AE25" s="169">
        <f t="shared" si="20"/>
        <v>-0.43661401288795015</v>
      </c>
      <c r="AF25" s="202">
        <f>IFERROR(SUMIFS('Forecast Count'!$F$4:$F$99,'Forecast Count'!$A$4:$A$99,$B25),"N/A")</f>
        <v>0</v>
      </c>
      <c r="AG25" s="203">
        <f t="shared" si="21"/>
        <v>0</v>
      </c>
      <c r="AH25" s="203">
        <f t="shared" si="22"/>
        <v>0</v>
      </c>
      <c r="AI25" s="204">
        <f t="shared" si="23"/>
        <v>0</v>
      </c>
      <c r="AJ25" s="205">
        <f t="shared" si="24"/>
        <v>0</v>
      </c>
      <c r="AK25" s="2" t="s">
        <v>510</v>
      </c>
      <c r="AN25" s="125">
        <f t="shared" si="27"/>
        <v>8.245463145483841</v>
      </c>
    </row>
    <row r="26" spans="1:44" x14ac:dyDescent="0.25">
      <c r="A26" s="180" t="s">
        <v>189</v>
      </c>
      <c r="B26" s="181" t="s">
        <v>554</v>
      </c>
      <c r="C26" s="181" t="s">
        <v>191</v>
      </c>
      <c r="D26" s="182" t="str">
        <f>IF($C26="UG",HLOOKUP($B26,'LS - Underground Lights'!$C$3:$R$76,4,FALSE),HLOOKUP($B26,'LS - Overhead Lights'!$C$3:$K$52,4,FALSE))</f>
        <v>LED</v>
      </c>
      <c r="E26" s="182" t="str">
        <f>IF(C26="UG",HLOOKUP($B26,'LS - Underground Lights'!$C$3:$R$76,2,FALSE),HLOOKUP($B26,'LS - Overhead Lights'!$C$3:$K$52,2,FALSE))</f>
        <v>Acorn</v>
      </c>
      <c r="F26" s="182" t="str">
        <f>IF($C26="UG",HLOOKUP($B26,'LS - Underground Lights'!$C$3:$R$76,5,FALSE),HLOOKUP($B26,'LS - Overhead Lights'!$C$3:$K$52,5,FALSE))</f>
        <v>100w</v>
      </c>
      <c r="G26" s="182">
        <f>IF($C26="UG",HLOOKUP($B26,'LS - Underground Lights'!$C$3:$R$76,6,FALSE),HLOOKUP($B26,'LS - Overhead Lights'!$C$3:$K$52,6,FALSE))</f>
        <v>40</v>
      </c>
      <c r="H26" s="182" t="str">
        <f>IF($C26="UG",HLOOKUP($B26,'LS - Underground Lights'!$C$3:$R$76,3,FALSE),HLOOKUP($B26,'LS - Overhead Lights'!$C$3:$K$52,3,FALSE))</f>
        <v>4000-7000</v>
      </c>
      <c r="I26" s="227">
        <f>IFERROR(IF(C26="UG",VLOOKUP($AK26,'Maintenance &amp; NBV'!$B$44:$K$47,9,FALSE),0),0)</f>
        <v>575.38495180149255</v>
      </c>
      <c r="J26" s="183">
        <f>IF($C26="UG",HLOOKUP($B26,'LS - Underground Lights'!$C$3:$R$76,64,FALSE),HLOOKUP($B26,'LS - Overhead Lights'!$C$3:$K$52,44,FALSE))</f>
        <v>656.71244000000002</v>
      </c>
      <c r="K26" s="221">
        <f t="shared" si="0"/>
        <v>1232.0973918014924</v>
      </c>
      <c r="L26" s="352" t="s">
        <v>489</v>
      </c>
      <c r="M26" s="353" t="s">
        <v>506</v>
      </c>
      <c r="N26" s="167">
        <f t="shared" si="1"/>
        <v>94.32013803756773</v>
      </c>
      <c r="O26" s="183">
        <f t="shared" si="2"/>
        <v>97.852154337614877</v>
      </c>
      <c r="P26" s="221">
        <f t="shared" si="3"/>
        <v>192.17229237518262</v>
      </c>
      <c r="Q26" s="183">
        <f>IF($C26="UG",HLOOKUP($B26,'LS - Underground Lights'!$C$3:$R$78,76,FALSE),HLOOKUP($B26,'LS - Overhead Lights'!$C$3:$K$52,49,FALSE))</f>
        <v>4.6254197082383142</v>
      </c>
      <c r="R26" s="221">
        <f t="shared" si="4"/>
        <v>4.6254197082383142</v>
      </c>
      <c r="S26" s="184">
        <f t="shared" si="5"/>
        <v>5.927999999999999</v>
      </c>
      <c r="T26" s="184">
        <f t="shared" ref="T26:T40" si="28">IF($G26=0,0,$S$2*(($G26/1000)*4000))/12</f>
        <v>0.3478666666666666</v>
      </c>
      <c r="U26" s="184">
        <f t="shared" ref="U26:U40" si="29">IF($G26=0,0,$S$3*(($G26/1000)*4000))/12</f>
        <v>0.12666666666666668</v>
      </c>
      <c r="V26" s="184">
        <f t="shared" si="8"/>
        <v>0</v>
      </c>
      <c r="W26" s="185">
        <f t="shared" si="9"/>
        <v>17.368342673618411</v>
      </c>
      <c r="X26" s="275">
        <f t="shared" si="25"/>
        <v>9.1228795281345736</v>
      </c>
      <c r="Y26" s="185">
        <f t="shared" si="18"/>
        <v>0</v>
      </c>
      <c r="Z26" s="275">
        <f t="shared" si="18"/>
        <v>0</v>
      </c>
      <c r="AA26" s="252">
        <f t="shared" si="26"/>
        <v>9.1228795281345736</v>
      </c>
      <c r="AB26" s="186">
        <f>SUM(W26,Y26)</f>
        <v>17.368342673618411</v>
      </c>
      <c r="AC26" s="189" t="s">
        <v>342</v>
      </c>
      <c r="AD26" s="188" t="str">
        <f t="shared" si="19"/>
        <v>-</v>
      </c>
      <c r="AE26" s="169" t="str">
        <f t="shared" si="20"/>
        <v>-</v>
      </c>
      <c r="AF26" s="202">
        <f>IFERROR(SUMIFS('Forecast Count'!$F$4:$F$99,'Forecast Count'!$A$4:$A$99,$B26),"N/A")</f>
        <v>0</v>
      </c>
      <c r="AG26" s="203">
        <f t="shared" si="21"/>
        <v>0</v>
      </c>
      <c r="AH26" s="203" t="str">
        <f t="shared" si="22"/>
        <v>N/A</v>
      </c>
      <c r="AI26" s="204">
        <f t="shared" si="23"/>
        <v>0</v>
      </c>
      <c r="AJ26" s="205">
        <f t="shared" si="24"/>
        <v>0</v>
      </c>
      <c r="AK26" s="2" t="s">
        <v>510</v>
      </c>
      <c r="AN26" s="125">
        <f t="shared" si="27"/>
        <v>8.2454631454838374</v>
      </c>
    </row>
    <row r="27" spans="1:44" x14ac:dyDescent="0.25">
      <c r="A27" s="180" t="s">
        <v>189</v>
      </c>
      <c r="B27" s="181" t="s">
        <v>555</v>
      </c>
      <c r="C27" s="181" t="s">
        <v>191</v>
      </c>
      <c r="D27" s="182" t="str">
        <f>IF($C27="UG",HLOOKUP($B27,'LS - Underground Lights'!$C$3:$R$76,4,FALSE),HLOOKUP($B27,'LS - Overhead Lights'!$C$3:$K$52,4,FALSE))</f>
        <v>LED</v>
      </c>
      <c r="E27" s="182" t="str">
        <f>IF(C27="UG",HLOOKUP($B27,'LS - Underground Lights'!$C$3:$R$76,2,FALSE),HLOOKUP($B27,'LS - Overhead Lights'!$C$3:$K$52,2,FALSE))</f>
        <v>Contemporary</v>
      </c>
      <c r="F27" s="182" t="str">
        <f>IF($C27="UG",HLOOKUP($B27,'LS - Underground Lights'!$C$3:$R$76,5,FALSE),HLOOKUP($B27,'LS - Overhead Lights'!$C$3:$K$52,5,FALSE))</f>
        <v>70w</v>
      </c>
      <c r="G27" s="182">
        <f>IF($C27="UG",HLOOKUP($B27,'LS - Underground Lights'!$C$3:$R$76,6,FALSE),HLOOKUP($B27,'LS - Overhead Lights'!$C$3:$K$52,6,FALSE))</f>
        <v>57</v>
      </c>
      <c r="H27" s="182" t="str">
        <f>IF($C27="UG",HLOOKUP($B27,'LS - Underground Lights'!$C$3:$R$76,3,FALSE),HLOOKUP($B27,'LS - Overhead Lights'!$C$3:$K$52,3,FALSE))</f>
        <v>4000-7000</v>
      </c>
      <c r="I27" s="228">
        <f>IFERROR(IF(C27="UG",VLOOKUP($AK27,'Maintenance &amp; NBV'!$B$44:$K$47,9,FALSE),0),0)</f>
        <v>850.06930635905815</v>
      </c>
      <c r="J27" s="183">
        <f>IF($C27="UG",HLOOKUP($B27,'LS - Underground Lights'!$C$3:$R$76,64,FALSE),HLOOKUP($B27,'LS - Overhead Lights'!$C$3:$K$52,44,FALSE))</f>
        <v>459.68550000000005</v>
      </c>
      <c r="K27" s="221">
        <f t="shared" si="0"/>
        <v>1309.7548063590582</v>
      </c>
      <c r="L27" s="352" t="s">
        <v>489</v>
      </c>
      <c r="M27" s="353" t="s">
        <v>506</v>
      </c>
      <c r="N27" s="167">
        <f t="shared" si="1"/>
        <v>139.34784715215736</v>
      </c>
      <c r="O27" s="183">
        <f t="shared" si="2"/>
        <v>68.494540004090169</v>
      </c>
      <c r="P27" s="221">
        <f t="shared" si="3"/>
        <v>207.84238715624753</v>
      </c>
      <c r="Q27" s="183">
        <f>IF($C27="UG",HLOOKUP($B27,'LS - Underground Lights'!$C$3:$R$78,76,FALSE),HLOOKUP($B27,'LS - Overhead Lights'!$C$3:$K$52,49,FALSE))</f>
        <v>4.6254197082383142</v>
      </c>
      <c r="R27" s="221">
        <f t="shared" si="4"/>
        <v>4.6254197082383142</v>
      </c>
      <c r="S27" s="184">
        <f t="shared" si="5"/>
        <v>8.4473999999999982</v>
      </c>
      <c r="T27" s="184">
        <f t="shared" si="28"/>
        <v>0.49570999999999993</v>
      </c>
      <c r="U27" s="184">
        <f t="shared" si="29"/>
        <v>0.18049999999999999</v>
      </c>
      <c r="V27" s="184">
        <f t="shared" si="8"/>
        <v>0</v>
      </c>
      <c r="W27" s="185">
        <f t="shared" si="9"/>
        <v>19.085810572040483</v>
      </c>
      <c r="X27" s="275">
        <f t="shared" si="25"/>
        <v>7.0880383336741808</v>
      </c>
      <c r="Y27" s="185">
        <f t="shared" si="18"/>
        <v>0</v>
      </c>
      <c r="Z27" s="275">
        <f t="shared" si="18"/>
        <v>0</v>
      </c>
      <c r="AA27" s="252">
        <f t="shared" si="26"/>
        <v>7.0880383336741808</v>
      </c>
      <c r="AB27" s="186">
        <f t="shared" si="17"/>
        <v>19.085810572040483</v>
      </c>
      <c r="AC27" s="189" t="s">
        <v>342</v>
      </c>
      <c r="AD27" s="188" t="str">
        <f t="shared" si="19"/>
        <v>-</v>
      </c>
      <c r="AE27" s="169" t="str">
        <f t="shared" si="20"/>
        <v>-</v>
      </c>
      <c r="AF27" s="202">
        <f>IFERROR(SUMIFS('Forecast Count'!$F$4:$F$99,'Forecast Count'!$A$4:$A$99,$B27),"N/A")</f>
        <v>0</v>
      </c>
      <c r="AG27" s="203">
        <f t="shared" si="21"/>
        <v>0</v>
      </c>
      <c r="AH27" s="203" t="str">
        <f t="shared" si="22"/>
        <v>N/A</v>
      </c>
      <c r="AI27" s="204">
        <f t="shared" si="23"/>
        <v>0</v>
      </c>
      <c r="AJ27" s="205">
        <f t="shared" si="24"/>
        <v>0</v>
      </c>
      <c r="AK27" s="2" t="s">
        <v>58</v>
      </c>
      <c r="AN27" s="125">
        <f t="shared" si="27"/>
        <v>11.997772238366302</v>
      </c>
    </row>
    <row r="28" spans="1:44" x14ac:dyDescent="0.25">
      <c r="A28" s="180" t="s">
        <v>189</v>
      </c>
      <c r="B28" s="181" t="s">
        <v>556</v>
      </c>
      <c r="C28" s="181" t="s">
        <v>191</v>
      </c>
      <c r="D28" s="182" t="str">
        <f>IF($C28="UG",HLOOKUP($B28,'LS - Underground Lights'!$C$3:$R$76,4,FALSE),HLOOKUP($B28,'LS - Overhead Lights'!$C$3:$K$52,4,FALSE))</f>
        <v>LED</v>
      </c>
      <c r="E28" s="182" t="str">
        <f>IF(C28="UG",HLOOKUP($B28,'LS - Underground Lights'!$C$3:$R$76,2,FALSE),HLOOKUP($B28,'LS - Overhead Lights'!$C$3:$K$52,2,FALSE))</f>
        <v>Contemporary</v>
      </c>
      <c r="F28" s="182" t="str">
        <f>IF($C28="UG",HLOOKUP($B28,'LS - Underground Lights'!$C$3:$R$76,5,FALSE),HLOOKUP($B28,'LS - Overhead Lights'!$C$3:$K$52,5,FALSE))</f>
        <v>150w</v>
      </c>
      <c r="G28" s="182">
        <f>IF($C28="UG",HLOOKUP($B28,'LS - Underground Lights'!$C$3:$R$76,6,FALSE),HLOOKUP($B28,'LS - Overhead Lights'!$C$3:$K$52,6,FALSE))</f>
        <v>87</v>
      </c>
      <c r="H28" s="182" t="str">
        <f>IF($C28="UG",HLOOKUP($B28,'LS - Underground Lights'!$C$3:$R$76,3,FALSE),HLOOKUP($B28,'LS - Overhead Lights'!$C$3:$K$52,3,FALSE))</f>
        <v>8000-11000</v>
      </c>
      <c r="I28" s="228">
        <f>IFERROR(IF(C28="UG",VLOOKUP($AK28,'Maintenance &amp; NBV'!$B$44:$K$47,9,FALSE),0),0)</f>
        <v>850.06930635905815</v>
      </c>
      <c r="J28" s="183">
        <f>IF($C28="UG",HLOOKUP($B28,'LS - Underground Lights'!$C$3:$R$76,64,FALSE),HLOOKUP($B28,'LS - Overhead Lights'!$C$3:$K$52,44,FALSE))</f>
        <v>495.12199999999996</v>
      </c>
      <c r="K28" s="221">
        <f t="shared" si="0"/>
        <v>1345.1913063590582</v>
      </c>
      <c r="L28" s="352" t="s">
        <v>489</v>
      </c>
      <c r="M28" s="353" t="s">
        <v>506</v>
      </c>
      <c r="N28" s="167">
        <f t="shared" si="1"/>
        <v>139.34784715215736</v>
      </c>
      <c r="O28" s="183">
        <f t="shared" si="2"/>
        <v>73.774686466954321</v>
      </c>
      <c r="P28" s="221">
        <f t="shared" si="3"/>
        <v>213.12253361911166</v>
      </c>
      <c r="Q28" s="183">
        <f>IF($C28="UG",HLOOKUP($B28,'LS - Underground Lights'!$C$3:$R$78,76,FALSE),HLOOKUP($B28,'LS - Overhead Lights'!$C$3:$K$52,49,FALSE))</f>
        <v>4.6254197082383142</v>
      </c>
      <c r="R28" s="221">
        <f t="shared" si="4"/>
        <v>4.6254197082383142</v>
      </c>
      <c r="S28" s="184">
        <f t="shared" si="5"/>
        <v>12.893399999999998</v>
      </c>
      <c r="T28" s="184">
        <f t="shared" si="28"/>
        <v>0.75660999999999989</v>
      </c>
      <c r="U28" s="184">
        <f t="shared" si="29"/>
        <v>0.27550000000000002</v>
      </c>
      <c r="V28" s="184">
        <f t="shared" si="8"/>
        <v>0</v>
      </c>
      <c r="W28" s="185">
        <f t="shared" si="9"/>
        <v>20.252222777279165</v>
      </c>
      <c r="X28" s="275">
        <f t="shared" si="25"/>
        <v>8.2544505389128595</v>
      </c>
      <c r="Y28" s="185">
        <f t="shared" si="18"/>
        <v>0</v>
      </c>
      <c r="Z28" s="275">
        <f t="shared" si="18"/>
        <v>0</v>
      </c>
      <c r="AA28" s="252">
        <f t="shared" si="26"/>
        <v>8.2544505389128595</v>
      </c>
      <c r="AB28" s="186">
        <f t="shared" si="17"/>
        <v>20.252222777279165</v>
      </c>
      <c r="AC28" s="189" t="s">
        <v>342</v>
      </c>
      <c r="AD28" s="188" t="str">
        <f t="shared" si="19"/>
        <v>-</v>
      </c>
      <c r="AE28" s="169" t="str">
        <f t="shared" si="20"/>
        <v>-</v>
      </c>
      <c r="AF28" s="202">
        <f>IFERROR(SUMIFS('Forecast Count'!$F$4:$F$99,'Forecast Count'!$A$4:$A$99,$B28),"N/A")</f>
        <v>0</v>
      </c>
      <c r="AG28" s="203">
        <f t="shared" si="21"/>
        <v>0</v>
      </c>
      <c r="AH28" s="203" t="str">
        <f t="shared" si="22"/>
        <v>N/A</v>
      </c>
      <c r="AI28" s="204">
        <f t="shared" si="23"/>
        <v>0</v>
      </c>
      <c r="AJ28" s="205">
        <f t="shared" si="24"/>
        <v>0</v>
      </c>
      <c r="AK28" s="2" t="s">
        <v>58</v>
      </c>
      <c r="AN28" s="125">
        <f t="shared" si="27"/>
        <v>11.997772238366306</v>
      </c>
    </row>
    <row r="29" spans="1:44" x14ac:dyDescent="0.25">
      <c r="A29" s="180" t="s">
        <v>189</v>
      </c>
      <c r="B29" s="181" t="s">
        <v>557</v>
      </c>
      <c r="C29" s="181" t="s">
        <v>191</v>
      </c>
      <c r="D29" s="182" t="str">
        <f>IF($C29="UG",HLOOKUP($B29,'LS - Underground Lights'!$C$3:$R$76,4,FALSE),HLOOKUP($B29,'LS - Overhead Lights'!$C$3:$K$52,4,FALSE))</f>
        <v>LED</v>
      </c>
      <c r="E29" s="182" t="str">
        <f>IF(C29="UG",HLOOKUP($B29,'LS - Underground Lights'!$C$3:$R$76,2,FALSE),HLOOKUP($B29,'LS - Overhead Lights'!$C$3:$K$52,2,FALSE))</f>
        <v>Contemporary</v>
      </c>
      <c r="F29" s="182" t="str">
        <f>IF($C29="UG",HLOOKUP($B29,'LS - Underground Lights'!$C$3:$R$76,5,FALSE),HLOOKUP($B29,'LS - Overhead Lights'!$C$3:$K$52,5,FALSE))</f>
        <v>200w-250w</v>
      </c>
      <c r="G29" s="182">
        <f>IF($C29="UG",HLOOKUP($B29,'LS - Underground Lights'!$C$3:$R$76,6,FALSE),HLOOKUP($B29,'LS - Overhead Lights'!$C$3:$K$52,6,FALSE))</f>
        <v>143</v>
      </c>
      <c r="H29" s="182" t="str">
        <f>IF($C29="UG",HLOOKUP($B29,'LS - Underground Lights'!$C$3:$R$76,3,FALSE),HLOOKUP($B29,'LS - Overhead Lights'!$C$3:$K$52,3,FALSE))</f>
        <v>13500-16500</v>
      </c>
      <c r="I29" s="228">
        <f>IFERROR(IF(C29="UG",VLOOKUP($AK29,'Maintenance &amp; NBV'!$B$44:$K$47,9,FALSE),0),0)</f>
        <v>850.06930635905815</v>
      </c>
      <c r="J29" s="183">
        <f>IF($C29="UG",HLOOKUP($B29,'LS - Underground Lights'!$C$3:$R$76,64,FALSE),HLOOKUP($B29,'LS - Overhead Lights'!$C$3:$K$52,44,FALSE))</f>
        <v>529.14104000000009</v>
      </c>
      <c r="K29" s="221">
        <f t="shared" si="0"/>
        <v>1379.2103463590583</v>
      </c>
      <c r="L29" s="352" t="s">
        <v>489</v>
      </c>
      <c r="M29" s="353" t="s">
        <v>506</v>
      </c>
      <c r="N29" s="167">
        <f t="shared" si="1"/>
        <v>139.34784715215736</v>
      </c>
      <c r="O29" s="183">
        <f t="shared" si="2"/>
        <v>78.843627071303928</v>
      </c>
      <c r="P29" s="221">
        <f t="shared" si="3"/>
        <v>218.19147422346128</v>
      </c>
      <c r="Q29" s="183">
        <f>IF($C29="UG",HLOOKUP($B29,'LS - Underground Lights'!$C$3:$R$78,76,FALSE),HLOOKUP($B29,'LS - Overhead Lights'!$C$3:$K$52,49,FALSE))</f>
        <v>4.6254197082383142</v>
      </c>
      <c r="R29" s="221">
        <f t="shared" si="4"/>
        <v>4.6254197082383142</v>
      </c>
      <c r="S29" s="184">
        <f t="shared" si="5"/>
        <v>21.192599999999995</v>
      </c>
      <c r="T29" s="184">
        <f t="shared" si="28"/>
        <v>1.2436233333333333</v>
      </c>
      <c r="U29" s="184">
        <f t="shared" si="29"/>
        <v>0.45283333333333337</v>
      </c>
      <c r="V29" s="184">
        <f t="shared" si="8"/>
        <v>0</v>
      </c>
      <c r="W29" s="185">
        <f t="shared" si="9"/>
        <v>22.030581160974968</v>
      </c>
      <c r="X29" s="275">
        <f t="shared" si="25"/>
        <v>10.032808922608661</v>
      </c>
      <c r="Y29" s="185">
        <f t="shared" si="18"/>
        <v>0</v>
      </c>
      <c r="Z29" s="275">
        <f t="shared" si="18"/>
        <v>0</v>
      </c>
      <c r="AA29" s="252">
        <f t="shared" si="26"/>
        <v>10.032808922608661</v>
      </c>
      <c r="AB29" s="186">
        <f t="shared" si="17"/>
        <v>22.030581160974968</v>
      </c>
      <c r="AC29" s="189" t="s">
        <v>342</v>
      </c>
      <c r="AD29" s="188" t="str">
        <f t="shared" si="19"/>
        <v>-</v>
      </c>
      <c r="AE29" s="169" t="str">
        <f t="shared" si="20"/>
        <v>-</v>
      </c>
      <c r="AF29" s="202">
        <f>IFERROR(SUMIFS('Forecast Count'!$F$4:$F$99,'Forecast Count'!$A$4:$A$99,$B29),"N/A")</f>
        <v>0</v>
      </c>
      <c r="AG29" s="203">
        <f t="shared" si="21"/>
        <v>0</v>
      </c>
      <c r="AH29" s="203" t="str">
        <f t="shared" si="22"/>
        <v>N/A</v>
      </c>
      <c r="AI29" s="204">
        <f t="shared" si="23"/>
        <v>0</v>
      </c>
      <c r="AJ29" s="205">
        <f t="shared" si="24"/>
        <v>0</v>
      </c>
      <c r="AK29" s="2" t="s">
        <v>58</v>
      </c>
      <c r="AN29" s="125">
        <f t="shared" si="27"/>
        <v>11.997772238366307</v>
      </c>
    </row>
    <row r="30" spans="1:44" x14ac:dyDescent="0.25">
      <c r="A30" s="180" t="s">
        <v>189</v>
      </c>
      <c r="B30" s="181" t="s">
        <v>558</v>
      </c>
      <c r="C30" s="181" t="s">
        <v>191</v>
      </c>
      <c r="D30" s="182" t="str">
        <f>IF($C30="UG",HLOOKUP($B30,'LS - Underground Lights'!$C$3:$R$76,4,FALSE),HLOOKUP($B30,'LS - Overhead Lights'!$C$3:$K$52,4,FALSE))</f>
        <v>LED</v>
      </c>
      <c r="E30" s="182" t="str">
        <f>IF(C30="UG",HLOOKUP($B30,'LS - Underground Lights'!$C$3:$R$76,2,FALSE),HLOOKUP($B30,'LS - Overhead Lights'!$C$3:$K$52,2,FALSE))</f>
        <v>Contemporary</v>
      </c>
      <c r="F30" s="182" t="str">
        <f>IF($C30="UG",HLOOKUP($B30,'LS - Underground Lights'!$C$3:$R$76,5,FALSE),HLOOKUP($B30,'LS - Overhead Lights'!$C$3:$K$52,5,FALSE))</f>
        <v>400w</v>
      </c>
      <c r="G30" s="182">
        <f>IF($C30="UG",HLOOKUP($B30,'LS - Underground Lights'!$C$3:$R$76,6,FALSE),HLOOKUP($B30,'LS - Overhead Lights'!$C$3:$K$52,6,FALSE))</f>
        <v>220</v>
      </c>
      <c r="H30" s="182" t="str">
        <f>IF($C30="UG",HLOOKUP($B30,'LS - Underground Lights'!$C$3:$R$76,3,FALSE),HLOOKUP($B30,'LS - Overhead Lights'!$C$3:$K$52,3,FALSE))</f>
        <v>21000-28000</v>
      </c>
      <c r="I30" s="228">
        <f>IFERROR(IF(C30="UG",VLOOKUP($AK30,'Maintenance &amp; NBV'!$B$44:$K$47,9,FALSE),0),0)</f>
        <v>850.06930635905815</v>
      </c>
      <c r="J30" s="183">
        <f>IF($C30="UG",HLOOKUP($B30,'LS - Underground Lights'!$C$3:$R$76,64,FALSE),HLOOKUP($B30,'LS - Overhead Lights'!$C$3:$K$52,44,FALSE))</f>
        <v>743.17750000000012</v>
      </c>
      <c r="K30" s="221">
        <f t="shared" si="0"/>
        <v>1593.2468063590582</v>
      </c>
      <c r="L30" s="352" t="s">
        <v>489</v>
      </c>
      <c r="M30" s="353" t="s">
        <v>506</v>
      </c>
      <c r="N30" s="167">
        <f t="shared" si="1"/>
        <v>139.34784715215736</v>
      </c>
      <c r="O30" s="183">
        <f t="shared" si="2"/>
        <v>110.73571170700343</v>
      </c>
      <c r="P30" s="221">
        <f t="shared" si="3"/>
        <v>250.0835588591608</v>
      </c>
      <c r="Q30" s="183">
        <f>IF($C30="UG",HLOOKUP($B30,'LS - Underground Lights'!$C$3:$R$78,76,FALSE),HLOOKUP($B30,'LS - Overhead Lights'!$C$3:$K$52,49,FALSE))</f>
        <v>4.6254197082383142</v>
      </c>
      <c r="R30" s="221">
        <f t="shared" si="4"/>
        <v>4.6254197082383142</v>
      </c>
      <c r="S30" s="184">
        <f t="shared" si="5"/>
        <v>32.603999999999992</v>
      </c>
      <c r="T30" s="184">
        <f t="shared" si="28"/>
        <v>1.9132666666666667</v>
      </c>
      <c r="U30" s="184">
        <f t="shared" si="29"/>
        <v>0.69666666666666666</v>
      </c>
      <c r="V30" s="184">
        <f t="shared" si="8"/>
        <v>0</v>
      </c>
      <c r="W30" s="185">
        <f t="shared" si="9"/>
        <v>26.552681547283257</v>
      </c>
      <c r="X30" s="275">
        <f t="shared" si="25"/>
        <v>14.554909308916953</v>
      </c>
      <c r="Y30" s="185">
        <f t="shared" si="18"/>
        <v>0</v>
      </c>
      <c r="Z30" s="275">
        <f t="shared" si="18"/>
        <v>0</v>
      </c>
      <c r="AA30" s="252">
        <f t="shared" si="26"/>
        <v>14.554909308916953</v>
      </c>
      <c r="AB30" s="186">
        <f t="shared" si="17"/>
        <v>26.552681547283257</v>
      </c>
      <c r="AC30" s="189" t="s">
        <v>342</v>
      </c>
      <c r="AD30" s="188" t="str">
        <f t="shared" si="19"/>
        <v>-</v>
      </c>
      <c r="AE30" s="169" t="str">
        <f t="shared" si="20"/>
        <v>-</v>
      </c>
      <c r="AF30" s="202">
        <f>IFERROR(SUMIFS('Forecast Count'!$F$4:$F$99,'Forecast Count'!$A$4:$A$99,$B30),"N/A")</f>
        <v>0</v>
      </c>
      <c r="AG30" s="203">
        <f t="shared" si="21"/>
        <v>0</v>
      </c>
      <c r="AH30" s="203" t="str">
        <f t="shared" si="22"/>
        <v>N/A</v>
      </c>
      <c r="AI30" s="204">
        <f t="shared" si="23"/>
        <v>0</v>
      </c>
      <c r="AJ30" s="205">
        <f t="shared" si="24"/>
        <v>0</v>
      </c>
      <c r="AK30" s="2" t="s">
        <v>58</v>
      </c>
      <c r="AN30" s="125">
        <f t="shared" si="27"/>
        <v>11.997772238366304</v>
      </c>
    </row>
    <row r="31" spans="1:44" x14ac:dyDescent="0.25">
      <c r="A31" s="180" t="s">
        <v>189</v>
      </c>
      <c r="B31" s="181" t="s">
        <v>559</v>
      </c>
      <c r="C31" s="181" t="s">
        <v>191</v>
      </c>
      <c r="D31" s="182" t="str">
        <f>IF($C31="UG",HLOOKUP($B31,'LS - Underground Lights'!$C$3:$R$76,4,FALSE),HLOOKUP($B31,'LS - Overhead Lights'!$C$3:$K$52,4,FALSE))</f>
        <v>LED</v>
      </c>
      <c r="E31" s="182" t="str">
        <f>IF(C31="UG",HLOOKUP($B31,'LS - Underground Lights'!$C$3:$R$76,2,FALSE),HLOOKUP($B31,'LS - Overhead Lights'!$C$3:$K$52,2,FALSE))</f>
        <v>Contemporary</v>
      </c>
      <c r="F31" s="182" t="str">
        <f>IF($C31="UG",HLOOKUP($B31,'LS - Underground Lights'!$C$3:$R$76,5,FALSE),HLOOKUP($B31,'LS - Overhead Lights'!$C$3:$K$52,5,FALSE))</f>
        <v>1000w</v>
      </c>
      <c r="G31" s="182">
        <f>IF($C31="UG",HLOOKUP($B31,'LS - Underground Lights'!$C$3:$R$76,6,FALSE),HLOOKUP($B31,'LS - Overhead Lights'!$C$3:$K$52,6,FALSE))</f>
        <v>380</v>
      </c>
      <c r="H31" s="182" t="str">
        <f>IF($C31="UG",HLOOKUP($B31,'LS - Underground Lights'!$C$3:$R$76,3,FALSE),HLOOKUP($B31,'LS - Overhead Lights'!$C$3:$K$52,3,FALSE))</f>
        <v>45000-50000</v>
      </c>
      <c r="I31" s="228">
        <f>IFERROR(IF(C31="UG",VLOOKUP($AK31,'Maintenance &amp; NBV'!$B$44:$K$47,9,FALSE),0),0)</f>
        <v>850.06930635905815</v>
      </c>
      <c r="J31" s="183">
        <f>IF($C31="UG",HLOOKUP($B31,'LS - Underground Lights'!$C$3:$R$76,64,FALSE),HLOOKUP($B31,'LS - Overhead Lights'!$C$3:$K$52,44,FALSE))</f>
        <v>1026.6695000000002</v>
      </c>
      <c r="K31" s="221">
        <f t="shared" si="0"/>
        <v>1876.7388063590583</v>
      </c>
      <c r="L31" s="352" t="s">
        <v>489</v>
      </c>
      <c r="M31" s="353" t="s">
        <v>506</v>
      </c>
      <c r="N31" s="167">
        <f t="shared" si="1"/>
        <v>139.34784715215736</v>
      </c>
      <c r="O31" s="183">
        <f t="shared" si="2"/>
        <v>152.9768834099167</v>
      </c>
      <c r="P31" s="221">
        <f t="shared" si="3"/>
        <v>292.32473056207402</v>
      </c>
      <c r="Q31" s="183">
        <f>IF($C31="UG",HLOOKUP($B31,'LS - Underground Lights'!$C$3:$R$78,76,FALSE),HLOOKUP($B31,'LS - Overhead Lights'!$C$3:$K$52,49,FALSE))</f>
        <v>4.6254197082383142</v>
      </c>
      <c r="R31" s="221">
        <f t="shared" si="4"/>
        <v>4.6254197082383142</v>
      </c>
      <c r="S31" s="184">
        <f t="shared" si="5"/>
        <v>56.315999999999988</v>
      </c>
      <c r="T31" s="184">
        <f t="shared" si="28"/>
        <v>3.3047333333333331</v>
      </c>
      <c r="U31" s="184">
        <f t="shared" si="29"/>
        <v>1.2033333333333334</v>
      </c>
      <c r="V31" s="184">
        <f t="shared" si="8"/>
        <v>0</v>
      </c>
      <c r="W31" s="185">
        <f t="shared" si="9"/>
        <v>33.946912522526027</v>
      </c>
      <c r="X31" s="275">
        <f t="shared" si="25"/>
        <v>21.949140284159725</v>
      </c>
      <c r="Y31" s="185">
        <f t="shared" si="18"/>
        <v>0</v>
      </c>
      <c r="Z31" s="275">
        <f t="shared" si="18"/>
        <v>0</v>
      </c>
      <c r="AA31" s="252">
        <f t="shared" si="26"/>
        <v>21.949140284159725</v>
      </c>
      <c r="AB31" s="186">
        <f t="shared" si="17"/>
        <v>33.946912522526027</v>
      </c>
      <c r="AC31" s="189" t="s">
        <v>342</v>
      </c>
      <c r="AD31" s="188" t="str">
        <f t="shared" si="19"/>
        <v>-</v>
      </c>
      <c r="AE31" s="169" t="str">
        <f t="shared" si="20"/>
        <v>-</v>
      </c>
      <c r="AF31" s="202">
        <f>IFERROR(SUMIFS('Forecast Count'!$F$4:$F$99,'Forecast Count'!$A$4:$A$99,$B31),"N/A")</f>
        <v>0</v>
      </c>
      <c r="AG31" s="203">
        <f t="shared" si="21"/>
        <v>0</v>
      </c>
      <c r="AH31" s="203" t="str">
        <f t="shared" si="22"/>
        <v>N/A</v>
      </c>
      <c r="AI31" s="204">
        <f t="shared" si="23"/>
        <v>0</v>
      </c>
      <c r="AJ31" s="205">
        <f t="shared" si="24"/>
        <v>0</v>
      </c>
      <c r="AK31" s="2" t="s">
        <v>58</v>
      </c>
      <c r="AN31" s="125">
        <f t="shared" si="27"/>
        <v>11.997772238366302</v>
      </c>
    </row>
    <row r="32" spans="1:44" x14ac:dyDescent="0.25">
      <c r="A32" s="181" t="s">
        <v>189</v>
      </c>
      <c r="B32" s="181" t="s">
        <v>553</v>
      </c>
      <c r="C32" s="181" t="s">
        <v>191</v>
      </c>
      <c r="D32" s="182" t="str">
        <f>IF($C32="UG",HLOOKUP($B32,'LS - Underground Lights'!$C$3:$R$76,4,FALSE),HLOOKUP($B32,'LS - Overhead Lights'!$C$3:$K$52,4,FALSE))</f>
        <v>LED</v>
      </c>
      <c r="E32" s="182" t="str">
        <f>IF(C32="UG",HLOOKUP($B32,'LS - Underground Lights'!$C$3:$R$76,2,FALSE),HLOOKUP($B32,'LS - Overhead Lights'!$C$3:$K$52,2,FALSE))</f>
        <v>Cobra</v>
      </c>
      <c r="F32" s="182" t="str">
        <f>IF($C32="UG",HLOOKUP($B32,'LS - Underground Lights'!$C$3:$R$76,5,FALSE),HLOOKUP($B32,'LS - Overhead Lights'!$C$3:$K$52,5,FALSE))</f>
        <v>70w</v>
      </c>
      <c r="G32" s="182">
        <f>IF($C32="UG",HLOOKUP($B32,'LS - Underground Lights'!$C$3:$R$76,6,FALSE),HLOOKUP($B32,'LS - Overhead Lights'!$C$3:$K$52,6,FALSE))</f>
        <v>22</v>
      </c>
      <c r="H32" s="341" t="str">
        <f>IF($C32="UG",HLOOKUP($B32,'LS - Underground Lights'!$C$3:$R$76,3,FALSE),HLOOKUP($B32,'LS - Overhead Lights'!$C$3:$K$52,3,FALSE))</f>
        <v>2500-4000</v>
      </c>
      <c r="I32" s="336">
        <f>IFERROR(IF(C32="UG",VLOOKUP($AK32,'Maintenance &amp; NBV'!$B$44:$K$47,9,FALSE),0),0)</f>
        <v>886.02168932062807</v>
      </c>
      <c r="J32" s="183">
        <f>IF($C32="UG",HLOOKUP($B32,'LS - Underground Lights'!$C$3:$R$76,64,FALSE),HLOOKUP($B32,'LS - Overhead Lights'!$C$3:$K$52,44,FALSE))</f>
        <v>289.59030000000001</v>
      </c>
      <c r="K32" s="221">
        <f>SUM(I32:J32)</f>
        <v>1175.611989320628</v>
      </c>
      <c r="L32" s="352" t="s">
        <v>489</v>
      </c>
      <c r="M32" s="353" t="s">
        <v>506</v>
      </c>
      <c r="N32" s="167">
        <f t="shared" si="1"/>
        <v>145.24135151492817</v>
      </c>
      <c r="O32" s="183">
        <f t="shared" si="2"/>
        <v>43.149836982342215</v>
      </c>
      <c r="P32" s="221">
        <f t="shared" ref="P32:P37" si="30">SUM(N32:O32)</f>
        <v>188.39118849727038</v>
      </c>
      <c r="Q32" s="183">
        <f>IF($C32="UG",HLOOKUP($B32,'LS - Underground Lights'!$C$3:$R$78,76,FALSE),HLOOKUP($B32,'LS - Overhead Lights'!$C$3:$K$52,49,FALSE))</f>
        <v>4.6254197082383142</v>
      </c>
      <c r="R32" s="221">
        <f t="shared" si="4"/>
        <v>4.6254197082383142</v>
      </c>
      <c r="S32" s="184">
        <f t="shared" si="5"/>
        <v>3.2603999999999993</v>
      </c>
      <c r="T32" s="184">
        <f t="shared" si="28"/>
        <v>0.19132666666666664</v>
      </c>
      <c r="U32" s="184">
        <f t="shared" si="29"/>
        <v>6.9666666666666668E-2</v>
      </c>
      <c r="V32" s="184">
        <f t="shared" si="8"/>
        <v>0</v>
      </c>
      <c r="W32" s="185">
        <f t="shared" si="9"/>
        <v>16.617410683792389</v>
      </c>
      <c r="X32" s="275">
        <f t="shared" si="25"/>
        <v>4.1285130818618505</v>
      </c>
      <c r="Y32" s="185">
        <f>W32*$S$5</f>
        <v>0</v>
      </c>
      <c r="Z32" s="275">
        <f>X32*$S$5</f>
        <v>0</v>
      </c>
      <c r="AA32" s="340">
        <f>X32+Z32</f>
        <v>4.1285130818618505</v>
      </c>
      <c r="AB32" s="339">
        <f>SUM(W32,Y32)</f>
        <v>16.617410683792389</v>
      </c>
      <c r="AC32" s="338" t="s">
        <v>342</v>
      </c>
      <c r="AD32" s="188" t="str">
        <f>IFERROR(AB32-AC32,"-")</f>
        <v>-</v>
      </c>
      <c r="AE32" s="169" t="str">
        <f>IFERROR(AD32/AC32,"-")</f>
        <v>-</v>
      </c>
      <c r="AF32" s="202">
        <f>IFERROR(SUMIFS('Forecast Count'!$F$4:$F$99,'Forecast Count'!$A$4:$A$99,$B32),"N/A")</f>
        <v>0</v>
      </c>
      <c r="AG32" s="203">
        <f>IFERROR(AB32*AF32,"N/A")</f>
        <v>0</v>
      </c>
      <c r="AH32" s="203" t="str">
        <f>IFERROR(AF32*AC32,"N/A")</f>
        <v>N/A</v>
      </c>
      <c r="AI32" s="204">
        <f>AG32*12</f>
        <v>0</v>
      </c>
      <c r="AJ32" s="205">
        <f>IFERROR(AH32*12,0)</f>
        <v>0</v>
      </c>
      <c r="AK32" s="2" t="s">
        <v>496</v>
      </c>
      <c r="AN32" s="125">
        <f t="shared" si="27"/>
        <v>12.488897601930539</v>
      </c>
    </row>
    <row r="33" spans="1:40" x14ac:dyDescent="0.25">
      <c r="A33" s="181" t="s">
        <v>189</v>
      </c>
      <c r="B33" s="181" t="s">
        <v>567</v>
      </c>
      <c r="C33" s="181" t="s">
        <v>191</v>
      </c>
      <c r="D33" s="182" t="str">
        <f>IF($C33="UG",HLOOKUP($B33,'LS - Underground Lights'!$C$3:$R$76,4,FALSE),HLOOKUP($B33,'LS - Overhead Lights'!$C$3:$K$52,4,FALSE))</f>
        <v>LED</v>
      </c>
      <c r="E33" s="182" t="str">
        <f>IF(C33="UG",HLOOKUP($B33,'LS - Underground Lights'!$C$3:$R$76,2,FALSE),HLOOKUP($B33,'LS - Overhead Lights'!$C$3:$K$52,2,FALSE))</f>
        <v xml:space="preserve">Flood </v>
      </c>
      <c r="F33" s="182" t="str">
        <f>IF($C33="UG",HLOOKUP($B33,'LS - Underground Lights'!$C$3:$R$76,5,FALSE),HLOOKUP($B33,'LS - Overhead Lights'!$C$3:$K$52,5,FALSE))</f>
        <v>70w-100w</v>
      </c>
      <c r="G33" s="182">
        <f>IF($C33="UG",HLOOKUP($B33,'LS - Underground Lights'!$C$3:$R$76,6,FALSE),HLOOKUP($B33,'LS - Overhead Lights'!$C$3:$K$52,6,FALSE))</f>
        <v>30</v>
      </c>
      <c r="H33" s="341" t="str">
        <f>IF($C33="UG",HLOOKUP($B33,'LS - Underground Lights'!$C$3:$R$76,3,FALSE),HLOOKUP($B33,'LS - Overhead Lights'!$C$3:$K$52,3,FALSE))</f>
        <v>4500-6000</v>
      </c>
      <c r="I33" s="336">
        <f>IFERROR(IF(C33="UG",VLOOKUP($AK33,'Maintenance &amp; NBV'!$B$44:$K$47,9,FALSE),0),0)</f>
        <v>0</v>
      </c>
      <c r="J33" s="183">
        <f>IF($C33="UG",HLOOKUP($B33,'LS - Underground Lights'!$C$3:$R$76,64,FALSE),HLOOKUP($B33,'LS - Overhead Lights'!$C$3:$K$52,44,FALSE))</f>
        <v>622.13930200000004</v>
      </c>
      <c r="K33" s="221">
        <f t="shared" ref="K33:K36" si="31">SUM(I33:J33)</f>
        <v>622.13930200000004</v>
      </c>
      <c r="L33" s="352" t="s">
        <v>489</v>
      </c>
      <c r="M33" s="353" t="s">
        <v>506</v>
      </c>
      <c r="N33" s="167">
        <f t="shared" si="1"/>
        <v>0</v>
      </c>
      <c r="O33" s="183">
        <f t="shared" si="2"/>
        <v>92.700651443118687</v>
      </c>
      <c r="P33" s="221">
        <f t="shared" si="30"/>
        <v>92.700651443118687</v>
      </c>
      <c r="Q33" s="183">
        <f>IF($C33="UG",HLOOKUP($B33,'LS - Underground Lights'!$C$3:$R$78,76,FALSE),HLOOKUP($B33,'LS - Overhead Lights'!$C$3:$K$52,49,FALSE))</f>
        <v>4.6254197082383142</v>
      </c>
      <c r="R33" s="221">
        <f t="shared" si="4"/>
        <v>4.6254197082383142</v>
      </c>
      <c r="S33" s="184">
        <f t="shared" si="5"/>
        <v>4.4459999999999988</v>
      </c>
      <c r="T33" s="184">
        <f t="shared" si="28"/>
        <v>0.26089999999999997</v>
      </c>
      <c r="U33" s="184">
        <f t="shared" si="29"/>
        <v>9.4999999999999987E-2</v>
      </c>
      <c r="V33" s="184">
        <f t="shared" si="8"/>
        <v>0</v>
      </c>
      <c r="W33" s="185">
        <f t="shared" si="9"/>
        <v>8.8369059292797498</v>
      </c>
      <c r="X33" s="275">
        <f t="shared" si="25"/>
        <v>8.4514542869265572</v>
      </c>
      <c r="Y33" s="185">
        <f t="shared" ref="Y33:Y36" si="32">W33*$S$5</f>
        <v>0</v>
      </c>
      <c r="Z33" s="275">
        <f t="shared" ref="Z33:Z36" si="33">X33*$S$5</f>
        <v>0</v>
      </c>
      <c r="AA33" s="340">
        <f t="shared" ref="AA33:AA36" si="34">X33+Z33</f>
        <v>8.4514542869265572</v>
      </c>
      <c r="AB33" s="339">
        <f t="shared" ref="AB33:AB36" si="35">SUM(W33,Y33)</f>
        <v>8.8369059292797498</v>
      </c>
      <c r="AC33" s="338" t="s">
        <v>342</v>
      </c>
      <c r="AD33" s="188" t="str">
        <f t="shared" ref="AD33:AD36" si="36">IFERROR(AB33-AC33,"-")</f>
        <v>-</v>
      </c>
      <c r="AE33" s="169" t="str">
        <f t="shared" ref="AE33:AE36" si="37">IFERROR(AD33/AC33,"-")</f>
        <v>-</v>
      </c>
      <c r="AF33" s="202">
        <f>IFERROR(SUMIFS('Forecast Count'!$F$4:$F$99,'Forecast Count'!$A$4:$A$99,$B33),"N/A")</f>
        <v>0</v>
      </c>
      <c r="AG33" s="203">
        <f t="shared" ref="AG33:AG36" si="38">IFERROR(AB33*AF33,"N/A")</f>
        <v>0</v>
      </c>
      <c r="AH33" s="203" t="str">
        <f t="shared" ref="AH33:AH36" si="39">IFERROR(AF33*AC33,"N/A")</f>
        <v>N/A</v>
      </c>
      <c r="AI33" s="204">
        <f t="shared" ref="AI33:AI36" si="40">AG33*12</f>
        <v>0</v>
      </c>
      <c r="AJ33" s="205">
        <f t="shared" ref="AJ33:AJ36" si="41">IFERROR(AH33*12,0)</f>
        <v>0</v>
      </c>
      <c r="AK33" s="337" t="s">
        <v>572</v>
      </c>
      <c r="AN33" s="125">
        <f t="shared" si="27"/>
        <v>0.38545164235319263</v>
      </c>
    </row>
    <row r="34" spans="1:40" x14ac:dyDescent="0.25">
      <c r="A34" s="181" t="s">
        <v>189</v>
      </c>
      <c r="B34" s="181" t="s">
        <v>568</v>
      </c>
      <c r="C34" s="181" t="s">
        <v>191</v>
      </c>
      <c r="D34" s="182" t="str">
        <f>IF($C34="UG",HLOOKUP($B34,'LS - Underground Lights'!$C$3:$R$76,4,FALSE),HLOOKUP($B34,'LS - Overhead Lights'!$C$3:$K$52,4,FALSE))</f>
        <v>LED</v>
      </c>
      <c r="E34" s="182" t="str">
        <f>IF(C34="UG",HLOOKUP($B34,'LS - Underground Lights'!$C$3:$R$76,2,FALSE),HLOOKUP($B34,'LS - Overhead Lights'!$C$3:$K$52,2,FALSE))</f>
        <v xml:space="preserve">Flood </v>
      </c>
      <c r="F34" s="182" t="str">
        <f>IF($C34="UG",HLOOKUP($B34,'LS - Underground Lights'!$C$3:$R$76,5,FALSE),HLOOKUP($B34,'LS - Overhead Lights'!$C$3:$K$52,5,FALSE))</f>
        <v>150w-200w</v>
      </c>
      <c r="G34" s="182">
        <f>IF($C34="UG",HLOOKUP($B34,'LS - Underground Lights'!$C$3:$R$76,6,FALSE),HLOOKUP($B34,'LS - Overhead Lights'!$C$3:$K$52,6,FALSE))</f>
        <v>96</v>
      </c>
      <c r="H34" s="341" t="str">
        <f>IF($C34="UG",HLOOKUP($B34,'LS - Underground Lights'!$C$3:$R$76,3,FALSE),HLOOKUP($B34,'LS - Overhead Lights'!$C$3:$K$52,3,FALSE))</f>
        <v>14000-17500</v>
      </c>
      <c r="I34" s="336">
        <f>IFERROR(IF(C34="UG",VLOOKUP($AK34,'Maintenance &amp; NBV'!$B$44:$K$47,9,FALSE),0),0)</f>
        <v>0</v>
      </c>
      <c r="J34" s="183">
        <f>IF($C34="UG",HLOOKUP($B34,'LS - Underground Lights'!$C$3:$R$76,64,FALSE),HLOOKUP($B34,'LS - Overhead Lights'!$C$3:$K$52,44,FALSE))</f>
        <v>643.40120200000013</v>
      </c>
      <c r="K34" s="221">
        <f t="shared" si="31"/>
        <v>643.40120200000013</v>
      </c>
      <c r="L34" s="352" t="s">
        <v>489</v>
      </c>
      <c r="M34" s="353" t="s">
        <v>506</v>
      </c>
      <c r="N34" s="167">
        <f t="shared" si="1"/>
        <v>0</v>
      </c>
      <c r="O34" s="183">
        <f t="shared" si="2"/>
        <v>95.868739320837193</v>
      </c>
      <c r="P34" s="221">
        <f t="shared" si="30"/>
        <v>95.868739320837193</v>
      </c>
      <c r="Q34" s="183">
        <f>IF($C34="UG",HLOOKUP($B34,'LS - Underground Lights'!$C$3:$R$78,76,FALSE),HLOOKUP($B34,'LS - Overhead Lights'!$C$3:$K$52,49,FALSE))</f>
        <v>4.6254197082383142</v>
      </c>
      <c r="R34" s="221">
        <f t="shared" si="4"/>
        <v>4.6254197082383142</v>
      </c>
      <c r="S34" s="184">
        <f t="shared" si="5"/>
        <v>14.227199999999996</v>
      </c>
      <c r="T34" s="184">
        <f t="shared" si="28"/>
        <v>0.83487999999999996</v>
      </c>
      <c r="U34" s="184">
        <f t="shared" si="29"/>
        <v>0.30399999999999999</v>
      </c>
      <c r="V34" s="184">
        <f t="shared" si="8"/>
        <v>0</v>
      </c>
      <c r="W34" s="185">
        <f t="shared" si="9"/>
        <v>10.698993252422959</v>
      </c>
      <c r="X34" s="275">
        <f t="shared" si="25"/>
        <v>10.313541610069766</v>
      </c>
      <c r="Y34" s="185">
        <f t="shared" si="32"/>
        <v>0</v>
      </c>
      <c r="Z34" s="275">
        <f t="shared" si="33"/>
        <v>0</v>
      </c>
      <c r="AA34" s="340">
        <f t="shared" si="34"/>
        <v>10.313541610069766</v>
      </c>
      <c r="AB34" s="339">
        <f t="shared" si="35"/>
        <v>10.698993252422959</v>
      </c>
      <c r="AC34" s="338" t="s">
        <v>342</v>
      </c>
      <c r="AD34" s="188" t="str">
        <f t="shared" si="36"/>
        <v>-</v>
      </c>
      <c r="AE34" s="169" t="str">
        <f t="shared" si="37"/>
        <v>-</v>
      </c>
      <c r="AF34" s="202">
        <f>IFERROR(SUMIFS('Forecast Count'!$F$4:$F$99,'Forecast Count'!$A$4:$A$99,$B34),"N/A")</f>
        <v>0</v>
      </c>
      <c r="AG34" s="203">
        <f t="shared" si="38"/>
        <v>0</v>
      </c>
      <c r="AH34" s="203" t="str">
        <f t="shared" si="39"/>
        <v>N/A</v>
      </c>
      <c r="AI34" s="204">
        <f t="shared" si="40"/>
        <v>0</v>
      </c>
      <c r="AJ34" s="205">
        <f t="shared" si="41"/>
        <v>0</v>
      </c>
      <c r="AK34" s="337" t="s">
        <v>572</v>
      </c>
      <c r="AN34" s="125">
        <f t="shared" si="27"/>
        <v>0.38545164235319263</v>
      </c>
    </row>
    <row r="35" spans="1:40" x14ac:dyDescent="0.25">
      <c r="A35" s="181" t="s">
        <v>189</v>
      </c>
      <c r="B35" s="181" t="s">
        <v>569</v>
      </c>
      <c r="C35" s="181" t="s">
        <v>191</v>
      </c>
      <c r="D35" s="182" t="str">
        <f>IF($C35="UG",HLOOKUP($B35,'LS - Underground Lights'!$C$3:$R$76,4,FALSE),HLOOKUP($B35,'LS - Overhead Lights'!$C$3:$K$52,4,FALSE))</f>
        <v>LED</v>
      </c>
      <c r="E35" s="182" t="str">
        <f>IF(C35="UG",HLOOKUP($B35,'LS - Underground Lights'!$C$3:$R$76,2,FALSE),HLOOKUP($B35,'LS - Overhead Lights'!$C$3:$K$52,2,FALSE))</f>
        <v xml:space="preserve">Flood </v>
      </c>
      <c r="F35" s="182" t="str">
        <f>IF($C35="UG",HLOOKUP($B35,'LS - Underground Lights'!$C$3:$R$76,5,FALSE),HLOOKUP($B35,'LS - Overhead Lights'!$C$3:$K$52,5,FALSE))</f>
        <v>400w</v>
      </c>
      <c r="G35" s="182">
        <f>IF($C35="UG",HLOOKUP($B35,'LS - Underground Lights'!$C$3:$R$76,6,FALSE),HLOOKUP($B35,'LS - Overhead Lights'!$C$3:$K$52,6,FALSE))</f>
        <v>175</v>
      </c>
      <c r="H35" s="341" t="str">
        <f>IF($C35="UG",HLOOKUP($B35,'LS - Underground Lights'!$C$3:$R$76,3,FALSE),HLOOKUP($B35,'LS - Overhead Lights'!$C$3:$K$52,3,FALSE))</f>
        <v>22000-28000</v>
      </c>
      <c r="I35" s="226">
        <f>IFERROR(IF(C35="UG",VLOOKUP($AK35,'Maintenance &amp; NBV'!$B$44:$K$47,9,FALSE),0),0)</f>
        <v>0</v>
      </c>
      <c r="J35" s="183">
        <f>IF($C35="UG",HLOOKUP($B35,'LS - Underground Lights'!$C$3:$R$76,64,FALSE),HLOOKUP($B35,'LS - Overhead Lights'!$C$3:$K$52,44,FALSE))</f>
        <v>685.92500200000006</v>
      </c>
      <c r="K35" s="221">
        <f t="shared" si="31"/>
        <v>685.92500200000006</v>
      </c>
      <c r="L35" s="352" t="s">
        <v>489</v>
      </c>
      <c r="M35" s="353" t="s">
        <v>506</v>
      </c>
      <c r="N35" s="167">
        <f t="shared" si="1"/>
        <v>0</v>
      </c>
      <c r="O35" s="183">
        <f t="shared" si="2"/>
        <v>102.20491507627418</v>
      </c>
      <c r="P35" s="221">
        <f t="shared" si="30"/>
        <v>102.20491507627418</v>
      </c>
      <c r="Q35" s="183">
        <f>IF($C35="UG",HLOOKUP($B35,'LS - Underground Lights'!$C$3:$R$78,76,FALSE),HLOOKUP($B35,'LS - Overhead Lights'!$C$3:$K$52,49,FALSE))</f>
        <v>4.6254197082383142</v>
      </c>
      <c r="R35" s="221">
        <f t="shared" si="4"/>
        <v>4.6254197082383142</v>
      </c>
      <c r="S35" s="184">
        <f t="shared" si="5"/>
        <v>25.934999999999995</v>
      </c>
      <c r="T35" s="184">
        <f t="shared" si="28"/>
        <v>1.5219166666666666</v>
      </c>
      <c r="U35" s="184">
        <f t="shared" si="29"/>
        <v>0.55416666666666659</v>
      </c>
      <c r="V35" s="184">
        <f t="shared" si="8"/>
        <v>0</v>
      </c>
      <c r="W35" s="185">
        <f t="shared" si="9"/>
        <v>13.139861232042707</v>
      </c>
      <c r="X35" s="275">
        <f t="shared" si="25"/>
        <v>12.754409589689514</v>
      </c>
      <c r="Y35" s="185">
        <f t="shared" si="32"/>
        <v>0</v>
      </c>
      <c r="Z35" s="275">
        <f t="shared" si="33"/>
        <v>0</v>
      </c>
      <c r="AA35" s="340">
        <f t="shared" si="34"/>
        <v>12.754409589689514</v>
      </c>
      <c r="AB35" s="339">
        <f t="shared" si="35"/>
        <v>13.139861232042707</v>
      </c>
      <c r="AC35" s="338" t="s">
        <v>342</v>
      </c>
      <c r="AD35" s="188" t="str">
        <f t="shared" si="36"/>
        <v>-</v>
      </c>
      <c r="AE35" s="169" t="str">
        <f t="shared" si="37"/>
        <v>-</v>
      </c>
      <c r="AF35" s="202">
        <f>IFERROR(SUMIFS('Forecast Count'!$F$4:$F$99,'Forecast Count'!$A$4:$A$99,$B35),"N/A")</f>
        <v>0</v>
      </c>
      <c r="AG35" s="203">
        <f t="shared" si="38"/>
        <v>0</v>
      </c>
      <c r="AH35" s="203" t="str">
        <f t="shared" si="39"/>
        <v>N/A</v>
      </c>
      <c r="AI35" s="204">
        <f t="shared" si="40"/>
        <v>0</v>
      </c>
      <c r="AJ35" s="205">
        <f t="shared" si="41"/>
        <v>0</v>
      </c>
      <c r="AK35" s="337" t="s">
        <v>572</v>
      </c>
      <c r="AN35" s="125">
        <f t="shared" si="27"/>
        <v>0.38545164235319263</v>
      </c>
    </row>
    <row r="36" spans="1:40" ht="15.75" thickBot="1" x14ac:dyDescent="0.3">
      <c r="A36" s="191" t="s">
        <v>189</v>
      </c>
      <c r="B36" s="191" t="s">
        <v>570</v>
      </c>
      <c r="C36" s="191" t="s">
        <v>191</v>
      </c>
      <c r="D36" s="192" t="str">
        <f>IF($C36="UG",HLOOKUP($B36,'LS - Underground Lights'!$C$3:$R$76,4,FALSE),HLOOKUP($B36,'LS - Overhead Lights'!$C$3:$K$52,4,FALSE))</f>
        <v>LED</v>
      </c>
      <c r="E36" s="192" t="str">
        <f>IF(C36="UG",HLOOKUP($B36,'LS - Underground Lights'!$C$3:$R$76,2,FALSE),HLOOKUP($B36,'LS - Overhead Lights'!$C$3:$K$52,2,FALSE))</f>
        <v xml:space="preserve">Flood </v>
      </c>
      <c r="F36" s="192" t="str">
        <f>IF($C36="UG",HLOOKUP($B36,'LS - Underground Lights'!$C$3:$R$76,5,FALSE),HLOOKUP($B36,'LS - Overhead Lights'!$C$3:$K$52,5,FALSE))</f>
        <v>1000w</v>
      </c>
      <c r="G36" s="192">
        <f>IF($C36="UG",HLOOKUP($B36,'LS - Underground Lights'!$C$3:$R$76,6,FALSE),HLOOKUP($B36,'LS - Overhead Lights'!$C$3:$K$52,6,FALSE))</f>
        <v>297</v>
      </c>
      <c r="H36" s="342" t="str">
        <f>IF($C36="UG",HLOOKUP($B36,'LS - Underground Lights'!$C$3:$R$76,3,FALSE),HLOOKUP($B36,'LS - Overhead Lights'!$C$3:$K$52,3,FALSE))</f>
        <v>35000-50000</v>
      </c>
      <c r="I36" s="343">
        <f>IFERROR(IF(C36="UG",VLOOKUP($AK36,'Maintenance &amp; NBV'!$B$44:$K$47,9,FALSE),0),0)</f>
        <v>0</v>
      </c>
      <c r="J36" s="193">
        <f>IF($C36="UG",HLOOKUP($B36,'LS - Underground Lights'!$C$3:$R$76,64,FALSE),HLOOKUP($B36,'LS - Overhead Lights'!$C$3:$K$52,44,FALSE))</f>
        <v>1004.853502</v>
      </c>
      <c r="K36" s="223">
        <f t="shared" si="31"/>
        <v>1004.853502</v>
      </c>
      <c r="L36" s="289" t="s">
        <v>489</v>
      </c>
      <c r="M36" s="349" t="s">
        <v>506</v>
      </c>
      <c r="N36" s="170">
        <f t="shared" si="1"/>
        <v>0</v>
      </c>
      <c r="O36" s="193">
        <f t="shared" si="2"/>
        <v>149.72623324205159</v>
      </c>
      <c r="P36" s="223">
        <f t="shared" si="30"/>
        <v>149.72623324205159</v>
      </c>
      <c r="Q36" s="183">
        <f>IF($C36="UG",HLOOKUP($B36,'LS - Underground Lights'!$C$3:$R$78,76,FALSE),HLOOKUP($B36,'LS - Overhead Lights'!$C$3:$K$52,49,FALSE))</f>
        <v>4.6254197082383142</v>
      </c>
      <c r="R36" s="221">
        <f t="shared" si="4"/>
        <v>4.6254197082383142</v>
      </c>
      <c r="S36" s="194">
        <f t="shared" si="5"/>
        <v>44.015399999999993</v>
      </c>
      <c r="T36" s="194">
        <f t="shared" si="28"/>
        <v>2.5829099999999996</v>
      </c>
      <c r="U36" s="194">
        <f t="shared" si="29"/>
        <v>0.9405</v>
      </c>
      <c r="V36" s="194">
        <f t="shared" si="8"/>
        <v>0</v>
      </c>
      <c r="W36" s="195">
        <f t="shared" si="9"/>
        <v>20.05399774585749</v>
      </c>
      <c r="X36" s="275">
        <f t="shared" si="25"/>
        <v>19.668546103504298</v>
      </c>
      <c r="Y36" s="195">
        <f t="shared" si="32"/>
        <v>0</v>
      </c>
      <c r="Z36" s="276">
        <f t="shared" si="33"/>
        <v>0</v>
      </c>
      <c r="AA36" s="281">
        <f t="shared" si="34"/>
        <v>19.668546103504298</v>
      </c>
      <c r="AB36" s="344">
        <f t="shared" si="35"/>
        <v>20.05399774585749</v>
      </c>
      <c r="AC36" s="345" t="s">
        <v>342</v>
      </c>
      <c r="AD36" s="197" t="str">
        <f t="shared" si="36"/>
        <v>-</v>
      </c>
      <c r="AE36" s="171" t="str">
        <f t="shared" si="37"/>
        <v>-</v>
      </c>
      <c r="AF36" s="206">
        <f>IFERROR(SUMIFS('Forecast Count'!$F$4:$F$99,'Forecast Count'!$A$4:$A$99,$B36),"N/A")</f>
        <v>0</v>
      </c>
      <c r="AG36" s="207">
        <f t="shared" si="38"/>
        <v>0</v>
      </c>
      <c r="AH36" s="207" t="str">
        <f t="shared" si="39"/>
        <v>N/A</v>
      </c>
      <c r="AI36" s="208">
        <f t="shared" si="40"/>
        <v>0</v>
      </c>
      <c r="AJ36" s="209">
        <f t="shared" si="41"/>
        <v>0</v>
      </c>
      <c r="AK36" s="337" t="s">
        <v>572</v>
      </c>
      <c r="AN36" s="125">
        <f t="shared" si="27"/>
        <v>0.38545164235319263</v>
      </c>
    </row>
    <row r="37" spans="1:40" x14ac:dyDescent="0.25">
      <c r="A37" s="234"/>
      <c r="B37" s="235" t="s">
        <v>560</v>
      </c>
      <c r="C37" s="235" t="s">
        <v>489</v>
      </c>
      <c r="D37" s="236" t="s">
        <v>489</v>
      </c>
      <c r="E37" s="236" t="s">
        <v>496</v>
      </c>
      <c r="F37" s="236"/>
      <c r="G37" s="236"/>
      <c r="H37" s="236"/>
      <c r="I37" s="278">
        <f>I32</f>
        <v>886.02168932062807</v>
      </c>
      <c r="J37" s="237">
        <v>0</v>
      </c>
      <c r="K37" s="238">
        <f>SUM(I37:J37)</f>
        <v>886.02168932062807</v>
      </c>
      <c r="L37" s="286" t="s">
        <v>489</v>
      </c>
      <c r="M37" s="286" t="s">
        <v>489</v>
      </c>
      <c r="N37" s="217">
        <f t="shared" si="1"/>
        <v>145.24135151492817</v>
      </c>
      <c r="O37" s="229">
        <f t="shared" si="2"/>
        <v>0</v>
      </c>
      <c r="P37" s="230">
        <f t="shared" si="30"/>
        <v>145.24135151492817</v>
      </c>
      <c r="Q37" s="237">
        <f>Q36</f>
        <v>4.6254197082383142</v>
      </c>
      <c r="R37" s="238">
        <f t="shared" si="4"/>
        <v>4.6254197082383142</v>
      </c>
      <c r="S37" s="239">
        <f t="shared" si="5"/>
        <v>0</v>
      </c>
      <c r="T37" s="239">
        <f t="shared" si="28"/>
        <v>0</v>
      </c>
      <c r="U37" s="239">
        <f t="shared" si="29"/>
        <v>0</v>
      </c>
      <c r="V37" s="239">
        <f t="shared" si="8"/>
        <v>0</v>
      </c>
      <c r="W37" s="240">
        <f>(SUM(P37,Q37,S37)/12)+T37+U37+V37</f>
        <v>12.488897601930541</v>
      </c>
      <c r="X37" s="240"/>
      <c r="Y37" s="282">
        <f t="shared" si="18"/>
        <v>0</v>
      </c>
      <c r="Z37" s="240"/>
      <c r="AA37" s="240"/>
      <c r="AB37" s="241">
        <f>SUM(W37,Y37)</f>
        <v>12.488897601930541</v>
      </c>
      <c r="AC37" s="242"/>
      <c r="AD37" s="243"/>
      <c r="AE37" s="244"/>
      <c r="AF37" s="245"/>
      <c r="AG37" s="246"/>
      <c r="AH37" s="246"/>
      <c r="AI37" s="247"/>
      <c r="AJ37" s="248"/>
    </row>
    <row r="38" spans="1:40" x14ac:dyDescent="0.25">
      <c r="A38" s="249"/>
      <c r="B38" s="250" t="s">
        <v>561</v>
      </c>
      <c r="C38" s="250" t="s">
        <v>489</v>
      </c>
      <c r="D38" s="251" t="s">
        <v>489</v>
      </c>
      <c r="E38" s="251" t="s">
        <v>510</v>
      </c>
      <c r="F38" s="251"/>
      <c r="G38" s="251"/>
      <c r="H38" s="251"/>
      <c r="I38" s="227">
        <f>I26</f>
        <v>575.38495180149255</v>
      </c>
      <c r="J38" s="229">
        <v>0</v>
      </c>
      <c r="K38" s="230">
        <f t="shared" ref="K38:K40" si="42">SUM(I38:J38)</f>
        <v>575.38495180149255</v>
      </c>
      <c r="L38" s="286" t="s">
        <v>489</v>
      </c>
      <c r="M38" s="286" t="s">
        <v>489</v>
      </c>
      <c r="N38" s="217">
        <f t="shared" si="1"/>
        <v>94.32013803756773</v>
      </c>
      <c r="O38" s="229">
        <f t="shared" si="2"/>
        <v>0</v>
      </c>
      <c r="P38" s="230">
        <f t="shared" ref="P38:P40" si="43">SUM(N38:O38)</f>
        <v>94.32013803756773</v>
      </c>
      <c r="Q38" s="229">
        <f t="shared" ref="Q38:Q39" si="44">Q37</f>
        <v>4.6254197082383142</v>
      </c>
      <c r="R38" s="230">
        <f t="shared" si="4"/>
        <v>4.6254197082383142</v>
      </c>
      <c r="S38" s="231">
        <f t="shared" si="5"/>
        <v>0</v>
      </c>
      <c r="T38" s="231">
        <f t="shared" si="28"/>
        <v>0</v>
      </c>
      <c r="U38" s="231">
        <f t="shared" si="29"/>
        <v>0</v>
      </c>
      <c r="V38" s="231">
        <f t="shared" si="8"/>
        <v>0</v>
      </c>
      <c r="W38" s="252">
        <f>(SUM(P38,Q38,S38)/12)+T38+U38+V38</f>
        <v>8.2454631454838374</v>
      </c>
      <c r="X38" s="252"/>
      <c r="Y38" s="282">
        <f t="shared" ref="Y38:Y40" si="45">W38*$S$5</f>
        <v>0</v>
      </c>
      <c r="Z38" s="252"/>
      <c r="AA38" s="252"/>
      <c r="AB38" s="232">
        <f t="shared" si="17"/>
        <v>8.2454631454838374</v>
      </c>
      <c r="AC38" s="233"/>
      <c r="AD38" s="253"/>
      <c r="AE38" s="254"/>
      <c r="AF38" s="255"/>
      <c r="AG38" s="256"/>
      <c r="AH38" s="256"/>
      <c r="AI38" s="257"/>
      <c r="AJ38" s="258"/>
    </row>
    <row r="39" spans="1:40" x14ac:dyDescent="0.25">
      <c r="A39" s="249"/>
      <c r="B39" s="250" t="s">
        <v>562</v>
      </c>
      <c r="C39" s="250" t="s">
        <v>489</v>
      </c>
      <c r="D39" s="251" t="s">
        <v>489</v>
      </c>
      <c r="E39" s="251" t="s">
        <v>58</v>
      </c>
      <c r="F39" s="251"/>
      <c r="G39" s="251"/>
      <c r="H39" s="251"/>
      <c r="I39" s="228">
        <f>I31</f>
        <v>850.06930635905815</v>
      </c>
      <c r="J39" s="229">
        <v>0</v>
      </c>
      <c r="K39" s="230">
        <f t="shared" si="42"/>
        <v>850.06930635905815</v>
      </c>
      <c r="L39" s="286" t="s">
        <v>489</v>
      </c>
      <c r="M39" s="286" t="s">
        <v>489</v>
      </c>
      <c r="N39" s="217">
        <f t="shared" si="1"/>
        <v>139.34784715215736</v>
      </c>
      <c r="O39" s="229">
        <f t="shared" si="2"/>
        <v>0</v>
      </c>
      <c r="P39" s="230">
        <f t="shared" si="43"/>
        <v>139.34784715215736</v>
      </c>
      <c r="Q39" s="229">
        <f t="shared" si="44"/>
        <v>4.6254197082383142</v>
      </c>
      <c r="R39" s="230">
        <f t="shared" si="4"/>
        <v>4.6254197082383142</v>
      </c>
      <c r="S39" s="231">
        <f t="shared" si="5"/>
        <v>0</v>
      </c>
      <c r="T39" s="231">
        <f t="shared" si="28"/>
        <v>0</v>
      </c>
      <c r="U39" s="231">
        <f t="shared" si="29"/>
        <v>0</v>
      </c>
      <c r="V39" s="231">
        <f t="shared" si="8"/>
        <v>0</v>
      </c>
      <c r="W39" s="252">
        <f>(SUM(P39,Q39,S39)/12)+T39+U39+V39</f>
        <v>11.997772238366307</v>
      </c>
      <c r="X39" s="252"/>
      <c r="Y39" s="282">
        <f t="shared" si="45"/>
        <v>0</v>
      </c>
      <c r="Z39" s="252"/>
      <c r="AA39" s="252"/>
      <c r="AB39" s="232">
        <f t="shared" si="17"/>
        <v>11.997772238366307</v>
      </c>
      <c r="AC39" s="233"/>
      <c r="AD39" s="253"/>
      <c r="AE39" s="254"/>
      <c r="AF39" s="255"/>
      <c r="AG39" s="256"/>
      <c r="AH39" s="256"/>
      <c r="AI39" s="257"/>
      <c r="AJ39" s="258"/>
    </row>
    <row r="40" spans="1:40" ht="15.75" thickBot="1" x14ac:dyDescent="0.3">
      <c r="A40" s="259"/>
      <c r="B40" s="260" t="s">
        <v>563</v>
      </c>
      <c r="C40" s="260" t="s">
        <v>489</v>
      </c>
      <c r="D40" s="261" t="s">
        <v>489</v>
      </c>
      <c r="E40" s="261" t="s">
        <v>511</v>
      </c>
      <c r="F40" s="261"/>
      <c r="G40" s="261"/>
      <c r="H40" s="261"/>
      <c r="I40" s="262">
        <f>'Maintenance &amp; NBV'!J45</f>
        <v>1104.7031350557143</v>
      </c>
      <c r="J40" s="263">
        <v>0</v>
      </c>
      <c r="K40" s="264">
        <f t="shared" si="42"/>
        <v>1104.7031350557143</v>
      </c>
      <c r="L40" s="289" t="s">
        <v>489</v>
      </c>
      <c r="M40" s="287" t="s">
        <v>489</v>
      </c>
      <c r="N40" s="290">
        <f t="shared" si="1"/>
        <v>181.08876824595208</v>
      </c>
      <c r="O40" s="263">
        <f t="shared" si="2"/>
        <v>0</v>
      </c>
      <c r="P40" s="264">
        <f t="shared" si="43"/>
        <v>181.08876824595208</v>
      </c>
      <c r="Q40" s="263">
        <f>Q39</f>
        <v>4.6254197082383142</v>
      </c>
      <c r="R40" s="264">
        <f t="shared" si="4"/>
        <v>4.6254197082383142</v>
      </c>
      <c r="S40" s="265">
        <f t="shared" si="5"/>
        <v>0</v>
      </c>
      <c r="T40" s="265">
        <f t="shared" si="28"/>
        <v>0</v>
      </c>
      <c r="U40" s="265">
        <f t="shared" si="29"/>
        <v>0</v>
      </c>
      <c r="V40" s="265">
        <f t="shared" si="8"/>
        <v>0</v>
      </c>
      <c r="W40" s="266">
        <f>(SUM(P40,Q40,S40)/12)+T40+U40+V40</f>
        <v>15.476182329515867</v>
      </c>
      <c r="X40" s="266"/>
      <c r="Y40" s="283">
        <f t="shared" si="45"/>
        <v>0</v>
      </c>
      <c r="Z40" s="266"/>
      <c r="AA40" s="266"/>
      <c r="AB40" s="267">
        <f t="shared" si="17"/>
        <v>15.476182329515867</v>
      </c>
      <c r="AC40" s="268"/>
      <c r="AD40" s="269"/>
      <c r="AE40" s="270"/>
      <c r="AF40" s="271"/>
      <c r="AG40" s="272"/>
      <c r="AH40" s="272"/>
      <c r="AI40" s="273"/>
      <c r="AJ40" s="274"/>
    </row>
    <row r="41" spans="1:40" x14ac:dyDescent="0.25">
      <c r="A41" s="141"/>
      <c r="B41" s="141"/>
      <c r="C41" s="141"/>
      <c r="K41" s="100"/>
      <c r="L41" s="100"/>
      <c r="M41" s="100"/>
      <c r="N41" s="100"/>
      <c r="O41" s="100"/>
      <c r="P41" s="100"/>
      <c r="Q41" s="100"/>
      <c r="R41" s="100"/>
      <c r="S41" s="132"/>
      <c r="T41" s="132"/>
      <c r="U41" s="132"/>
      <c r="V41" s="132"/>
      <c r="W41" s="4"/>
      <c r="X41" s="4"/>
      <c r="Y41" s="4"/>
      <c r="Z41" s="4"/>
      <c r="AA41" s="4"/>
      <c r="AB41" s="168"/>
      <c r="AC41" s="210"/>
      <c r="AD41" s="142"/>
      <c r="AE41" s="143"/>
      <c r="AF41" s="144"/>
      <c r="AG41" s="145"/>
      <c r="AH41" s="145"/>
      <c r="AI41" s="161"/>
      <c r="AJ41" s="161"/>
    </row>
    <row r="42" spans="1:40" x14ac:dyDescent="0.25">
      <c r="K42" s="136"/>
      <c r="L42" s="136"/>
      <c r="M42" s="136"/>
      <c r="N42" s="136"/>
      <c r="O42" s="136"/>
      <c r="AF42" s="30"/>
    </row>
    <row r="43" spans="1:40" x14ac:dyDescent="0.25">
      <c r="K43" s="136"/>
      <c r="L43" s="136"/>
      <c r="M43" s="136"/>
      <c r="N43" s="136"/>
      <c r="O43" s="136"/>
      <c r="AF43" s="108"/>
      <c r="AG43" s="110"/>
      <c r="AH43" s="110"/>
      <c r="AI43" s="110"/>
      <c r="AJ43" s="110"/>
    </row>
    <row r="44" spans="1:40" x14ac:dyDescent="0.25">
      <c r="K44" s="136"/>
      <c r="L44" s="136"/>
      <c r="M44" s="136"/>
      <c r="N44" s="136"/>
      <c r="O44" s="136"/>
    </row>
    <row r="45" spans="1:40" x14ac:dyDescent="0.25">
      <c r="K45" s="136"/>
      <c r="L45" s="136"/>
      <c r="M45" s="136"/>
      <c r="N45" s="136"/>
      <c r="O45" s="136"/>
      <c r="AF45" s="144"/>
      <c r="AG45" s="162"/>
      <c r="AH45" s="163"/>
      <c r="AI45" s="162"/>
      <c r="AJ45" s="163"/>
    </row>
    <row r="46" spans="1:40" x14ac:dyDescent="0.25">
      <c r="K46" s="136"/>
      <c r="L46" s="136"/>
      <c r="M46" s="136"/>
      <c r="N46" s="136"/>
      <c r="O46" s="136"/>
      <c r="AF46" s="144"/>
      <c r="AG46" s="160"/>
      <c r="AH46" s="109"/>
      <c r="AI46" s="160"/>
      <c r="AJ46" s="109"/>
    </row>
    <row r="47" spans="1:40" x14ac:dyDescent="0.25"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F47" s="146"/>
    </row>
    <row r="48" spans="1:40" x14ac:dyDescent="0.25">
      <c r="K48" s="136"/>
      <c r="L48" s="136"/>
      <c r="M48" s="136"/>
      <c r="N48" s="136"/>
      <c r="O48" s="136"/>
    </row>
    <row r="49" spans="11:15" x14ac:dyDescent="0.25">
      <c r="K49" s="136"/>
      <c r="L49" s="136"/>
      <c r="M49" s="136"/>
      <c r="N49" s="136"/>
      <c r="O49" s="136"/>
    </row>
    <row r="50" spans="11:15" x14ac:dyDescent="0.25">
      <c r="K50" s="136"/>
      <c r="L50" s="136"/>
      <c r="M50" s="136"/>
      <c r="N50" s="136"/>
      <c r="O50" s="136"/>
    </row>
    <row r="51" spans="11:15" x14ac:dyDescent="0.25">
      <c r="K51" s="136"/>
      <c r="L51" s="136"/>
      <c r="M51" s="136"/>
      <c r="N51" s="136"/>
      <c r="O51" s="136"/>
    </row>
    <row r="52" spans="11:15" x14ac:dyDescent="0.25">
      <c r="K52" s="136"/>
      <c r="L52" s="136"/>
      <c r="M52" s="136"/>
      <c r="N52" s="136"/>
      <c r="O52" s="136"/>
    </row>
    <row r="53" spans="11:15" x14ac:dyDescent="0.25">
      <c r="K53" s="136"/>
      <c r="L53" s="136"/>
      <c r="M53" s="136"/>
      <c r="N53" s="136"/>
      <c r="O53" s="136"/>
    </row>
    <row r="54" spans="11:15" x14ac:dyDescent="0.25">
      <c r="K54" s="136"/>
      <c r="L54" s="136"/>
      <c r="M54" s="136"/>
      <c r="N54" s="136"/>
      <c r="O54" s="136"/>
    </row>
    <row r="55" spans="11:15" x14ac:dyDescent="0.25">
      <c r="K55" s="136"/>
      <c r="L55" s="136"/>
      <c r="M55" s="136"/>
      <c r="N55" s="136"/>
      <c r="O55" s="136"/>
    </row>
    <row r="56" spans="11:15" x14ac:dyDescent="0.25">
      <c r="K56" s="136"/>
      <c r="L56" s="136"/>
      <c r="M56" s="136"/>
      <c r="N56" s="136"/>
      <c r="O56" s="136"/>
    </row>
    <row r="57" spans="11:15" x14ac:dyDescent="0.25">
      <c r="K57" s="136"/>
      <c r="L57" s="136"/>
      <c r="M57" s="136"/>
      <c r="N57" s="136"/>
      <c r="O57" s="136"/>
    </row>
    <row r="58" spans="11:15" x14ac:dyDescent="0.25">
      <c r="K58" s="136"/>
      <c r="L58" s="136"/>
      <c r="M58" s="136"/>
      <c r="N58" s="136"/>
      <c r="O58" s="136"/>
    </row>
    <row r="59" spans="11:15" x14ac:dyDescent="0.25">
      <c r="K59" s="136"/>
      <c r="L59" s="136"/>
      <c r="M59" s="136"/>
      <c r="N59" s="136"/>
      <c r="O59" s="136"/>
    </row>
    <row r="60" spans="11:15" x14ac:dyDescent="0.25">
      <c r="K60" s="136"/>
      <c r="L60" s="136"/>
      <c r="M60" s="136"/>
      <c r="N60" s="136"/>
      <c r="O60" s="136"/>
    </row>
    <row r="61" spans="11:15" x14ac:dyDescent="0.25">
      <c r="K61" s="136"/>
      <c r="L61" s="136"/>
      <c r="M61" s="136"/>
      <c r="N61" s="136"/>
      <c r="O61" s="136"/>
    </row>
    <row r="62" spans="11:15" x14ac:dyDescent="0.25">
      <c r="K62" s="136"/>
      <c r="L62" s="136"/>
      <c r="M62" s="136"/>
      <c r="N62" s="136"/>
      <c r="O62" s="136"/>
    </row>
    <row r="63" spans="11:15" x14ac:dyDescent="0.25">
      <c r="K63" s="136"/>
      <c r="L63" s="136"/>
      <c r="M63" s="136"/>
      <c r="N63" s="136"/>
      <c r="O63" s="136"/>
    </row>
    <row r="64" spans="11:15" x14ac:dyDescent="0.25">
      <c r="K64" s="136"/>
      <c r="L64" s="136"/>
      <c r="M64" s="136"/>
      <c r="N64" s="136"/>
      <c r="O64" s="136"/>
    </row>
  </sheetData>
  <sortState ref="A12:AA69">
    <sortCondition ref="D12:D69"/>
    <sortCondition ref="C12:C69"/>
  </sortState>
  <conditionalFormatting sqref="A41:O46 R41 L37:M40 A48:O64 A13:B17 A47:AC47 B18:B31 A18:A36 C13:M36 N13:O40 R13:R36">
    <cfRule type="expression" dxfId="7" priority="42">
      <formula>MOD(COLUMN(),2)=0</formula>
    </cfRule>
  </conditionalFormatting>
  <conditionalFormatting sqref="B32:B36">
    <cfRule type="expression" dxfId="6" priority="35">
      <formula>MOD(COLUMN(),2)=0</formula>
    </cfRule>
  </conditionalFormatting>
  <conditionalFormatting sqref="AE13:AE36 AE41">
    <cfRule type="colorScale" priority="7">
      <colorScale>
        <cfvo type="num" val="-1"/>
        <cfvo type="num" val="0"/>
        <cfvo type="num" val="1"/>
        <color rgb="FF63BE7B"/>
        <color rgb="FFFCFCFF"/>
        <color rgb="FFF8696B"/>
      </colorScale>
    </cfRule>
  </conditionalFormatting>
  <conditionalFormatting sqref="A40:K40 A37:H39 J37:K39">
    <cfRule type="expression" dxfId="5" priority="6">
      <formula>MOD(COLUMN(),2)=0</formula>
    </cfRule>
  </conditionalFormatting>
  <conditionalFormatting sqref="R37:R40">
    <cfRule type="expression" dxfId="4" priority="5">
      <formula>MOD(COLUMN(),2)=0</formula>
    </cfRule>
  </conditionalFormatting>
  <conditionalFormatting sqref="AE37:AE40">
    <cfRule type="colorScale" priority="4">
      <colorScale>
        <cfvo type="num" val="-1"/>
        <cfvo type="num" val="0"/>
        <cfvo type="num" val="1"/>
        <color rgb="FF63BE7B"/>
        <color rgb="FFFCFCFF"/>
        <color rgb="FFF8696B"/>
      </colorScale>
    </cfRule>
  </conditionalFormatting>
  <conditionalFormatting sqref="I37">
    <cfRule type="expression" dxfId="3" priority="3">
      <formula>MOD(COLUMN(),2)=0</formula>
    </cfRule>
  </conditionalFormatting>
  <conditionalFormatting sqref="I38">
    <cfRule type="expression" dxfId="2" priority="2">
      <formula>MOD(COLUMN(),2)=0</formula>
    </cfRule>
  </conditionalFormatting>
  <conditionalFormatting sqref="I39">
    <cfRule type="expression" dxfId="1" priority="1">
      <formula>MOD(COLUMN(),2)=0</formula>
    </cfRule>
  </conditionalFormatting>
  <dataValidations count="1">
    <dataValidation type="list" allowBlank="1" showInputMessage="1" showErrorMessage="1" sqref="L13:M40">
      <formula1>"25-Year, 20-Year, 15-Year, Poles"</formula1>
    </dataValidation>
  </dataValidations>
  <pageMargins left="1" right="1" top="1" bottom="1.75" header="0.5" footer="0.5"/>
  <pageSetup scale="59" fitToWidth="3"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topLeftCell="A16" zoomScale="80" zoomScaleNormal="80" workbookViewId="0"/>
  </sheetViews>
  <sheetFormatPr defaultRowHeight="15" x14ac:dyDescent="0.25"/>
  <cols>
    <col min="1" max="1" width="20" bestFit="1" customWidth="1"/>
    <col min="2" max="2" width="40.140625" bestFit="1" customWidth="1"/>
    <col min="3" max="3" width="32.42578125" bestFit="1" customWidth="1"/>
    <col min="4" max="4" width="12" bestFit="1" customWidth="1"/>
    <col min="5" max="5" width="28" bestFit="1" customWidth="1"/>
    <col min="6" max="6" width="10.7109375" bestFit="1" customWidth="1"/>
    <col min="7" max="7" width="17.28515625" bestFit="1" customWidth="1"/>
    <col min="8" max="8" width="16.28515625" customWidth="1"/>
    <col min="9" max="10" width="18.7109375" customWidth="1"/>
    <col min="11" max="11" width="23.5703125" customWidth="1"/>
    <col min="12" max="12" width="20.7109375" customWidth="1"/>
    <col min="13" max="13" width="26.28515625" customWidth="1"/>
    <col min="15" max="15" width="16.28515625" bestFit="1" customWidth="1"/>
    <col min="16" max="16" width="14.7109375" customWidth="1"/>
    <col min="17" max="17" width="20.7109375" customWidth="1"/>
    <col min="18" max="18" width="16.42578125" customWidth="1"/>
    <col min="19" max="19" width="13.7109375" customWidth="1"/>
    <col min="20" max="20" width="19.5703125" customWidth="1"/>
    <col min="21" max="21" width="20.28515625" customWidth="1"/>
    <col min="22" max="22" width="10.7109375" bestFit="1" customWidth="1"/>
    <col min="24" max="24" width="9.5703125" bestFit="1" customWidth="1"/>
  </cols>
  <sheetData>
    <row r="1" spans="1:12" x14ac:dyDescent="0.25">
      <c r="A1" s="32"/>
      <c r="B1" s="33" t="s">
        <v>210</v>
      </c>
      <c r="C1" s="33"/>
      <c r="D1" s="34" t="s">
        <v>211</v>
      </c>
      <c r="E1" s="33" t="s">
        <v>212</v>
      </c>
      <c r="F1" s="34" t="s">
        <v>213</v>
      </c>
      <c r="G1" s="33" t="s">
        <v>214</v>
      </c>
      <c r="H1" s="364" t="s">
        <v>219</v>
      </c>
      <c r="I1" s="365" t="s">
        <v>538</v>
      </c>
      <c r="J1" s="365"/>
      <c r="K1" s="365"/>
      <c r="L1" s="365"/>
    </row>
    <row r="2" spans="1:12" x14ac:dyDescent="0.25">
      <c r="A2" s="32" t="s">
        <v>215</v>
      </c>
      <c r="B2" s="35" t="s">
        <v>216</v>
      </c>
      <c r="C2" s="35" t="s">
        <v>217</v>
      </c>
      <c r="D2" s="36"/>
      <c r="E2" s="35" t="s">
        <v>218</v>
      </c>
      <c r="F2" s="36"/>
      <c r="G2" s="35"/>
      <c r="H2" s="364"/>
      <c r="I2" s="365"/>
      <c r="J2" s="365"/>
      <c r="K2" s="365"/>
      <c r="L2" s="365"/>
    </row>
    <row r="3" spans="1:12" x14ac:dyDescent="0.25">
      <c r="A3" s="32">
        <v>2015</v>
      </c>
      <c r="B3" s="37">
        <f>3828511.07+88618</f>
        <v>3917129.07</v>
      </c>
      <c r="C3" s="37">
        <f>3315049.62-78390</f>
        <v>3236659.62</v>
      </c>
      <c r="D3" s="37">
        <v>7232178.6899999995</v>
      </c>
      <c r="E3" s="37">
        <v>800225.35000000009</v>
      </c>
      <c r="F3" s="37">
        <v>800225.35000000009</v>
      </c>
      <c r="G3" s="37">
        <v>8032404.0400000019</v>
      </c>
      <c r="H3" s="38">
        <f>SUM(Materials!G8:G29)*C23</f>
        <v>28374.915964772696</v>
      </c>
      <c r="I3" s="8">
        <f t="shared" ref="I3:I5" si="0">E3/($B$23)</f>
        <v>4.6287907797316059</v>
      </c>
      <c r="J3" s="8"/>
      <c r="K3" s="8"/>
      <c r="L3" s="8"/>
    </row>
    <row r="4" spans="1:12" x14ac:dyDescent="0.25">
      <c r="A4" s="32">
        <v>2016</v>
      </c>
      <c r="B4" s="37">
        <f>4116546.06+97138</f>
        <v>4213684.0600000005</v>
      </c>
      <c r="C4" s="37">
        <f>2961971.54-80214</f>
        <v>2881757.54</v>
      </c>
      <c r="D4" s="37">
        <v>7175655.6000000015</v>
      </c>
      <c r="E4" s="37">
        <v>841909.19000000041</v>
      </c>
      <c r="F4" s="37">
        <v>841909.19000000041</v>
      </c>
      <c r="G4" s="37">
        <v>8017564.7900000019</v>
      </c>
      <c r="H4" s="38">
        <f>SUM(Materials!F8:F29)*C23</f>
        <v>28206.062827512415</v>
      </c>
      <c r="I4" s="8">
        <f t="shared" si="0"/>
        <v>4.8699050786672862</v>
      </c>
      <c r="J4" s="8"/>
      <c r="K4" s="8"/>
      <c r="L4" s="8"/>
    </row>
    <row r="5" spans="1:12" x14ac:dyDescent="0.25">
      <c r="A5" s="32">
        <v>2017</v>
      </c>
      <c r="B5" s="37">
        <v>3876402.6</v>
      </c>
      <c r="C5" s="37">
        <f>3167147.17-56042</f>
        <v>3111105.17</v>
      </c>
      <c r="D5" s="37">
        <v>7167916.7700000023</v>
      </c>
      <c r="E5" s="37">
        <v>646060.62</v>
      </c>
      <c r="F5" s="37">
        <v>646060.62</v>
      </c>
      <c r="G5" s="37">
        <v>7813977.3900000006</v>
      </c>
      <c r="H5" s="38">
        <f>SUM(Materials!E8:E29)*C23</f>
        <v>24393.586655326621</v>
      </c>
      <c r="I5" s="8">
        <f t="shared" si="0"/>
        <v>3.7370466219342897</v>
      </c>
      <c r="J5" s="8"/>
      <c r="K5" s="8"/>
      <c r="L5" s="8"/>
    </row>
    <row r="6" spans="1:12" x14ac:dyDescent="0.25">
      <c r="G6" t="s">
        <v>221</v>
      </c>
      <c r="H6" s="38">
        <f>AVERAGE(H3:H5)</f>
        <v>26991.521815870579</v>
      </c>
      <c r="I6" s="8"/>
      <c r="J6" s="8"/>
      <c r="K6" s="8"/>
      <c r="L6" s="8"/>
    </row>
    <row r="7" spans="1:12" x14ac:dyDescent="0.25">
      <c r="A7" t="s">
        <v>512</v>
      </c>
      <c r="B7" s="37">
        <v>4430161</v>
      </c>
      <c r="C7" s="37">
        <v>3395155</v>
      </c>
      <c r="E7" s="37">
        <v>807256</v>
      </c>
      <c r="H7" s="38"/>
      <c r="I7" s="8">
        <f>E7/(B23+B21)</f>
        <v>4.6254197082383142</v>
      </c>
      <c r="J7" s="8"/>
      <c r="K7" s="8"/>
      <c r="L7" s="8"/>
    </row>
    <row r="9" spans="1:12" x14ac:dyDescent="0.25">
      <c r="C9" s="8"/>
    </row>
    <row r="10" spans="1:12" x14ac:dyDescent="0.25">
      <c r="C10" s="8"/>
    </row>
    <row r="11" spans="1:12" x14ac:dyDescent="0.25">
      <c r="C11" s="8"/>
    </row>
    <row r="12" spans="1:12" x14ac:dyDescent="0.25">
      <c r="L12" s="29"/>
    </row>
    <row r="13" spans="1:12" x14ac:dyDescent="0.25">
      <c r="C13" s="4"/>
      <c r="L13" s="29"/>
    </row>
    <row r="14" spans="1:12" x14ac:dyDescent="0.25">
      <c r="C14" s="8"/>
      <c r="L14" s="29"/>
    </row>
    <row r="15" spans="1:12" x14ac:dyDescent="0.25">
      <c r="C15" s="8"/>
    </row>
    <row r="18" spans="1:27" x14ac:dyDescent="0.25">
      <c r="D18" s="8"/>
      <c r="E18" s="8"/>
    </row>
    <row r="19" spans="1:27" x14ac:dyDescent="0.25">
      <c r="D19" s="8"/>
      <c r="E19" s="8"/>
    </row>
    <row r="20" spans="1:27" x14ac:dyDescent="0.25">
      <c r="D20" s="8"/>
      <c r="E20" s="8"/>
    </row>
    <row r="21" spans="1:27" x14ac:dyDescent="0.25">
      <c r="A21" t="s">
        <v>594</v>
      </c>
      <c r="B21">
        <v>1646</v>
      </c>
      <c r="D21" s="8"/>
      <c r="E21" s="8"/>
    </row>
    <row r="23" spans="1:27" x14ac:dyDescent="0.25">
      <c r="A23" t="s">
        <v>513</v>
      </c>
      <c r="B23" s="31">
        <f>B27</f>
        <v>172880</v>
      </c>
      <c r="C23" s="9">
        <f>B23/SUM($B$23:$B$24)</f>
        <v>0.94861313067573871</v>
      </c>
    </row>
    <row r="24" spans="1:27" x14ac:dyDescent="0.25">
      <c r="A24" t="s">
        <v>514</v>
      </c>
      <c r="B24">
        <v>9365</v>
      </c>
      <c r="C24" s="9">
        <f>B24/SUM($B$23:$B$24)</f>
        <v>5.13868693242613E-2</v>
      </c>
    </row>
    <row r="26" spans="1:27" x14ac:dyDescent="0.25">
      <c r="A26" t="s">
        <v>189</v>
      </c>
      <c r="D26" s="7" t="s">
        <v>515</v>
      </c>
      <c r="V26" s="291"/>
      <c r="X26" s="291"/>
      <c r="Y26" s="291"/>
      <c r="Z26" s="291"/>
      <c r="AA26" s="291"/>
    </row>
    <row r="27" spans="1:27" x14ac:dyDescent="0.25">
      <c r="A27" t="s">
        <v>524</v>
      </c>
      <c r="B27" s="31">
        <v>172880</v>
      </c>
      <c r="D27" t="s">
        <v>525</v>
      </c>
      <c r="G27" s="8">
        <v>533.94674061853277</v>
      </c>
      <c r="V27" s="8"/>
      <c r="X27" s="8"/>
      <c r="Y27" s="8"/>
      <c r="Z27" s="4"/>
      <c r="AA27" s="8"/>
    </row>
    <row r="28" spans="1:27" x14ac:dyDescent="0.25">
      <c r="A28" t="s">
        <v>526</v>
      </c>
      <c r="B28" s="30">
        <v>127958</v>
      </c>
      <c r="C28" s="29">
        <f>B28/B27</f>
        <v>0.74015502082369278</v>
      </c>
      <c r="D28" t="s">
        <v>527</v>
      </c>
      <c r="G28" s="8">
        <v>317.25827427128763</v>
      </c>
      <c r="H28" s="29">
        <f>G28/(G28+G29)</f>
        <v>0.16319548769697459</v>
      </c>
      <c r="V28" s="8"/>
      <c r="X28" s="8"/>
      <c r="Y28" s="8"/>
      <c r="Z28" s="4"/>
      <c r="AA28" s="8"/>
    </row>
    <row r="29" spans="1:27" x14ac:dyDescent="0.25">
      <c r="A29" t="s">
        <v>528</v>
      </c>
      <c r="B29" s="30">
        <f>B27-B28</f>
        <v>44922</v>
      </c>
      <c r="C29" s="29">
        <f>B29/B27</f>
        <v>0.25984497917630728</v>
      </c>
      <c r="G29" s="292">
        <v>1626.78</v>
      </c>
      <c r="H29" s="29">
        <f>G29/(G28+G29)</f>
        <v>0.83680451230302533</v>
      </c>
      <c r="V29" s="8"/>
      <c r="X29" s="8"/>
      <c r="Y29" s="8"/>
      <c r="Z29" s="4"/>
      <c r="AA29" s="8"/>
    </row>
    <row r="30" spans="1:27" x14ac:dyDescent="0.25">
      <c r="V30" s="8"/>
      <c r="X30" s="8"/>
      <c r="Y30" s="8"/>
      <c r="Z30" s="4"/>
      <c r="AA30" s="8"/>
    </row>
    <row r="31" spans="1:27" x14ac:dyDescent="0.25">
      <c r="D31" t="s">
        <v>519</v>
      </c>
      <c r="H31" s="323"/>
      <c r="I31" s="324" t="s">
        <v>529</v>
      </c>
      <c r="J31" s="325">
        <v>77987535.879999995</v>
      </c>
      <c r="K31" s="38"/>
    </row>
    <row r="32" spans="1:27" x14ac:dyDescent="0.25">
      <c r="B32" t="s">
        <v>595</v>
      </c>
      <c r="D32" t="s">
        <v>530</v>
      </c>
      <c r="G32" s="8">
        <f>G27*B28</f>
        <v>68322757.036066219</v>
      </c>
      <c r="H32" s="326"/>
      <c r="I32" s="302"/>
      <c r="J32" s="327"/>
      <c r="K32" s="38"/>
    </row>
    <row r="33" spans="1:32" x14ac:dyDescent="0.25">
      <c r="A33" t="s">
        <v>189</v>
      </c>
      <c r="B33" s="4">
        <f>4430161*C29*H29</f>
        <v>963291.77600952971</v>
      </c>
      <c r="D33" t="s">
        <v>531</v>
      </c>
      <c r="G33" s="8">
        <f>G28*B29</f>
        <v>14251876.196814783</v>
      </c>
      <c r="H33" s="326"/>
      <c r="I33" s="302"/>
      <c r="J33" s="327"/>
      <c r="K33" s="38"/>
    </row>
    <row r="34" spans="1:32" x14ac:dyDescent="0.25">
      <c r="D34" t="s">
        <v>489</v>
      </c>
      <c r="G34" s="8">
        <f>SUM(E44:E47)</f>
        <v>74231425.310000002</v>
      </c>
      <c r="H34" s="328">
        <f>G34/G35</f>
        <v>0.47339641082618172</v>
      </c>
      <c r="I34" s="302" t="s">
        <v>532</v>
      </c>
      <c r="J34" s="329">
        <f>J31*H34</f>
        <v>36919019.574770063</v>
      </c>
      <c r="K34" s="38"/>
    </row>
    <row r="35" spans="1:32" x14ac:dyDescent="0.25">
      <c r="B35" t="s">
        <v>537</v>
      </c>
      <c r="D35" t="s">
        <v>184</v>
      </c>
      <c r="G35" s="8">
        <f>SUM(G32:G34)</f>
        <v>156806058.54288101</v>
      </c>
      <c r="H35" s="326"/>
      <c r="I35" s="302" t="s">
        <v>533</v>
      </c>
      <c r="J35" s="330">
        <f>J34/B29</f>
        <v>821.84719235052012</v>
      </c>
      <c r="K35" s="38"/>
    </row>
    <row r="36" spans="1:32" x14ac:dyDescent="0.25">
      <c r="A36" t="s">
        <v>189</v>
      </c>
      <c r="B36" s="8">
        <f>G29/43</f>
        <v>37.832093023255815</v>
      </c>
      <c r="D36" t="s">
        <v>534</v>
      </c>
      <c r="G36" s="8">
        <f>SUM(G32:G33)</f>
        <v>82574633.23288101</v>
      </c>
      <c r="H36" s="328">
        <f>G36/G35</f>
        <v>0.52660358917381822</v>
      </c>
      <c r="I36" s="302" t="s">
        <v>535</v>
      </c>
      <c r="J36" s="330">
        <f>J31*H36</f>
        <v>41068516.305229925</v>
      </c>
      <c r="U36" s="8"/>
    </row>
    <row r="37" spans="1:32" x14ac:dyDescent="0.25">
      <c r="G37" s="8"/>
      <c r="H37" s="326"/>
      <c r="I37" s="302" t="s">
        <v>536</v>
      </c>
      <c r="J37" s="330">
        <f>J36/B27</f>
        <v>237.5550457266886</v>
      </c>
      <c r="O37" s="31"/>
      <c r="U37" s="8"/>
    </row>
    <row r="38" spans="1:32" x14ac:dyDescent="0.25">
      <c r="H38" s="326"/>
      <c r="I38" s="302"/>
      <c r="J38" s="327"/>
      <c r="U38" s="8"/>
    </row>
    <row r="39" spans="1:32" x14ac:dyDescent="0.25">
      <c r="B39" s="292"/>
      <c r="C39" s="4"/>
      <c r="H39" s="331" t="s">
        <v>565</v>
      </c>
      <c r="I39" s="302"/>
      <c r="J39" s="330">
        <f>J37*'Fixed Carrying Cost'!F87</f>
        <v>73.405232878312361</v>
      </c>
    </row>
    <row r="40" spans="1:32" x14ac:dyDescent="0.25">
      <c r="H40" s="332" t="s">
        <v>566</v>
      </c>
      <c r="I40" s="333"/>
      <c r="J40" s="334">
        <f>J39/12</f>
        <v>6.1171027398593631</v>
      </c>
      <c r="O40" s="31"/>
    </row>
    <row r="41" spans="1:32" x14ac:dyDescent="0.25">
      <c r="O41" s="31"/>
    </row>
    <row r="42" spans="1:32" x14ac:dyDescent="0.25">
      <c r="D42" s="9"/>
      <c r="E42" s="8"/>
      <c r="G42" s="8"/>
    </row>
    <row r="43" spans="1:32" ht="75" x14ac:dyDescent="0.25">
      <c r="B43" t="s">
        <v>516</v>
      </c>
      <c r="C43" s="291" t="s">
        <v>517</v>
      </c>
      <c r="D43" s="291" t="s">
        <v>518</v>
      </c>
      <c r="E43" s="291" t="s">
        <v>519</v>
      </c>
      <c r="F43" s="291" t="s">
        <v>520</v>
      </c>
      <c r="G43" s="291" t="s">
        <v>521</v>
      </c>
      <c r="H43" s="291" t="s">
        <v>522</v>
      </c>
      <c r="I43" s="291" t="s">
        <v>523</v>
      </c>
      <c r="J43" s="293" t="s">
        <v>539</v>
      </c>
      <c r="K43" s="291" t="s">
        <v>538</v>
      </c>
    </row>
    <row r="44" spans="1:32" x14ac:dyDescent="0.25">
      <c r="A44" t="s">
        <v>189</v>
      </c>
      <c r="B44" t="s">
        <v>510</v>
      </c>
      <c r="C44" s="4">
        <v>1142.0999999999999</v>
      </c>
      <c r="D44" s="30">
        <v>7559</v>
      </c>
      <c r="E44" s="8">
        <f>C44*D44</f>
        <v>8633133.8999999985</v>
      </c>
      <c r="F44" s="9">
        <f>E44/G34</f>
        <v>0.11630025779441683</v>
      </c>
      <c r="G44" s="8">
        <f>J34*F44</f>
        <v>4293691.4940628791</v>
      </c>
      <c r="H44" s="8">
        <f>B33*F44</f>
        <v>112031.08188114993</v>
      </c>
      <c r="I44" s="8">
        <v>0</v>
      </c>
      <c r="J44" s="294">
        <f>(SUM(G44:H44)/(D44+H49))+I44</f>
        <v>575.38495180149255</v>
      </c>
      <c r="K44" s="295">
        <f>$I$7</f>
        <v>4.6254197082383142</v>
      </c>
      <c r="AF44" s="366"/>
    </row>
    <row r="45" spans="1:32" x14ac:dyDescent="0.25">
      <c r="B45" t="s">
        <v>511</v>
      </c>
      <c r="C45" s="4">
        <v>2192.23</v>
      </c>
      <c r="D45" s="30">
        <v>1651</v>
      </c>
      <c r="E45" s="8">
        <f>C45*D45</f>
        <v>3619371.73</v>
      </c>
      <c r="F45" s="9">
        <f>E45/G34</f>
        <v>4.8757944696400976E-2</v>
      </c>
      <c r="G45" s="8">
        <f>J34*F45</f>
        <v>1800095.5146719839</v>
      </c>
      <c r="H45" s="8">
        <f>B33*F45</f>
        <v>46968.127141170524</v>
      </c>
      <c r="I45" s="8">
        <v>0</v>
      </c>
      <c r="J45" s="294">
        <f t="shared" ref="J45:J47" si="1">(SUM(G45:H45)/(D45+H50))+I45</f>
        <v>1104.7031350557143</v>
      </c>
      <c r="K45" s="295">
        <f>$I$7</f>
        <v>4.6254197082383142</v>
      </c>
    </row>
    <row r="46" spans="1:32" x14ac:dyDescent="0.25">
      <c r="B46" t="s">
        <v>58</v>
      </c>
      <c r="C46" s="4">
        <v>1687.38</v>
      </c>
      <c r="D46" s="30">
        <v>11620</v>
      </c>
      <c r="E46" s="8">
        <f t="shared" ref="E46:E47" si="2">C46*D46</f>
        <v>19607355.600000001</v>
      </c>
      <c r="F46" s="9">
        <f>E46/G34</f>
        <v>0.26413820720964409</v>
      </c>
      <c r="G46" s="8">
        <f>J34*F46</f>
        <v>9751723.6424175221</v>
      </c>
      <c r="H46" s="8">
        <f>B33*F46</f>
        <v>254442.16273495121</v>
      </c>
      <c r="I46" s="8">
        <v>0</v>
      </c>
      <c r="J46" s="294">
        <f t="shared" si="1"/>
        <v>850.06930635905815</v>
      </c>
      <c r="K46" s="295">
        <f>$I$7</f>
        <v>4.6254197082383142</v>
      </c>
    </row>
    <row r="47" spans="1:32" x14ac:dyDescent="0.25">
      <c r="B47" t="s">
        <v>496</v>
      </c>
      <c r="C47" s="4">
        <v>1758.74</v>
      </c>
      <c r="D47" s="346">
        <v>24092</v>
      </c>
      <c r="E47" s="8">
        <f t="shared" si="2"/>
        <v>42371564.079999998</v>
      </c>
      <c r="F47" s="9">
        <f>E47/G34</f>
        <v>0.57080359029953798</v>
      </c>
      <c r="G47" s="8">
        <f>J34*F47</f>
        <v>21073508.923617672</v>
      </c>
      <c r="H47" s="8">
        <f>B33*F47</f>
        <v>549850.4042522579</v>
      </c>
      <c r="I47" s="8">
        <v>0</v>
      </c>
      <c r="J47" s="294">
        <f t="shared" si="1"/>
        <v>886.02168932062807</v>
      </c>
      <c r="K47" s="295">
        <f>$I$7</f>
        <v>4.6254197082383142</v>
      </c>
    </row>
    <row r="48" spans="1:32" x14ac:dyDescent="0.25">
      <c r="D48" s="31">
        <f>SUM(D44:D47)</f>
        <v>44922</v>
      </c>
      <c r="H48" t="s">
        <v>573</v>
      </c>
    </row>
    <row r="49" spans="8:8" x14ac:dyDescent="0.25">
      <c r="H49">
        <f>ROUND(H44/C44,0)</f>
        <v>98</v>
      </c>
    </row>
    <row r="50" spans="8:8" x14ac:dyDescent="0.25">
      <c r="H50">
        <f t="shared" ref="H50:H52" si="3">ROUND(H45/C45,0)</f>
        <v>21</v>
      </c>
    </row>
    <row r="51" spans="8:8" x14ac:dyDescent="0.25">
      <c r="H51">
        <f t="shared" si="3"/>
        <v>151</v>
      </c>
    </row>
    <row r="52" spans="8:8" x14ac:dyDescent="0.25">
      <c r="H52" s="301">
        <f t="shared" si="3"/>
        <v>313</v>
      </c>
    </row>
    <row r="53" spans="8:8" x14ac:dyDescent="0.25">
      <c r="H53" s="302">
        <f>SUM(H49:H52)</f>
        <v>583</v>
      </c>
    </row>
  </sheetData>
  <mergeCells count="5">
    <mergeCell ref="H1:H2"/>
    <mergeCell ref="L1:L2"/>
    <mergeCell ref="I1:I2"/>
    <mergeCell ref="J1:J2"/>
    <mergeCell ref="K1:K2"/>
  </mergeCells>
  <pageMargins left="1" right="1" top="1" bottom="1.75" header="0.5" footer="0.5"/>
  <pageSetup scale="44"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4"/>
  <sheetViews>
    <sheetView zoomScale="80" zoomScaleNormal="80" workbookViewId="0"/>
  </sheetViews>
  <sheetFormatPr defaultRowHeight="15" x14ac:dyDescent="0.25"/>
  <cols>
    <col min="2" max="2" width="34" bestFit="1" customWidth="1"/>
    <col min="3" max="11" width="12.85546875" customWidth="1"/>
  </cols>
  <sheetData>
    <row r="2" spans="1:11" x14ac:dyDescent="0.25">
      <c r="C2" s="354" t="s">
        <v>50</v>
      </c>
      <c r="D2" s="355"/>
      <c r="E2" s="355"/>
      <c r="F2" s="355"/>
      <c r="G2" s="355"/>
      <c r="H2" s="355"/>
      <c r="I2" s="355"/>
      <c r="J2" s="355"/>
      <c r="K2" s="356"/>
    </row>
    <row r="3" spans="1:11" x14ac:dyDescent="0.25">
      <c r="A3" s="97">
        <v>1</v>
      </c>
      <c r="B3" s="1"/>
      <c r="C3" s="5">
        <v>393</v>
      </c>
      <c r="D3" s="5" t="s">
        <v>549</v>
      </c>
      <c r="E3" s="5" t="s">
        <v>550</v>
      </c>
      <c r="F3" s="5" t="s">
        <v>551</v>
      </c>
      <c r="G3" s="5" t="s">
        <v>552</v>
      </c>
      <c r="H3" s="5" t="s">
        <v>548</v>
      </c>
      <c r="I3" s="5">
        <v>390</v>
      </c>
      <c r="J3" s="5">
        <v>391</v>
      </c>
      <c r="K3" s="5">
        <v>392</v>
      </c>
    </row>
    <row r="4" spans="1:11" x14ac:dyDescent="0.25">
      <c r="A4" s="97">
        <v>2</v>
      </c>
      <c r="B4" s="1" t="s">
        <v>11</v>
      </c>
      <c r="C4" s="5" t="s">
        <v>12</v>
      </c>
      <c r="D4" s="5" t="s">
        <v>13</v>
      </c>
      <c r="E4" s="5" t="s">
        <v>13</v>
      </c>
      <c r="F4" s="5" t="s">
        <v>13</v>
      </c>
      <c r="G4" s="5" t="s">
        <v>13</v>
      </c>
      <c r="H4" s="5" t="s">
        <v>25</v>
      </c>
      <c r="I4" s="5" t="s">
        <v>25</v>
      </c>
      <c r="J4" s="5" t="s">
        <v>25</v>
      </c>
      <c r="K4" s="5" t="s">
        <v>25</v>
      </c>
    </row>
    <row r="5" spans="1:11" x14ac:dyDescent="0.25">
      <c r="A5" s="97">
        <v>3</v>
      </c>
      <c r="B5" s="1" t="s">
        <v>15</v>
      </c>
      <c r="C5" s="5" t="s">
        <v>14</v>
      </c>
      <c r="D5" s="5" t="s">
        <v>14</v>
      </c>
      <c r="E5" s="5" t="s">
        <v>19</v>
      </c>
      <c r="F5" s="5" t="s">
        <v>20</v>
      </c>
      <c r="G5" s="5" t="s">
        <v>21</v>
      </c>
      <c r="H5" s="5" t="s">
        <v>29</v>
      </c>
      <c r="I5" s="5" t="s">
        <v>540</v>
      </c>
      <c r="J5" s="5" t="s">
        <v>30</v>
      </c>
      <c r="K5" s="5" t="s">
        <v>31</v>
      </c>
    </row>
    <row r="6" spans="1:11" x14ac:dyDescent="0.25">
      <c r="A6" s="97">
        <v>4</v>
      </c>
      <c r="B6" s="1" t="s">
        <v>200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</row>
    <row r="7" spans="1:11" x14ac:dyDescent="0.25">
      <c r="A7" s="97">
        <v>5</v>
      </c>
      <c r="B7" s="1" t="s">
        <v>16</v>
      </c>
      <c r="C7" s="5" t="s">
        <v>67</v>
      </c>
      <c r="D7" s="5" t="s">
        <v>18</v>
      </c>
      <c r="E7" s="5" t="s">
        <v>22</v>
      </c>
      <c r="F7" s="5" t="s">
        <v>23</v>
      </c>
      <c r="G7" s="5" t="s">
        <v>24</v>
      </c>
      <c r="H7" s="5" t="s">
        <v>26</v>
      </c>
      <c r="I7" s="5" t="s">
        <v>27</v>
      </c>
      <c r="J7" s="5" t="s">
        <v>28</v>
      </c>
      <c r="K7" s="5" t="s">
        <v>23</v>
      </c>
    </row>
    <row r="8" spans="1:11" x14ac:dyDescent="0.25">
      <c r="A8" s="97">
        <v>6</v>
      </c>
      <c r="B8" s="1" t="s">
        <v>17</v>
      </c>
      <c r="C8">
        <v>48</v>
      </c>
      <c r="D8" s="5">
        <v>30</v>
      </c>
      <c r="E8" s="5">
        <v>96</v>
      </c>
      <c r="F8" s="5">
        <v>175</v>
      </c>
      <c r="G8" s="5">
        <v>297</v>
      </c>
      <c r="H8" s="5">
        <v>22</v>
      </c>
      <c r="I8" s="5">
        <v>71</v>
      </c>
      <c r="J8" s="5">
        <v>122</v>
      </c>
      <c r="K8" s="5">
        <v>194</v>
      </c>
    </row>
    <row r="9" spans="1:11" x14ac:dyDescent="0.25">
      <c r="A9" s="97">
        <v>7</v>
      </c>
      <c r="B9" s="1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97">
        <v>8</v>
      </c>
      <c r="B10" s="7" t="s">
        <v>42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97">
        <v>9</v>
      </c>
      <c r="B11" s="1" t="s">
        <v>41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97">
        <v>10</v>
      </c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97">
        <v>11</v>
      </c>
      <c r="B13" t="s">
        <v>579</v>
      </c>
      <c r="C13" s="6">
        <f>'Materials+LaborUnits'!D8</f>
        <v>125.4</v>
      </c>
      <c r="D13" s="6">
        <f>'Materials+LaborUnits'!$D$19</f>
        <v>363.00000000000006</v>
      </c>
      <c r="E13" s="6">
        <f>'Materials+LaborUnits'!$D$20</f>
        <v>379.50000000000006</v>
      </c>
      <c r="F13" s="6">
        <f>'Materials+LaborUnits'!$D$21</f>
        <v>412.50000000000006</v>
      </c>
      <c r="G13" s="6">
        <f>'Materials+LaborUnits'!$D$22</f>
        <v>660</v>
      </c>
      <c r="H13" s="6">
        <f>'Materials+LaborUnits'!$D$2</f>
        <v>143</v>
      </c>
      <c r="I13" s="6">
        <f>'Materials+LaborUnits'!D3</f>
        <v>148.5</v>
      </c>
      <c r="J13" s="6">
        <f>'Materials+LaborUnits'!D4</f>
        <v>203.50000000000003</v>
      </c>
      <c r="K13" s="6">
        <f>'Materials+LaborUnits'!D5</f>
        <v>302.5</v>
      </c>
    </row>
    <row r="14" spans="1:11" x14ac:dyDescent="0.25">
      <c r="A14" s="97">
        <v>12</v>
      </c>
      <c r="B14" t="s">
        <v>10</v>
      </c>
      <c r="C14" s="6" t="s">
        <v>32</v>
      </c>
      <c r="D14" s="6" t="s">
        <v>32</v>
      </c>
      <c r="E14" s="6" t="s">
        <v>32</v>
      </c>
      <c r="F14" s="6" t="s">
        <v>32</v>
      </c>
      <c r="G14" s="6" t="s">
        <v>32</v>
      </c>
      <c r="H14" s="6" t="s">
        <v>32</v>
      </c>
      <c r="I14" s="6" t="s">
        <v>32</v>
      </c>
      <c r="J14" s="6" t="s">
        <v>32</v>
      </c>
      <c r="K14" s="6" t="s">
        <v>32</v>
      </c>
    </row>
    <row r="15" spans="1:11" x14ac:dyDescent="0.25">
      <c r="A15" s="97">
        <v>13</v>
      </c>
      <c r="B15" t="s">
        <v>146</v>
      </c>
      <c r="C15" s="6" t="s">
        <v>32</v>
      </c>
      <c r="D15" s="6" t="s">
        <v>32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  <c r="K15" s="6" t="s">
        <v>32</v>
      </c>
    </row>
    <row r="16" spans="1:11" x14ac:dyDescent="0.25">
      <c r="A16" s="97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97">
        <v>15</v>
      </c>
      <c r="B17" s="3" t="s">
        <v>1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97">
        <v>16</v>
      </c>
      <c r="B18" t="s">
        <v>580</v>
      </c>
      <c r="C18" s="6" t="s">
        <v>32</v>
      </c>
      <c r="D18" s="6">
        <f>Materials!$D$38</f>
        <v>36.47</v>
      </c>
      <c r="E18" s="6">
        <f>Materials!$D$38</f>
        <v>36.47</v>
      </c>
      <c r="F18" s="6">
        <f>Materials!$D$38</f>
        <v>36.47</v>
      </c>
      <c r="G18" s="6">
        <f>Materials!$D$38</f>
        <v>36.47</v>
      </c>
      <c r="H18" s="6">
        <f>Materials!$L$37</f>
        <v>96.398747474747466</v>
      </c>
      <c r="I18" s="6">
        <f>Materials!$L$37</f>
        <v>96.398747474747466</v>
      </c>
      <c r="J18" s="6">
        <f>Materials!$L$37</f>
        <v>96.398747474747466</v>
      </c>
      <c r="K18" s="6">
        <f>Materials!$L$37</f>
        <v>96.398747474747466</v>
      </c>
    </row>
    <row r="19" spans="1:11" x14ac:dyDescent="0.25">
      <c r="A19" s="97">
        <v>17</v>
      </c>
      <c r="B19" t="s">
        <v>581</v>
      </c>
      <c r="C19" s="6" t="s">
        <v>32</v>
      </c>
      <c r="D19" s="6" t="s">
        <v>32</v>
      </c>
      <c r="E19" s="6" t="s">
        <v>32</v>
      </c>
      <c r="F19" s="6" t="s">
        <v>32</v>
      </c>
      <c r="G19" s="6" t="s">
        <v>32</v>
      </c>
      <c r="H19" s="6">
        <f>Materials!$D$54*10</f>
        <v>3.5</v>
      </c>
      <c r="I19" s="6">
        <f>Materials!$D$54*10</f>
        <v>3.5</v>
      </c>
      <c r="J19" s="6">
        <f>Materials!$D$54*10</f>
        <v>3.5</v>
      </c>
      <c r="K19" s="6">
        <f>Materials!$D$54*10</f>
        <v>3.5</v>
      </c>
    </row>
    <row r="20" spans="1:11" x14ac:dyDescent="0.25">
      <c r="A20" s="97">
        <v>18</v>
      </c>
      <c r="B20" t="s">
        <v>37</v>
      </c>
      <c r="C20" s="6">
        <f>Materials!$D$40*2</f>
        <v>0.8</v>
      </c>
      <c r="D20" s="6">
        <f>Materials!$D$40*2</f>
        <v>0.8</v>
      </c>
      <c r="E20" s="6">
        <f>Materials!$D$40*2</f>
        <v>0.8</v>
      </c>
      <c r="F20" s="6">
        <f>Materials!$D$40*2</f>
        <v>0.8</v>
      </c>
      <c r="G20" s="6">
        <f>Materials!$D$40*2</f>
        <v>0.8</v>
      </c>
      <c r="H20" s="6">
        <f>Materials!$D$40*2</f>
        <v>0.8</v>
      </c>
      <c r="I20" s="6">
        <f>Materials!$D$40*2</f>
        <v>0.8</v>
      </c>
      <c r="J20" s="6">
        <f>Materials!$D$40*2</f>
        <v>0.8</v>
      </c>
      <c r="K20" s="6">
        <f>Materials!$D$40*2</f>
        <v>0.8</v>
      </c>
    </row>
    <row r="21" spans="1:11" x14ac:dyDescent="0.25">
      <c r="A21" s="97">
        <v>19</v>
      </c>
      <c r="B21" t="s">
        <v>34</v>
      </c>
      <c r="C21" s="6">
        <f>Materials!$D$41</f>
        <v>1.06</v>
      </c>
      <c r="D21" s="6">
        <f>Materials!$D$41</f>
        <v>1.06</v>
      </c>
      <c r="E21" s="6">
        <f>Materials!$D$41</f>
        <v>1.06</v>
      </c>
      <c r="F21" s="6">
        <f>Materials!$D$41</f>
        <v>1.06</v>
      </c>
      <c r="G21" s="6">
        <f>Materials!$D$41</f>
        <v>1.06</v>
      </c>
      <c r="H21" s="6">
        <f>Materials!$D$41</f>
        <v>1.06</v>
      </c>
      <c r="I21" s="6">
        <f>Materials!$D$41</f>
        <v>1.06</v>
      </c>
      <c r="J21" s="6">
        <f>Materials!$D$41</f>
        <v>1.06</v>
      </c>
      <c r="K21" s="6">
        <f>Materials!$D$41</f>
        <v>1.06</v>
      </c>
    </row>
    <row r="22" spans="1:11" x14ac:dyDescent="0.25">
      <c r="A22" s="97">
        <v>20</v>
      </c>
      <c r="B22" t="s">
        <v>582</v>
      </c>
      <c r="C22" s="6">
        <f>Materials!$D$42</f>
        <v>0.24</v>
      </c>
      <c r="D22" s="6">
        <f>Materials!$D$42</f>
        <v>0.24</v>
      </c>
      <c r="E22" s="6">
        <f>Materials!$D$42</f>
        <v>0.24</v>
      </c>
      <c r="F22" s="6">
        <f>Materials!$D$42</f>
        <v>0.24</v>
      </c>
      <c r="G22" s="6">
        <f>Materials!$D$42</f>
        <v>0.24</v>
      </c>
      <c r="H22" s="6">
        <f>Materials!$D$42</f>
        <v>0.24</v>
      </c>
      <c r="I22" s="6">
        <f>Materials!$D$42</f>
        <v>0.24</v>
      </c>
      <c r="J22" s="6">
        <f>Materials!$D$42</f>
        <v>0.24</v>
      </c>
      <c r="K22" s="6">
        <f>Materials!$D$42</f>
        <v>0.24</v>
      </c>
    </row>
    <row r="23" spans="1:11" x14ac:dyDescent="0.25">
      <c r="A23" s="97">
        <v>21</v>
      </c>
      <c r="B23" t="s">
        <v>33</v>
      </c>
      <c r="C23" s="6">
        <f>Materials!$D$43*2</f>
        <v>1.2</v>
      </c>
      <c r="D23" s="6">
        <f>Materials!$D$43*2</f>
        <v>1.2</v>
      </c>
      <c r="E23" s="6">
        <f>Materials!$D$43*2</f>
        <v>1.2</v>
      </c>
      <c r="F23" s="6">
        <f>Materials!$D$43*2</f>
        <v>1.2</v>
      </c>
      <c r="G23" s="6">
        <f>Materials!$D$43*2</f>
        <v>1.2</v>
      </c>
      <c r="H23" s="6">
        <f>Materials!$D$43*2</f>
        <v>1.2</v>
      </c>
      <c r="I23" s="6">
        <f>Materials!$D$43*2</f>
        <v>1.2</v>
      </c>
      <c r="J23" s="6">
        <f>Materials!$D$43*2</f>
        <v>1.2</v>
      </c>
      <c r="K23" s="6">
        <f>Materials!$D$43*2</f>
        <v>1.2</v>
      </c>
    </row>
    <row r="24" spans="1:11" x14ac:dyDescent="0.25">
      <c r="A24" s="97">
        <v>22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97">
        <v>23</v>
      </c>
      <c r="B25" s="3" t="s">
        <v>3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97">
        <v>24</v>
      </c>
      <c r="B26" t="s">
        <v>51</v>
      </c>
      <c r="C26" s="6">
        <f>Materials!$D$53*150</f>
        <v>46.5</v>
      </c>
      <c r="D26" s="6">
        <f>Materials!$D$53*150</f>
        <v>46.5</v>
      </c>
      <c r="E26" s="6">
        <f>Materials!$D$53*150</f>
        <v>46.5</v>
      </c>
      <c r="F26" s="6">
        <f>Materials!$D$53*150</f>
        <v>46.5</v>
      </c>
      <c r="G26" s="6">
        <f>Materials!$D$53*150</f>
        <v>46.5</v>
      </c>
      <c r="H26" s="6">
        <f>Materials!$D$53*150</f>
        <v>46.5</v>
      </c>
      <c r="I26" s="6">
        <f>Materials!$D$53*150</f>
        <v>46.5</v>
      </c>
      <c r="J26" s="6">
        <f>Materials!$D$53*150</f>
        <v>46.5</v>
      </c>
      <c r="K26" s="6">
        <f>Materials!$D$53*150</f>
        <v>46.5</v>
      </c>
    </row>
    <row r="27" spans="1:11" x14ac:dyDescent="0.25">
      <c r="A27" s="97">
        <v>25</v>
      </c>
      <c r="B27" t="s">
        <v>35</v>
      </c>
      <c r="C27" s="6">
        <f>Materials!$D$44*2</f>
        <v>6.88</v>
      </c>
      <c r="D27" s="6">
        <f>Materials!$D$44*2</f>
        <v>6.88</v>
      </c>
      <c r="E27" s="6">
        <f>Materials!$D$44*2</f>
        <v>6.88</v>
      </c>
      <c r="F27" s="6">
        <f>Materials!$D$44*2</f>
        <v>6.88</v>
      </c>
      <c r="G27" s="6">
        <f>Materials!$D$44*2</f>
        <v>6.88</v>
      </c>
      <c r="H27" s="6">
        <f>Materials!$D$44*2</f>
        <v>6.88</v>
      </c>
      <c r="I27" s="6">
        <f>Materials!$D$44*2</f>
        <v>6.88</v>
      </c>
      <c r="J27" s="6">
        <f>Materials!$D$44*2</f>
        <v>6.88</v>
      </c>
      <c r="K27" s="6">
        <f>Materials!$D$44*2</f>
        <v>6.88</v>
      </c>
    </row>
    <row r="28" spans="1:11" x14ac:dyDescent="0.25">
      <c r="A28" s="97">
        <v>26</v>
      </c>
      <c r="B28" t="s">
        <v>36</v>
      </c>
      <c r="C28" s="6">
        <f>Materials!$D$45*2</f>
        <v>1.44</v>
      </c>
      <c r="D28" s="6">
        <f>Materials!$D$45*2</f>
        <v>1.44</v>
      </c>
      <c r="E28" s="6">
        <f>Materials!$D$45*2</f>
        <v>1.44</v>
      </c>
      <c r="F28" s="6">
        <f>Materials!$D$45*2</f>
        <v>1.44</v>
      </c>
      <c r="G28" s="6">
        <f>Materials!$D$45*2</f>
        <v>1.44</v>
      </c>
      <c r="H28" s="6">
        <f>Materials!$D$45*2</f>
        <v>1.44</v>
      </c>
      <c r="I28" s="6">
        <f>Materials!$D$45*2</f>
        <v>1.44</v>
      </c>
      <c r="J28" s="6">
        <f>Materials!$D$45*2</f>
        <v>1.44</v>
      </c>
      <c r="K28" s="6">
        <f>Materials!$D$45*2</f>
        <v>1.44</v>
      </c>
    </row>
    <row r="29" spans="1:11" x14ac:dyDescent="0.25">
      <c r="A29" s="97">
        <v>27</v>
      </c>
      <c r="B29" t="s">
        <v>37</v>
      </c>
      <c r="C29" s="6">
        <f>Materials!$D$40*2</f>
        <v>0.8</v>
      </c>
      <c r="D29" s="6">
        <f>Materials!$D$40*2</f>
        <v>0.8</v>
      </c>
      <c r="E29" s="6">
        <f>Materials!$D$40*2</f>
        <v>0.8</v>
      </c>
      <c r="F29" s="6">
        <f>Materials!$D$40*2</f>
        <v>0.8</v>
      </c>
      <c r="G29" s="6">
        <f>Materials!$D$40*2</f>
        <v>0.8</v>
      </c>
      <c r="H29" s="6">
        <f>Materials!$D$40*2</f>
        <v>0.8</v>
      </c>
      <c r="I29" s="6">
        <f>Materials!$D$40*2</f>
        <v>0.8</v>
      </c>
      <c r="J29" s="6">
        <f>Materials!$D$40*2</f>
        <v>0.8</v>
      </c>
      <c r="K29" s="6">
        <f>Materials!$D$40*2</f>
        <v>0.8</v>
      </c>
    </row>
    <row r="30" spans="1:11" x14ac:dyDescent="0.25">
      <c r="A30" s="97">
        <v>28</v>
      </c>
      <c r="B30" t="s">
        <v>38</v>
      </c>
      <c r="C30" s="6">
        <f>Materials!$D$46*2</f>
        <v>3.36</v>
      </c>
      <c r="D30" s="6">
        <f>Materials!$D$46*2</f>
        <v>3.36</v>
      </c>
      <c r="E30" s="6">
        <f>Materials!$D$46*2</f>
        <v>3.36</v>
      </c>
      <c r="F30" s="6">
        <f>Materials!$D$46*2</f>
        <v>3.36</v>
      </c>
      <c r="G30" s="6">
        <f>Materials!$D$46*2</f>
        <v>3.36</v>
      </c>
      <c r="H30" s="6">
        <f>Materials!$D$46*2</f>
        <v>3.36</v>
      </c>
      <c r="I30" s="6">
        <f>Materials!$D$46*2</f>
        <v>3.36</v>
      </c>
      <c r="J30" s="6">
        <f>Materials!$D$46*2</f>
        <v>3.36</v>
      </c>
      <c r="K30" s="6">
        <f>Materials!$D$46*2</f>
        <v>3.36</v>
      </c>
    </row>
    <row r="31" spans="1:11" x14ac:dyDescent="0.25">
      <c r="A31" s="97">
        <v>29</v>
      </c>
      <c r="B31" t="s">
        <v>34</v>
      </c>
      <c r="C31" s="6">
        <f>Materials!$D$41</f>
        <v>1.06</v>
      </c>
      <c r="D31" s="6">
        <f>Materials!$D$41</f>
        <v>1.06</v>
      </c>
      <c r="E31" s="6">
        <f>Materials!$D$41</f>
        <v>1.06</v>
      </c>
      <c r="F31" s="6">
        <f>Materials!$D$41</f>
        <v>1.06</v>
      </c>
      <c r="G31" s="6">
        <f>Materials!$D$41</f>
        <v>1.06</v>
      </c>
      <c r="H31" s="6">
        <f>Materials!$D$41</f>
        <v>1.06</v>
      </c>
      <c r="I31" s="6">
        <f>Materials!$D$41</f>
        <v>1.06</v>
      </c>
      <c r="J31" s="6">
        <f>Materials!$D$41</f>
        <v>1.06</v>
      </c>
      <c r="K31" s="6">
        <f>Materials!$D$41</f>
        <v>1.06</v>
      </c>
    </row>
    <row r="32" spans="1:11" x14ac:dyDescent="0.25">
      <c r="A32" s="97">
        <v>30</v>
      </c>
      <c r="B32" t="s">
        <v>582</v>
      </c>
      <c r="C32" s="6">
        <f>Materials!$D$42</f>
        <v>0.24</v>
      </c>
      <c r="D32" s="6">
        <f>Materials!$D$42</f>
        <v>0.24</v>
      </c>
      <c r="E32" s="6">
        <f>Materials!$D$42</f>
        <v>0.24</v>
      </c>
      <c r="F32" s="6">
        <f>Materials!$D$42</f>
        <v>0.24</v>
      </c>
      <c r="G32" s="6">
        <f>Materials!$D$42</f>
        <v>0.24</v>
      </c>
      <c r="H32" s="6">
        <f>Materials!$D$42</f>
        <v>0.24</v>
      </c>
      <c r="I32" s="6">
        <f>Materials!$D$42</f>
        <v>0.24</v>
      </c>
      <c r="J32" s="6">
        <f>Materials!$D$42</f>
        <v>0.24</v>
      </c>
      <c r="K32" s="6">
        <f>Materials!$D$42</f>
        <v>0.24</v>
      </c>
    </row>
    <row r="33" spans="1:32" x14ac:dyDescent="0.25">
      <c r="A33" s="97">
        <v>31</v>
      </c>
      <c r="B33" s="2"/>
    </row>
    <row r="34" spans="1:32" x14ac:dyDescent="0.25">
      <c r="A34" s="97">
        <v>32</v>
      </c>
      <c r="B34" s="2" t="s">
        <v>39</v>
      </c>
      <c r="C34" s="8">
        <f>SUM(C13:C15,C18:C23,C26:C32)</f>
        <v>188.98000000000002</v>
      </c>
      <c r="D34" s="8">
        <f t="shared" ref="D34:K34" si="0">SUM(D13:D15,D18:D23,D26:D32)</f>
        <v>463.05000000000007</v>
      </c>
      <c r="E34" s="8">
        <f t="shared" si="0"/>
        <v>479.55000000000007</v>
      </c>
      <c r="F34" s="8">
        <f t="shared" si="0"/>
        <v>512.55000000000007</v>
      </c>
      <c r="G34" s="8">
        <f t="shared" si="0"/>
        <v>760.05</v>
      </c>
      <c r="H34" s="8">
        <f t="shared" si="0"/>
        <v>306.47874747474754</v>
      </c>
      <c r="I34" s="8">
        <f t="shared" si="0"/>
        <v>311.97874747474754</v>
      </c>
      <c r="J34" s="8">
        <f t="shared" si="0"/>
        <v>366.97874747474754</v>
      </c>
      <c r="K34" s="8">
        <f t="shared" si="0"/>
        <v>465.97874747474748</v>
      </c>
    </row>
    <row r="35" spans="1:32" x14ac:dyDescent="0.25">
      <c r="A35" s="97">
        <v>33</v>
      </c>
      <c r="B35" s="2" t="s">
        <v>40</v>
      </c>
      <c r="C35" s="10">
        <f>1+'Materials+LaborUnits'!$D$49</f>
        <v>1.2886</v>
      </c>
      <c r="D35" s="10">
        <f>1+'Materials+LaborUnits'!$D$49</f>
        <v>1.2886</v>
      </c>
      <c r="E35" s="10">
        <f>1+'Materials+LaborUnits'!$D$49</f>
        <v>1.2886</v>
      </c>
      <c r="F35" s="10">
        <f>1+'Materials+LaborUnits'!$D$49</f>
        <v>1.2886</v>
      </c>
      <c r="G35" s="10">
        <f>1+'Materials+LaborUnits'!$D$49</f>
        <v>1.2886</v>
      </c>
      <c r="H35" s="10">
        <f>1+'Materials+LaborUnits'!$D$49</f>
        <v>1.2886</v>
      </c>
      <c r="I35" s="10">
        <f>1+'Materials+LaborUnits'!$D$49</f>
        <v>1.2886</v>
      </c>
      <c r="J35" s="10">
        <f>1+'Materials+LaborUnits'!$D$49</f>
        <v>1.2886</v>
      </c>
      <c r="K35" s="10">
        <f>1+'Materials+LaborUnits'!$D$49</f>
        <v>1.2886</v>
      </c>
    </row>
    <row r="36" spans="1:32" x14ac:dyDescent="0.25">
      <c r="A36" s="97">
        <v>34</v>
      </c>
      <c r="B36" s="1" t="s">
        <v>43</v>
      </c>
      <c r="C36" s="8">
        <f>C35*C34</f>
        <v>243.51962800000001</v>
      </c>
      <c r="D36" s="8">
        <f t="shared" ref="D36:K36" si="1">D35*D34</f>
        <v>596.68623000000002</v>
      </c>
      <c r="E36" s="8">
        <f t="shared" si="1"/>
        <v>617.94813000000011</v>
      </c>
      <c r="F36" s="8">
        <f t="shared" si="1"/>
        <v>660.47193000000004</v>
      </c>
      <c r="G36" s="8">
        <f t="shared" si="1"/>
        <v>979.40042999999991</v>
      </c>
      <c r="H36" s="8">
        <f t="shared" si="1"/>
        <v>394.92851399595969</v>
      </c>
      <c r="I36" s="8">
        <f t="shared" si="1"/>
        <v>402.01581399595966</v>
      </c>
      <c r="J36" s="8">
        <f t="shared" si="1"/>
        <v>472.88881399595965</v>
      </c>
      <c r="K36" s="8">
        <f t="shared" si="1"/>
        <v>600.46021399595963</v>
      </c>
    </row>
    <row r="37" spans="1:32" x14ac:dyDescent="0.25">
      <c r="A37" s="97">
        <v>35</v>
      </c>
    </row>
    <row r="38" spans="1:32" x14ac:dyDescent="0.25">
      <c r="A38" s="97">
        <v>36</v>
      </c>
      <c r="B38" s="11" t="s">
        <v>8</v>
      </c>
    </row>
    <row r="39" spans="1:32" x14ac:dyDescent="0.25">
      <c r="A39" s="97">
        <v>37</v>
      </c>
      <c r="B39" s="12" t="s">
        <v>44</v>
      </c>
      <c r="C39" s="4">
        <f>'Materials+LaborUnits'!$D$50</f>
        <v>92.5</v>
      </c>
      <c r="D39" s="4">
        <f>'Materials+LaborUnits'!$D$50</f>
        <v>92.5</v>
      </c>
      <c r="E39" s="4">
        <f>'Materials+LaborUnits'!$D$50</f>
        <v>92.5</v>
      </c>
      <c r="F39" s="4">
        <f>'Materials+LaborUnits'!$D$50</f>
        <v>92.5</v>
      </c>
      <c r="G39" s="4">
        <f>'Materials+LaborUnits'!$D$50</f>
        <v>92.5</v>
      </c>
      <c r="H39" s="4">
        <f>'Materials+LaborUnits'!$D$50</f>
        <v>92.5</v>
      </c>
      <c r="I39" s="4">
        <f>'Materials+LaborUnits'!$D$50</f>
        <v>92.5</v>
      </c>
      <c r="J39" s="4">
        <f>'Materials+LaborUnits'!$D$50</f>
        <v>92.5</v>
      </c>
      <c r="K39" s="4">
        <f>'Materials+LaborUnits'!$D$50</f>
        <v>92.5</v>
      </c>
    </row>
    <row r="40" spans="1:32" x14ac:dyDescent="0.25">
      <c r="A40" s="97">
        <v>38</v>
      </c>
      <c r="B40" s="12" t="s">
        <v>45</v>
      </c>
      <c r="C40" s="4">
        <f>'Materials+LaborUnits'!$D$52*150</f>
        <v>129</v>
      </c>
      <c r="D40" s="4">
        <f>'Materials+LaborUnits'!$D$52*150</f>
        <v>129</v>
      </c>
      <c r="E40" s="4">
        <f>'Materials+LaborUnits'!$D$52*150</f>
        <v>129</v>
      </c>
      <c r="F40" s="4">
        <f>'Materials+LaborUnits'!$D$52*150</f>
        <v>129</v>
      </c>
      <c r="G40" s="4">
        <f>'Materials+LaborUnits'!$D$52*150</f>
        <v>129</v>
      </c>
      <c r="H40" s="4">
        <f>'Materials+LaborUnits'!$D$52*150</f>
        <v>129</v>
      </c>
      <c r="I40" s="4">
        <f>'Materials+LaborUnits'!$D$52*150</f>
        <v>129</v>
      </c>
      <c r="J40" s="4">
        <f>'Materials+LaborUnits'!$D$52*150</f>
        <v>129</v>
      </c>
      <c r="K40" s="4">
        <f>'Materials+LaborUnits'!$D$52*150</f>
        <v>129</v>
      </c>
    </row>
    <row r="41" spans="1:32" x14ac:dyDescent="0.25">
      <c r="A41" s="97">
        <v>39</v>
      </c>
      <c r="B41" s="12"/>
      <c r="C41" s="4"/>
      <c r="D41" s="4"/>
      <c r="E41" s="4"/>
      <c r="F41" s="4"/>
      <c r="G41" s="4"/>
      <c r="H41" s="4"/>
      <c r="I41" s="4"/>
      <c r="J41" s="4"/>
      <c r="K41" s="4"/>
    </row>
    <row r="42" spans="1:32" x14ac:dyDescent="0.25">
      <c r="A42" s="97">
        <v>40</v>
      </c>
      <c r="B42" s="12" t="s">
        <v>46</v>
      </c>
      <c r="C42" s="4">
        <f>SUM(C39:C40)</f>
        <v>221.5</v>
      </c>
      <c r="D42" s="4">
        <f t="shared" ref="D42:K42" si="2">SUM(D39:D40)</f>
        <v>221.5</v>
      </c>
      <c r="E42" s="4">
        <f t="shared" si="2"/>
        <v>221.5</v>
      </c>
      <c r="F42" s="4">
        <f t="shared" si="2"/>
        <v>221.5</v>
      </c>
      <c r="G42" s="4">
        <f t="shared" si="2"/>
        <v>221.5</v>
      </c>
      <c r="H42" s="4">
        <f t="shared" si="2"/>
        <v>221.5</v>
      </c>
      <c r="I42" s="4">
        <f t="shared" si="2"/>
        <v>221.5</v>
      </c>
      <c r="J42" s="4">
        <f t="shared" si="2"/>
        <v>221.5</v>
      </c>
      <c r="K42" s="4">
        <f t="shared" si="2"/>
        <v>221.5</v>
      </c>
    </row>
    <row r="43" spans="1:32" x14ac:dyDescent="0.25">
      <c r="A43" s="97">
        <v>41</v>
      </c>
      <c r="B43" s="12" t="s">
        <v>47</v>
      </c>
      <c r="C43" s="10">
        <f>1+'Materials+LaborUnits'!$D$51</f>
        <v>1.1386000000000001</v>
      </c>
      <c r="D43" s="10">
        <f>1+'Materials+LaborUnits'!$D$51</f>
        <v>1.1386000000000001</v>
      </c>
      <c r="E43" s="10">
        <f>1+'Materials+LaborUnits'!$D$51</f>
        <v>1.1386000000000001</v>
      </c>
      <c r="F43" s="10">
        <f>1+'Materials+LaborUnits'!$D$51</f>
        <v>1.1386000000000001</v>
      </c>
      <c r="G43" s="10">
        <f>1+'Materials+LaborUnits'!$D$51</f>
        <v>1.1386000000000001</v>
      </c>
      <c r="H43" s="10">
        <f>1+'Materials+LaborUnits'!$D$51</f>
        <v>1.1386000000000001</v>
      </c>
      <c r="I43" s="10">
        <f>1+'Materials+LaborUnits'!$D$51</f>
        <v>1.1386000000000001</v>
      </c>
      <c r="J43" s="10">
        <f>1+'Materials+LaborUnits'!$D$51</f>
        <v>1.1386000000000001</v>
      </c>
      <c r="K43" s="10">
        <f>1+'Materials+LaborUnits'!$D$51</f>
        <v>1.1386000000000001</v>
      </c>
    </row>
    <row r="44" spans="1:32" x14ac:dyDescent="0.25">
      <c r="A44" s="97">
        <v>42</v>
      </c>
      <c r="B44" s="13" t="s">
        <v>48</v>
      </c>
      <c r="C44" s="4">
        <f t="shared" ref="C44:K44" si="3">C42*C43</f>
        <v>252.19990000000001</v>
      </c>
      <c r="D44" s="4">
        <f t="shared" si="3"/>
        <v>252.19990000000001</v>
      </c>
      <c r="E44" s="4">
        <f t="shared" si="3"/>
        <v>252.19990000000001</v>
      </c>
      <c r="F44" s="4">
        <f t="shared" si="3"/>
        <v>252.19990000000001</v>
      </c>
      <c r="G44" s="4">
        <f t="shared" si="3"/>
        <v>252.19990000000001</v>
      </c>
      <c r="H44" s="4">
        <f t="shared" si="3"/>
        <v>252.19990000000001</v>
      </c>
      <c r="I44" s="4">
        <f t="shared" si="3"/>
        <v>252.19990000000001</v>
      </c>
      <c r="J44" s="4">
        <f t="shared" si="3"/>
        <v>252.19990000000001</v>
      </c>
      <c r="K44" s="4">
        <f t="shared" si="3"/>
        <v>252.19990000000001</v>
      </c>
      <c r="AF44" s="366"/>
    </row>
    <row r="45" spans="1:32" x14ac:dyDescent="0.25">
      <c r="A45" s="97">
        <v>43</v>
      </c>
      <c r="B45" s="12"/>
      <c r="C45" s="4"/>
      <c r="D45" s="4"/>
      <c r="E45" s="4"/>
      <c r="F45" s="4"/>
      <c r="G45" s="4"/>
      <c r="H45" s="4"/>
      <c r="I45" s="4"/>
      <c r="J45" s="4"/>
      <c r="K45" s="4"/>
    </row>
    <row r="46" spans="1:32" x14ac:dyDescent="0.25">
      <c r="A46" s="97">
        <v>44</v>
      </c>
      <c r="B46" s="14" t="s">
        <v>49</v>
      </c>
      <c r="C46" s="4">
        <f t="shared" ref="C46:K46" si="4">SUM(C36,C44)</f>
        <v>495.71952800000003</v>
      </c>
      <c r="D46" s="4">
        <f t="shared" si="4"/>
        <v>848.88613000000009</v>
      </c>
      <c r="E46" s="4">
        <f t="shared" si="4"/>
        <v>870.14803000000006</v>
      </c>
      <c r="F46" s="4">
        <f t="shared" si="4"/>
        <v>912.67183</v>
      </c>
      <c r="G46" s="4">
        <f t="shared" si="4"/>
        <v>1231.60033</v>
      </c>
      <c r="H46" s="4">
        <f t="shared" si="4"/>
        <v>647.1284139959597</v>
      </c>
      <c r="I46" s="4">
        <f t="shared" si="4"/>
        <v>654.21571399595973</v>
      </c>
      <c r="J46" s="4">
        <f t="shared" si="4"/>
        <v>725.08871399595967</v>
      </c>
      <c r="K46" s="4">
        <f t="shared" si="4"/>
        <v>852.66011399595959</v>
      </c>
    </row>
    <row r="47" spans="1:32" x14ac:dyDescent="0.25">
      <c r="A47" s="97">
        <v>45</v>
      </c>
      <c r="C47" s="8"/>
      <c r="D47" s="8"/>
      <c r="E47" s="8"/>
      <c r="F47" s="8"/>
      <c r="G47" s="8"/>
      <c r="H47" s="8"/>
      <c r="I47" s="8"/>
      <c r="J47" s="8"/>
      <c r="K47" s="8"/>
    </row>
    <row r="48" spans="1:32" x14ac:dyDescent="0.25">
      <c r="A48" s="97">
        <v>46</v>
      </c>
    </row>
    <row r="49" spans="1:11" x14ac:dyDescent="0.25">
      <c r="A49" s="97">
        <v>47</v>
      </c>
    </row>
    <row r="50" spans="1:11" x14ac:dyDescent="0.25">
      <c r="A50" s="97">
        <v>48</v>
      </c>
      <c r="B50" s="1" t="s">
        <v>222</v>
      </c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97">
        <v>49</v>
      </c>
      <c r="B51" t="s">
        <v>499</v>
      </c>
      <c r="C51" s="285">
        <f>'Maintenance &amp; NBV'!$I$7</f>
        <v>4.6254197082383142</v>
      </c>
      <c r="D51" s="285">
        <f>'Maintenance &amp; NBV'!$I$7</f>
        <v>4.6254197082383142</v>
      </c>
      <c r="E51" s="285">
        <f>'Maintenance &amp; NBV'!$I$7</f>
        <v>4.6254197082383142</v>
      </c>
      <c r="F51" s="285">
        <f>'Maintenance &amp; NBV'!$I$7</f>
        <v>4.6254197082383142</v>
      </c>
      <c r="G51" s="285">
        <f>'Maintenance &amp; NBV'!$I$7</f>
        <v>4.6254197082383142</v>
      </c>
      <c r="H51" s="285">
        <f>'Maintenance &amp; NBV'!$I$7</f>
        <v>4.6254197082383142</v>
      </c>
      <c r="I51" s="285">
        <f>'Maintenance &amp; NBV'!$I$7</f>
        <v>4.6254197082383142</v>
      </c>
      <c r="J51" s="285">
        <f>'Maintenance &amp; NBV'!$I$7</f>
        <v>4.6254197082383142</v>
      </c>
      <c r="K51" s="285">
        <f>'Maintenance &amp; NBV'!$I$7</f>
        <v>4.6254197082383142</v>
      </c>
    </row>
    <row r="52" spans="1:11" x14ac:dyDescent="0.25">
      <c r="A52" s="97">
        <v>50</v>
      </c>
      <c r="B52" t="s">
        <v>223</v>
      </c>
      <c r="C52" s="4">
        <f t="shared" ref="C52:K52" si="5">SUM(C49:C51)</f>
        <v>4.6254197082383142</v>
      </c>
      <c r="D52" s="4">
        <f t="shared" si="5"/>
        <v>4.6254197082383142</v>
      </c>
      <c r="E52" s="4">
        <f t="shared" si="5"/>
        <v>4.6254197082383142</v>
      </c>
      <c r="F52" s="4">
        <f t="shared" si="5"/>
        <v>4.6254197082383142</v>
      </c>
      <c r="G52" s="4">
        <f t="shared" si="5"/>
        <v>4.6254197082383142</v>
      </c>
      <c r="H52" s="4">
        <f t="shared" si="5"/>
        <v>4.6254197082383142</v>
      </c>
      <c r="I52" s="4">
        <f t="shared" si="5"/>
        <v>4.6254197082383142</v>
      </c>
      <c r="J52" s="4">
        <f t="shared" si="5"/>
        <v>4.6254197082383142</v>
      </c>
      <c r="K52" s="4">
        <f t="shared" si="5"/>
        <v>4.6254197082383142</v>
      </c>
    </row>
    <row r="54" spans="1:11" x14ac:dyDescent="0.25">
      <c r="C54" s="8"/>
    </row>
  </sheetData>
  <mergeCells count="1">
    <mergeCell ref="C2:K2"/>
  </mergeCells>
  <pageMargins left="1" right="1" top="1" bottom="1.75" header="0.5" footer="0.5"/>
  <pageSetup scale="54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0"/>
  <sheetViews>
    <sheetView zoomScale="70" zoomScaleNormal="70" workbookViewId="0"/>
  </sheetViews>
  <sheetFormatPr defaultRowHeight="15.75" x14ac:dyDescent="0.25"/>
  <cols>
    <col min="1" max="1" width="9.140625" style="98"/>
    <col min="2" max="2" width="40.7109375" bestFit="1" customWidth="1"/>
    <col min="3" max="4" width="12.42578125" bestFit="1" customWidth="1"/>
    <col min="5" max="5" width="13.85546875" bestFit="1" customWidth="1"/>
    <col min="6" max="11" width="14.5703125" bestFit="1" customWidth="1"/>
    <col min="12" max="13" width="12.140625" bestFit="1" customWidth="1"/>
    <col min="14" max="14" width="15.7109375" bestFit="1" customWidth="1"/>
    <col min="15" max="18" width="15.7109375" customWidth="1"/>
  </cols>
  <sheetData>
    <row r="2" spans="1:18" x14ac:dyDescent="0.25">
      <c r="C2" s="354" t="s">
        <v>50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6"/>
      <c r="O2" s="335"/>
      <c r="P2" s="335"/>
      <c r="Q2" s="335"/>
      <c r="R2" s="335"/>
    </row>
    <row r="3" spans="1:18" x14ac:dyDescent="0.25">
      <c r="A3" s="99">
        <v>1</v>
      </c>
      <c r="B3" s="1" t="s">
        <v>185</v>
      </c>
      <c r="C3" s="5" t="s">
        <v>553</v>
      </c>
      <c r="D3" s="5">
        <v>396</v>
      </c>
      <c r="E3" s="5">
        <v>397</v>
      </c>
      <c r="F3" s="5">
        <v>398</v>
      </c>
      <c r="G3" s="5" t="s">
        <v>555</v>
      </c>
      <c r="H3" s="5" t="s">
        <v>556</v>
      </c>
      <c r="I3" s="5" t="s">
        <v>557</v>
      </c>
      <c r="J3" s="5" t="s">
        <v>558</v>
      </c>
      <c r="K3" s="5" t="s">
        <v>559</v>
      </c>
      <c r="L3" s="5">
        <v>399</v>
      </c>
      <c r="M3" s="5" t="s">
        <v>554</v>
      </c>
      <c r="N3" s="5" t="s">
        <v>188</v>
      </c>
      <c r="O3" s="5" t="s">
        <v>567</v>
      </c>
      <c r="P3" s="5" t="s">
        <v>568</v>
      </c>
      <c r="Q3" s="5" t="s">
        <v>569</v>
      </c>
      <c r="R3" s="5" t="s">
        <v>570</v>
      </c>
    </row>
    <row r="4" spans="1:18" x14ac:dyDescent="0.25">
      <c r="A4" s="99">
        <v>2</v>
      </c>
      <c r="B4" s="1" t="s">
        <v>11</v>
      </c>
      <c r="C4" s="5" t="s">
        <v>25</v>
      </c>
      <c r="D4" s="5" t="s">
        <v>25</v>
      </c>
      <c r="E4" s="5" t="s">
        <v>25</v>
      </c>
      <c r="F4" s="5" t="s">
        <v>25</v>
      </c>
      <c r="G4" s="5" t="s">
        <v>58</v>
      </c>
      <c r="H4" s="5" t="s">
        <v>58</v>
      </c>
      <c r="I4" s="5" t="s">
        <v>58</v>
      </c>
      <c r="J4" s="5" t="s">
        <v>58</v>
      </c>
      <c r="K4" s="5" t="s">
        <v>58</v>
      </c>
      <c r="L4" s="5" t="s">
        <v>59</v>
      </c>
      <c r="M4" s="5" t="s">
        <v>60</v>
      </c>
      <c r="N4" s="5" t="s">
        <v>72</v>
      </c>
      <c r="O4" s="5" t="s">
        <v>13</v>
      </c>
      <c r="P4" s="5" t="s">
        <v>13</v>
      </c>
      <c r="Q4" s="5" t="s">
        <v>13</v>
      </c>
      <c r="R4" s="5" t="s">
        <v>13</v>
      </c>
    </row>
    <row r="5" spans="1:18" x14ac:dyDescent="0.25">
      <c r="A5" s="99">
        <v>3</v>
      </c>
      <c r="B5" s="1" t="s">
        <v>15</v>
      </c>
      <c r="C5" s="5" t="s">
        <v>29</v>
      </c>
      <c r="D5" s="5" t="s">
        <v>540</v>
      </c>
      <c r="E5" s="5" t="s">
        <v>30</v>
      </c>
      <c r="F5" s="5" t="s">
        <v>31</v>
      </c>
      <c r="G5" s="5" t="s">
        <v>61</v>
      </c>
      <c r="H5" s="5" t="s">
        <v>62</v>
      </c>
      <c r="I5" t="s">
        <v>63</v>
      </c>
      <c r="J5" s="5" t="s">
        <v>64</v>
      </c>
      <c r="K5" s="5" t="s">
        <v>65</v>
      </c>
      <c r="L5" s="5" t="s">
        <v>61</v>
      </c>
      <c r="M5" s="5" t="s">
        <v>61</v>
      </c>
      <c r="N5" s="5" t="s">
        <v>61</v>
      </c>
      <c r="O5" s="5" t="s">
        <v>14</v>
      </c>
      <c r="P5" s="5" t="s">
        <v>19</v>
      </c>
      <c r="Q5" s="5" t="s">
        <v>20</v>
      </c>
      <c r="R5" s="5" t="s">
        <v>21</v>
      </c>
    </row>
    <row r="6" spans="1:18" x14ac:dyDescent="0.25">
      <c r="A6" s="99">
        <v>4</v>
      </c>
      <c r="B6" s="1" t="s">
        <v>200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 t="s">
        <v>201</v>
      </c>
      <c r="O6" s="5" t="s">
        <v>201</v>
      </c>
      <c r="P6" s="5" t="s">
        <v>201</v>
      </c>
      <c r="Q6" s="5" t="s">
        <v>201</v>
      </c>
      <c r="R6" s="5" t="s">
        <v>201</v>
      </c>
    </row>
    <row r="7" spans="1:18" x14ac:dyDescent="0.25">
      <c r="A7" s="99">
        <v>5</v>
      </c>
      <c r="B7" s="1" t="s">
        <v>16</v>
      </c>
      <c r="C7" s="5" t="s">
        <v>26</v>
      </c>
      <c r="D7" s="5" t="s">
        <v>27</v>
      </c>
      <c r="E7" s="5" t="s">
        <v>28</v>
      </c>
      <c r="F7" s="5" t="s">
        <v>23</v>
      </c>
      <c r="G7" s="5" t="s">
        <v>26</v>
      </c>
      <c r="H7" s="5" t="s">
        <v>27</v>
      </c>
      <c r="I7" s="5" t="s">
        <v>66</v>
      </c>
      <c r="J7" s="5" t="s">
        <v>23</v>
      </c>
      <c r="K7" s="5" t="s">
        <v>24</v>
      </c>
      <c r="L7" s="5" t="s">
        <v>67</v>
      </c>
      <c r="M7" s="5" t="s">
        <v>67</v>
      </c>
      <c r="N7" s="5" t="s">
        <v>67</v>
      </c>
      <c r="O7" s="5" t="s">
        <v>18</v>
      </c>
      <c r="P7" s="5" t="s">
        <v>22</v>
      </c>
      <c r="Q7" s="5" t="s">
        <v>23</v>
      </c>
      <c r="R7" s="5" t="s">
        <v>24</v>
      </c>
    </row>
    <row r="8" spans="1:18" x14ac:dyDescent="0.25">
      <c r="A8" s="99">
        <v>6</v>
      </c>
      <c r="B8" s="1" t="s">
        <v>17</v>
      </c>
      <c r="C8" s="5">
        <v>22</v>
      </c>
      <c r="D8" s="5">
        <v>71</v>
      </c>
      <c r="E8" s="5">
        <v>122</v>
      </c>
      <c r="F8" s="5">
        <v>194</v>
      </c>
      <c r="G8" s="5">
        <v>57</v>
      </c>
      <c r="H8" s="5">
        <v>87</v>
      </c>
      <c r="I8" s="5">
        <v>143</v>
      </c>
      <c r="J8" s="5">
        <v>220</v>
      </c>
      <c r="K8" s="5">
        <v>380</v>
      </c>
      <c r="L8" s="5">
        <v>44</v>
      </c>
      <c r="M8" s="5">
        <v>40</v>
      </c>
      <c r="N8" s="5">
        <v>40</v>
      </c>
      <c r="O8" s="5">
        <v>30</v>
      </c>
      <c r="P8" s="5">
        <v>96</v>
      </c>
      <c r="Q8" s="5">
        <v>175</v>
      </c>
      <c r="R8" s="5">
        <v>297</v>
      </c>
    </row>
    <row r="9" spans="1:18" x14ac:dyDescent="0.25">
      <c r="A9" s="99">
        <v>7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99">
        <v>8</v>
      </c>
      <c r="B10" s="7" t="s">
        <v>42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99">
        <v>9</v>
      </c>
      <c r="B11" s="1" t="s">
        <v>41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99">
        <v>10</v>
      </c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99">
        <v>11</v>
      </c>
      <c r="B13" t="s">
        <v>579</v>
      </c>
      <c r="C13" s="6">
        <f>'Materials+LaborUnits'!$D$2</f>
        <v>143</v>
      </c>
      <c r="D13" s="6">
        <f>'Materials+LaborUnits'!D3</f>
        <v>148.5</v>
      </c>
      <c r="E13" s="6">
        <f>'Materials+LaborUnits'!D4</f>
        <v>203.50000000000003</v>
      </c>
      <c r="F13" s="6">
        <f>'Materials+LaborUnits'!D5</f>
        <v>302.5</v>
      </c>
      <c r="G13" s="6">
        <f>'Materials+LaborUnits'!$D$10</f>
        <v>275</v>
      </c>
      <c r="H13" s="6">
        <f>'Materials+LaborUnits'!$D$11</f>
        <v>302.5</v>
      </c>
      <c r="I13" s="6">
        <f>'Materials+LaborUnits'!$D$13</f>
        <v>328.90000000000003</v>
      </c>
      <c r="J13" s="6">
        <f>'Materials+LaborUnits'!$D$15</f>
        <v>495.00000000000006</v>
      </c>
      <c r="K13" s="6">
        <f>'Materials+LaborUnits'!$D$17</f>
        <v>715.00000000000011</v>
      </c>
      <c r="L13" s="6">
        <f>'Materials+LaborUnits'!$D$7</f>
        <v>330</v>
      </c>
      <c r="M13" s="6">
        <f>'Materials+LaborUnits'!$D$6</f>
        <v>427.90000000000003</v>
      </c>
      <c r="N13" s="6">
        <f>'Materials+LaborUnits'!$D$6</f>
        <v>427.90000000000003</v>
      </c>
      <c r="O13" s="6">
        <f>'Materials+LaborUnits'!$D$19</f>
        <v>363.00000000000006</v>
      </c>
      <c r="P13" s="6">
        <f>'Materials+LaborUnits'!$D$20</f>
        <v>379.50000000000006</v>
      </c>
      <c r="Q13" s="6">
        <f>'Materials+LaborUnits'!$D$21</f>
        <v>412.50000000000006</v>
      </c>
      <c r="R13" s="6">
        <f>'Materials+LaborUnits'!$D$22</f>
        <v>660</v>
      </c>
    </row>
    <row r="14" spans="1:18" x14ac:dyDescent="0.25">
      <c r="A14" s="99">
        <v>12</v>
      </c>
      <c r="B14" t="s">
        <v>10</v>
      </c>
      <c r="C14" s="6" t="s">
        <v>32</v>
      </c>
      <c r="D14" s="6" t="s">
        <v>32</v>
      </c>
      <c r="E14" s="6" t="s">
        <v>32</v>
      </c>
      <c r="F14" s="6" t="s">
        <v>32</v>
      </c>
      <c r="G14" s="6" t="s">
        <v>32</v>
      </c>
      <c r="H14" s="6" t="s">
        <v>32</v>
      </c>
      <c r="I14" s="6" t="s">
        <v>32</v>
      </c>
      <c r="J14" s="6" t="s">
        <v>32</v>
      </c>
      <c r="K14" s="6" t="s">
        <v>32</v>
      </c>
      <c r="L14" s="6" t="s">
        <v>32</v>
      </c>
      <c r="M14" s="6" t="s">
        <v>32</v>
      </c>
      <c r="N14" s="6" t="s">
        <v>32</v>
      </c>
      <c r="O14" s="6" t="s">
        <v>32</v>
      </c>
      <c r="P14" s="6" t="s">
        <v>32</v>
      </c>
      <c r="Q14" s="6" t="s">
        <v>32</v>
      </c>
      <c r="R14" s="6" t="s">
        <v>32</v>
      </c>
    </row>
    <row r="15" spans="1:18" x14ac:dyDescent="0.25">
      <c r="A15" s="99">
        <v>13</v>
      </c>
      <c r="B15" t="s">
        <v>146</v>
      </c>
      <c r="C15" s="6" t="s">
        <v>32</v>
      </c>
      <c r="D15" s="6" t="s">
        <v>32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  <c r="K15" s="6" t="s">
        <v>32</v>
      </c>
      <c r="L15" s="6" t="s">
        <v>32</v>
      </c>
      <c r="M15" s="6" t="s">
        <v>32</v>
      </c>
      <c r="N15" s="6" t="s">
        <v>32</v>
      </c>
      <c r="O15" s="6" t="s">
        <v>32</v>
      </c>
      <c r="P15" s="6" t="s">
        <v>32</v>
      </c>
      <c r="Q15" s="6" t="s">
        <v>32</v>
      </c>
      <c r="R15" s="6" t="s">
        <v>32</v>
      </c>
    </row>
    <row r="16" spans="1:18" x14ac:dyDescent="0.25">
      <c r="A16" s="99">
        <v>14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99">
        <v>15</v>
      </c>
      <c r="B17" s="3" t="s">
        <v>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99">
        <v>16</v>
      </c>
      <c r="B18" t="s">
        <v>580</v>
      </c>
      <c r="C18" s="6" t="s">
        <v>32</v>
      </c>
      <c r="D18" s="6" t="s">
        <v>32</v>
      </c>
      <c r="E18" s="6" t="s">
        <v>32</v>
      </c>
      <c r="F18" s="6" t="s">
        <v>32</v>
      </c>
      <c r="G18" s="6" t="s">
        <v>32</v>
      </c>
      <c r="H18" s="6" t="s">
        <v>32</v>
      </c>
      <c r="I18" s="6" t="s">
        <v>32</v>
      </c>
      <c r="J18" s="6" t="s">
        <v>32</v>
      </c>
      <c r="K18" s="6" t="s">
        <v>32</v>
      </c>
      <c r="L18" s="6" t="s">
        <v>32</v>
      </c>
      <c r="M18" s="6" t="s">
        <v>32</v>
      </c>
      <c r="N18" s="6" t="s">
        <v>32</v>
      </c>
      <c r="O18" s="6">
        <f>Materials!$D$38</f>
        <v>36.47</v>
      </c>
      <c r="P18" s="6">
        <f>Materials!$D$38</f>
        <v>36.47</v>
      </c>
      <c r="Q18" s="6">
        <f>Materials!$D$38</f>
        <v>36.47</v>
      </c>
      <c r="R18" s="6">
        <f>Materials!$D$38</f>
        <v>36.47</v>
      </c>
    </row>
    <row r="19" spans="1:18" x14ac:dyDescent="0.25">
      <c r="A19" s="99">
        <v>17</v>
      </c>
      <c r="B19" t="s">
        <v>71</v>
      </c>
      <c r="C19" s="6">
        <f>Materials!$D$40*4</f>
        <v>1.6</v>
      </c>
      <c r="D19" s="6">
        <f>Materials!$D$40*4</f>
        <v>1.6</v>
      </c>
      <c r="E19" s="6">
        <f>Materials!$D$40*4</f>
        <v>1.6</v>
      </c>
      <c r="F19" s="6">
        <f>Materials!$D$40*4</f>
        <v>1.6</v>
      </c>
      <c r="G19" s="6">
        <f>Materials!$D$40*4</f>
        <v>1.6</v>
      </c>
      <c r="H19" s="6">
        <f>Materials!$D$40*4</f>
        <v>1.6</v>
      </c>
      <c r="I19" s="6">
        <f>Materials!$D$40*4</f>
        <v>1.6</v>
      </c>
      <c r="J19" s="6">
        <f>Materials!$D$40*4</f>
        <v>1.6</v>
      </c>
      <c r="K19" s="6">
        <f>Materials!$D$40*4</f>
        <v>1.6</v>
      </c>
      <c r="L19" s="6">
        <f>Materials!$D$40*4</f>
        <v>1.6</v>
      </c>
      <c r="M19" s="6">
        <f>Materials!$D$40*4</f>
        <v>1.6</v>
      </c>
      <c r="N19" s="6">
        <f>Materials!$D$40*4</f>
        <v>1.6</v>
      </c>
      <c r="O19" s="6">
        <f>Materials!$D$40*4</f>
        <v>1.6</v>
      </c>
      <c r="P19" s="6">
        <f>Materials!$D$40*4</f>
        <v>1.6</v>
      </c>
      <c r="Q19" s="6">
        <f>Materials!$D$40*4</f>
        <v>1.6</v>
      </c>
      <c r="R19" s="6">
        <f>Materials!$D$40*4</f>
        <v>1.6</v>
      </c>
    </row>
    <row r="20" spans="1:18" x14ac:dyDescent="0.25">
      <c r="A20" s="99">
        <v>18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99">
        <v>19</v>
      </c>
      <c r="B21" s="3" t="s">
        <v>52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99">
        <v>20</v>
      </c>
      <c r="B22" t="s">
        <v>52</v>
      </c>
      <c r="C22" s="6">
        <f>SUM('Materials+LaborUnits'!$D$25,'Materials+LaborUnits'!$D$26,'Materials+LaborUnits'!$D$27,'Materials+LaborUnits'!$D$30)/4</f>
        <v>690.25</v>
      </c>
      <c r="D22" s="6">
        <f>SUM('Materials+LaborUnits'!$D$25,'Materials+LaborUnits'!$D$26,'Materials+LaborUnits'!$D$27,'Materials+LaborUnits'!$D$30)/4</f>
        <v>690.25</v>
      </c>
      <c r="E22" s="6">
        <f>SUM('Materials+LaborUnits'!$D$25,'Materials+LaborUnits'!$D$26,'Materials+LaborUnits'!$D$27,'Materials+LaborUnits'!$D$30)/4</f>
        <v>690.25</v>
      </c>
      <c r="F22" s="6">
        <f>SUM('Materials+LaborUnits'!$D$25,'Materials+LaborUnits'!$D$26,'Materials+LaborUnits'!$D$27,'Materials+LaborUnits'!$D$30)/4</f>
        <v>690.25</v>
      </c>
      <c r="G22" s="6">
        <f>SUM('Materials+LaborUnits'!$D$35,'Materials+LaborUnits'!$D$37,'Materials+LaborUnits'!$D$39)/3</f>
        <v>669.45333333333338</v>
      </c>
      <c r="H22" s="6">
        <f>SUM('Materials+LaborUnits'!$D$35,'Materials+LaborUnits'!$D$37,'Materials+LaborUnits'!$D$39)/3</f>
        <v>669.45333333333338</v>
      </c>
      <c r="I22" s="6">
        <f>SUM('Materials+LaborUnits'!$D$35,'Materials+LaborUnits'!$D$37,'Materials+LaborUnits'!$D$39)/3</f>
        <v>669.45333333333338</v>
      </c>
      <c r="J22" s="6">
        <f>SUM('Materials+LaborUnits'!$D$35,'Materials+LaborUnits'!$D$37,'Materials+LaborUnits'!$D$39)/3</f>
        <v>669.45333333333338</v>
      </c>
      <c r="K22" s="6">
        <f>SUM('Materials+LaborUnits'!$D$35,'Materials+LaborUnits'!$D$37,'Materials+LaborUnits'!$D$39)/3</f>
        <v>669.45333333333338</v>
      </c>
      <c r="L22" s="6">
        <f>('Materials+LaborUnits'!$D$45+'Materials+LaborUnits'!$D$46)/2</f>
        <v>251</v>
      </c>
      <c r="M22" s="6">
        <f>('Materials+LaborUnits'!$D$45+'Materials+LaborUnits'!$D$46)/2</f>
        <v>251</v>
      </c>
      <c r="N22" s="6">
        <f>('Materials+LaborUnits'!$D$47+'Materials+LaborUnits'!$D$48)/2</f>
        <v>1097</v>
      </c>
      <c r="O22" s="6"/>
      <c r="P22" s="6"/>
      <c r="Q22" s="6"/>
      <c r="R22" s="6"/>
    </row>
    <row r="23" spans="1:18" x14ac:dyDescent="0.25">
      <c r="A23" s="99">
        <v>21</v>
      </c>
      <c r="B23" t="s">
        <v>583</v>
      </c>
      <c r="C23" s="6" t="s">
        <v>32</v>
      </c>
      <c r="D23" s="6" t="s">
        <v>32</v>
      </c>
      <c r="E23" s="6" t="s">
        <v>32</v>
      </c>
      <c r="F23" s="6" t="s">
        <v>32</v>
      </c>
      <c r="G23" s="6" t="s">
        <v>32</v>
      </c>
      <c r="H23" s="6" t="s">
        <v>32</v>
      </c>
      <c r="I23" s="6" t="s">
        <v>32</v>
      </c>
      <c r="J23" s="6" t="s">
        <v>32</v>
      </c>
      <c r="K23" s="6" t="s">
        <v>32</v>
      </c>
      <c r="L23" s="6" t="s">
        <v>32</v>
      </c>
      <c r="M23" s="6" t="s">
        <v>32</v>
      </c>
      <c r="N23" s="6" t="s">
        <v>32</v>
      </c>
      <c r="O23" s="6"/>
      <c r="P23" s="6"/>
      <c r="Q23" s="6"/>
      <c r="R23" s="6"/>
    </row>
    <row r="24" spans="1:18" x14ac:dyDescent="0.25">
      <c r="A24" s="99">
        <v>22</v>
      </c>
      <c r="B24" t="s">
        <v>53</v>
      </c>
      <c r="C24" s="6">
        <f>Materials!$D$6</f>
        <v>9.59</v>
      </c>
      <c r="D24" s="6">
        <f>Materials!$D$6</f>
        <v>9.59</v>
      </c>
      <c r="E24" s="6">
        <f>Materials!$D$6</f>
        <v>9.59</v>
      </c>
      <c r="F24" s="6">
        <f>Materials!$D$6</f>
        <v>9.59</v>
      </c>
      <c r="G24" s="6">
        <f>Materials!$D$6</f>
        <v>9.59</v>
      </c>
      <c r="H24" s="6">
        <f>Materials!$D$6</f>
        <v>9.59</v>
      </c>
      <c r="I24" s="6">
        <f>Materials!$D$6</f>
        <v>9.59</v>
      </c>
      <c r="J24" s="6">
        <f>Materials!$D$6</f>
        <v>9.59</v>
      </c>
      <c r="K24" s="6">
        <f>Materials!$D$6</f>
        <v>9.59</v>
      </c>
      <c r="L24" s="6">
        <f>Materials!$D$6</f>
        <v>9.59</v>
      </c>
      <c r="M24" s="6">
        <f>Materials!$D$6</f>
        <v>9.59</v>
      </c>
      <c r="N24" s="6">
        <f>Materials!$D$6</f>
        <v>9.59</v>
      </c>
      <c r="O24" s="6"/>
      <c r="P24" s="6"/>
      <c r="Q24" s="6"/>
      <c r="R24" s="6"/>
    </row>
    <row r="25" spans="1:18" x14ac:dyDescent="0.25">
      <c r="A25" s="99">
        <v>23</v>
      </c>
      <c r="B25" t="s">
        <v>54</v>
      </c>
      <c r="C25" s="6">
        <f>Materials!$D$7</f>
        <v>1.55</v>
      </c>
      <c r="D25" s="6">
        <f>Materials!$D$7</f>
        <v>1.55</v>
      </c>
      <c r="E25" s="6">
        <f>Materials!$D$7</f>
        <v>1.55</v>
      </c>
      <c r="F25" s="6">
        <f>Materials!$D$7</f>
        <v>1.55</v>
      </c>
      <c r="G25" s="6">
        <f>Materials!$D$7</f>
        <v>1.55</v>
      </c>
      <c r="H25" s="6">
        <f>Materials!$D$7</f>
        <v>1.55</v>
      </c>
      <c r="I25" s="6">
        <f>Materials!$D$7</f>
        <v>1.55</v>
      </c>
      <c r="J25" s="6">
        <f>Materials!$D$7</f>
        <v>1.55</v>
      </c>
      <c r="K25" s="6">
        <f>Materials!$D$7</f>
        <v>1.55</v>
      </c>
      <c r="L25" s="6">
        <f>Materials!$D$7</f>
        <v>1.55</v>
      </c>
      <c r="M25" s="6">
        <f>Materials!$D$7</f>
        <v>1.55</v>
      </c>
      <c r="N25" s="6">
        <f>Materials!$D$7</f>
        <v>1.55</v>
      </c>
      <c r="O25" s="6"/>
      <c r="P25" s="6"/>
      <c r="Q25" s="6"/>
      <c r="R25" s="6"/>
    </row>
    <row r="26" spans="1:18" x14ac:dyDescent="0.25">
      <c r="A26" s="99">
        <v>24</v>
      </c>
      <c r="B26" t="s">
        <v>584</v>
      </c>
      <c r="C26" s="6">
        <f>Materials!$D$53*5</f>
        <v>1.55</v>
      </c>
      <c r="D26" s="6">
        <f>Materials!$D$53*5</f>
        <v>1.55</v>
      </c>
      <c r="E26" s="6">
        <f>Materials!$D$53*5</f>
        <v>1.55</v>
      </c>
      <c r="F26" s="6">
        <f>Materials!$D$53*5</f>
        <v>1.55</v>
      </c>
      <c r="G26" s="6">
        <f>Materials!$D$53*5</f>
        <v>1.55</v>
      </c>
      <c r="H26" s="6">
        <f>Materials!$D$53*5</f>
        <v>1.55</v>
      </c>
      <c r="I26" s="6">
        <f>Materials!$D$53*5</f>
        <v>1.55</v>
      </c>
      <c r="J26" s="6">
        <f>Materials!$D$53*5</f>
        <v>1.55</v>
      </c>
      <c r="K26" s="6">
        <f>Materials!$D$53*5</f>
        <v>1.55</v>
      </c>
      <c r="L26" s="6">
        <f>Materials!$D$53*5</f>
        <v>1.55</v>
      </c>
      <c r="M26" s="6">
        <f>Materials!$D$53*5</f>
        <v>1.55</v>
      </c>
      <c r="N26" s="6">
        <f>Materials!$D$53*5</f>
        <v>1.55</v>
      </c>
      <c r="O26" s="6"/>
      <c r="P26" s="6"/>
      <c r="Q26" s="6"/>
      <c r="R26" s="6"/>
    </row>
    <row r="27" spans="1:18" x14ac:dyDescent="0.25">
      <c r="A27" s="99">
        <v>25</v>
      </c>
      <c r="B27" t="s">
        <v>585</v>
      </c>
      <c r="C27" s="6" t="s">
        <v>32</v>
      </c>
      <c r="D27" s="6" t="s">
        <v>32</v>
      </c>
      <c r="E27" s="6" t="s">
        <v>32</v>
      </c>
      <c r="F27" s="6" t="s">
        <v>32</v>
      </c>
      <c r="G27" s="6" t="s">
        <v>32</v>
      </c>
      <c r="H27" s="6" t="s">
        <v>32</v>
      </c>
      <c r="I27" s="6" t="s">
        <v>32</v>
      </c>
      <c r="J27" s="6" t="s">
        <v>32</v>
      </c>
      <c r="K27" s="6" t="s">
        <v>32</v>
      </c>
      <c r="L27" s="6" t="s">
        <v>32</v>
      </c>
      <c r="M27" s="6" t="s">
        <v>32</v>
      </c>
      <c r="N27" s="6" t="s">
        <v>32</v>
      </c>
      <c r="O27" s="6"/>
      <c r="P27" s="6"/>
      <c r="Q27" s="6"/>
      <c r="R27" s="6"/>
    </row>
    <row r="28" spans="1:18" x14ac:dyDescent="0.25">
      <c r="A28" s="99">
        <v>26</v>
      </c>
      <c r="B28" t="s">
        <v>586</v>
      </c>
      <c r="C28" s="6">
        <f>Materials!$D$52*40</f>
        <v>9.6</v>
      </c>
      <c r="D28" s="6">
        <f>Materials!$D$52*40</f>
        <v>9.6</v>
      </c>
      <c r="E28" s="6">
        <f>Materials!$D$52*40</f>
        <v>9.6</v>
      </c>
      <c r="F28" s="6">
        <f>Materials!$D$52*40</f>
        <v>9.6</v>
      </c>
      <c r="G28" s="6">
        <f>Materials!$D$52*40</f>
        <v>9.6</v>
      </c>
      <c r="H28" s="6">
        <f>Materials!$D$52*40</f>
        <v>9.6</v>
      </c>
      <c r="I28" s="6">
        <f>Materials!$D$52*40</f>
        <v>9.6</v>
      </c>
      <c r="J28" s="6">
        <f>Materials!$D$52*40</f>
        <v>9.6</v>
      </c>
      <c r="K28" s="6">
        <f>Materials!$D$52*40</f>
        <v>9.6</v>
      </c>
      <c r="L28" s="6">
        <f>Materials!$D$52*20</f>
        <v>4.8</v>
      </c>
      <c r="M28" s="6">
        <f>Materials!$D$52*20</f>
        <v>4.8</v>
      </c>
      <c r="N28" s="6">
        <f>Materials!$D$52*20</f>
        <v>4.8</v>
      </c>
      <c r="O28" s="6"/>
      <c r="P28" s="6"/>
      <c r="Q28" s="6"/>
      <c r="R28" s="6"/>
    </row>
    <row r="29" spans="1:18" x14ac:dyDescent="0.25">
      <c r="A29" s="99">
        <v>27</v>
      </c>
      <c r="B29" t="s">
        <v>55</v>
      </c>
      <c r="C29" s="6">
        <f>Materials!$D$39</f>
        <v>0.62</v>
      </c>
      <c r="D29" s="6">
        <f>Materials!$D$39</f>
        <v>0.62</v>
      </c>
      <c r="E29" s="6">
        <f>Materials!$D$39</f>
        <v>0.62</v>
      </c>
      <c r="F29" s="6">
        <f>Materials!$D$39</f>
        <v>0.62</v>
      </c>
      <c r="G29" s="6">
        <f>Materials!$D$39</f>
        <v>0.62</v>
      </c>
      <c r="H29" s="6">
        <f>Materials!$D$39</f>
        <v>0.62</v>
      </c>
      <c r="I29" s="6">
        <f>Materials!$D$39</f>
        <v>0.62</v>
      </c>
      <c r="J29" s="6">
        <f>Materials!$D$39</f>
        <v>0.62</v>
      </c>
      <c r="K29" s="6">
        <f>Materials!$D$39</f>
        <v>0.62</v>
      </c>
      <c r="L29" s="6">
        <f>Materials!$D$39</f>
        <v>0.62</v>
      </c>
      <c r="M29" s="6">
        <f>Materials!$D$39</f>
        <v>0.62</v>
      </c>
      <c r="N29" s="6">
        <f>Materials!$D$39</f>
        <v>0.62</v>
      </c>
      <c r="O29" s="6"/>
      <c r="P29" s="6"/>
      <c r="Q29" s="6"/>
      <c r="R29" s="6"/>
    </row>
    <row r="30" spans="1:18" x14ac:dyDescent="0.25">
      <c r="A30" s="99">
        <v>28</v>
      </c>
      <c r="B30" t="s">
        <v>587</v>
      </c>
      <c r="C30" s="6">
        <f>SUM(Materials!$D$4:$D$5)</f>
        <v>34.18</v>
      </c>
      <c r="D30" s="6">
        <f>SUM(Materials!$D$4:$D$5)</f>
        <v>34.18</v>
      </c>
      <c r="E30" s="6">
        <f>SUM(Materials!$D$4:$D$5)</f>
        <v>34.18</v>
      </c>
      <c r="F30" s="6">
        <f>SUM(Materials!$D$4:$D$5)</f>
        <v>34.18</v>
      </c>
      <c r="G30" s="6">
        <f>SUM(Materials!$D$4:$D$5)</f>
        <v>34.18</v>
      </c>
      <c r="H30" s="6">
        <f>SUM(Materials!$D$4:$D$5)</f>
        <v>34.18</v>
      </c>
      <c r="I30" s="6">
        <f>SUM(Materials!$D$4:$D$5)</f>
        <v>34.18</v>
      </c>
      <c r="J30" s="6">
        <f>SUM(Materials!$D$4:$D$5)</f>
        <v>34.18</v>
      </c>
      <c r="K30" s="6">
        <f>SUM(Materials!$D$4:$D$5)</f>
        <v>34.18</v>
      </c>
      <c r="L30" s="6">
        <f>SUM(Materials!$D$4:$D$5)</f>
        <v>34.18</v>
      </c>
      <c r="M30" s="6">
        <f>SUM(Materials!$D$4:$D$5)</f>
        <v>34.18</v>
      </c>
      <c r="N30" s="6">
        <f>SUM(Materials!$D$4:$D$5)</f>
        <v>34.18</v>
      </c>
      <c r="O30" s="6"/>
      <c r="P30" s="6"/>
      <c r="Q30" s="6"/>
      <c r="R30" s="6"/>
    </row>
    <row r="31" spans="1:18" x14ac:dyDescent="0.25">
      <c r="A31" s="99">
        <v>29</v>
      </c>
      <c r="B31" t="s">
        <v>588</v>
      </c>
      <c r="C31" s="6" t="s">
        <v>32</v>
      </c>
      <c r="D31" s="6" t="s">
        <v>32</v>
      </c>
      <c r="E31" s="6" t="s">
        <v>32</v>
      </c>
      <c r="F31" s="6" t="s">
        <v>32</v>
      </c>
      <c r="G31" s="6" t="s">
        <v>32</v>
      </c>
      <c r="H31" s="6" t="s">
        <v>32</v>
      </c>
      <c r="I31" s="6" t="s">
        <v>32</v>
      </c>
      <c r="J31" s="6" t="s">
        <v>32</v>
      </c>
      <c r="K31" s="6" t="s">
        <v>32</v>
      </c>
      <c r="L31" s="6" t="s">
        <v>32</v>
      </c>
      <c r="M31" s="6" t="s">
        <v>32</v>
      </c>
      <c r="N31" s="6" t="s">
        <v>32</v>
      </c>
      <c r="O31" s="6"/>
      <c r="P31" s="6"/>
      <c r="Q31" s="6"/>
      <c r="R31" s="6"/>
    </row>
    <row r="32" spans="1:18" x14ac:dyDescent="0.25">
      <c r="A32" s="99">
        <v>30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32" x14ac:dyDescent="0.25">
      <c r="A33" s="99">
        <v>31</v>
      </c>
      <c r="B33" s="3" t="s">
        <v>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32" x14ac:dyDescent="0.25">
      <c r="A34" s="99">
        <v>32</v>
      </c>
      <c r="B34" t="s">
        <v>589</v>
      </c>
      <c r="C34" s="6">
        <f>Materials!$D$52*200</f>
        <v>48</v>
      </c>
      <c r="D34" s="6">
        <f>Materials!$D$52*200</f>
        <v>48</v>
      </c>
      <c r="E34" s="6">
        <f>Materials!$D$52*200</f>
        <v>48</v>
      </c>
      <c r="F34" s="6">
        <f>Materials!$D$52*200</f>
        <v>48</v>
      </c>
      <c r="G34" s="6">
        <f>Materials!$D$52*200</f>
        <v>48</v>
      </c>
      <c r="H34" s="6">
        <f>Materials!$D$52*200</f>
        <v>48</v>
      </c>
      <c r="I34" s="6">
        <f>Materials!$D$52*200</f>
        <v>48</v>
      </c>
      <c r="J34" s="6">
        <f>Materials!$D$52*200</f>
        <v>48</v>
      </c>
      <c r="K34" s="6">
        <f>Materials!$D$52*200</f>
        <v>48</v>
      </c>
      <c r="L34" s="6">
        <f>Materials!$D$52*200</f>
        <v>48</v>
      </c>
      <c r="M34" s="6">
        <f>Materials!$D$52*200</f>
        <v>48</v>
      </c>
      <c r="N34" s="6">
        <f>Materials!$D$52*200</f>
        <v>48</v>
      </c>
      <c r="O34" s="6"/>
      <c r="P34" s="6"/>
      <c r="Q34" s="6"/>
      <c r="R34" s="6"/>
    </row>
    <row r="35" spans="1:32" x14ac:dyDescent="0.25">
      <c r="A35" s="99">
        <v>33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32" x14ac:dyDescent="0.25">
      <c r="A36" s="99">
        <v>34</v>
      </c>
      <c r="B36" s="3" t="s">
        <v>590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32" x14ac:dyDescent="0.25">
      <c r="A37" s="99">
        <v>35</v>
      </c>
      <c r="B37" t="s">
        <v>68</v>
      </c>
      <c r="C37" s="6">
        <f>(Materials!$D$47*3)/4</f>
        <v>0.16500000000000001</v>
      </c>
      <c r="D37" s="6">
        <f>(Materials!$D$47*3)/4</f>
        <v>0.16500000000000001</v>
      </c>
      <c r="E37" s="6">
        <f>(Materials!$D$47*3)/4</f>
        <v>0.16500000000000001</v>
      </c>
      <c r="F37" s="6">
        <f>(Materials!$D$47*3)/4</f>
        <v>0.16500000000000001</v>
      </c>
      <c r="G37" s="6">
        <f>(Materials!$D$47*3)/4</f>
        <v>0.16500000000000001</v>
      </c>
      <c r="H37" s="6">
        <f>(Materials!$D$47*3)/4</f>
        <v>0.16500000000000001</v>
      </c>
      <c r="I37" s="6">
        <f>(Materials!$D$47*3)/4</f>
        <v>0.16500000000000001</v>
      </c>
      <c r="J37" s="6">
        <f>(Materials!$D$47*3)/4</f>
        <v>0.16500000000000001</v>
      </c>
      <c r="K37" s="6">
        <f>(Materials!$D$47*3)/4</f>
        <v>0.16500000000000001</v>
      </c>
      <c r="L37" s="6">
        <f>(Materials!$D$47*3)/4</f>
        <v>0.16500000000000001</v>
      </c>
      <c r="M37" s="6">
        <f>(Materials!$D$47*3)/4</f>
        <v>0.16500000000000001</v>
      </c>
      <c r="N37" s="6">
        <f>(Materials!$D$47*3)/4</f>
        <v>0.16500000000000001</v>
      </c>
      <c r="O37" s="6"/>
      <c r="P37" s="6"/>
      <c r="Q37" s="6"/>
      <c r="R37" s="6"/>
    </row>
    <row r="38" spans="1:32" x14ac:dyDescent="0.25">
      <c r="A38" s="99">
        <v>36</v>
      </c>
      <c r="B38" t="s">
        <v>69</v>
      </c>
      <c r="C38" s="6">
        <f>(Materials!$D$48*3)/4</f>
        <v>10.154999999999999</v>
      </c>
      <c r="D38" s="6">
        <f>(Materials!$D$48*3)/4</f>
        <v>10.154999999999999</v>
      </c>
      <c r="E38" s="6">
        <f>(Materials!$D$48*3)/4</f>
        <v>10.154999999999999</v>
      </c>
      <c r="F38" s="6">
        <f>(Materials!$D$48*3)/4</f>
        <v>10.154999999999999</v>
      </c>
      <c r="G38" s="6">
        <f>(Materials!$D$48*3)/4</f>
        <v>10.154999999999999</v>
      </c>
      <c r="H38" s="6">
        <f>(Materials!$D$48*3)/4</f>
        <v>10.154999999999999</v>
      </c>
      <c r="I38" s="6">
        <f>(Materials!$D$48*3)/4</f>
        <v>10.154999999999999</v>
      </c>
      <c r="J38" s="6">
        <f>(Materials!$D$48*3)/4</f>
        <v>10.154999999999999</v>
      </c>
      <c r="K38" s="6">
        <f>(Materials!$D$48*3)/4</f>
        <v>10.154999999999999</v>
      </c>
      <c r="L38" s="6">
        <f>(Materials!$D$48*3)/4</f>
        <v>10.154999999999999</v>
      </c>
      <c r="M38" s="6">
        <f>(Materials!$D$48*3)/4</f>
        <v>10.154999999999999</v>
      </c>
      <c r="N38" s="6">
        <f>(Materials!$D$48*3)/4</f>
        <v>10.154999999999999</v>
      </c>
      <c r="O38" s="6"/>
      <c r="P38" s="6"/>
      <c r="Q38" s="6"/>
      <c r="R38" s="6"/>
    </row>
    <row r="39" spans="1:32" x14ac:dyDescent="0.25">
      <c r="A39" s="99">
        <v>37</v>
      </c>
      <c r="B39" t="s">
        <v>70</v>
      </c>
      <c r="C39" s="6">
        <f>(Materials!$D$3*30)/4</f>
        <v>2.4</v>
      </c>
      <c r="D39" s="6">
        <f>(Materials!$D$3*30)/4</f>
        <v>2.4</v>
      </c>
      <c r="E39" s="6">
        <f>(Materials!$D$3*30)/4</f>
        <v>2.4</v>
      </c>
      <c r="F39" s="6">
        <f>(Materials!$D$3*30)/4</f>
        <v>2.4</v>
      </c>
      <c r="G39" s="6">
        <f>(Materials!$D$3*30)/4</f>
        <v>2.4</v>
      </c>
      <c r="H39" s="6">
        <f>(Materials!$D$3*30)/4</f>
        <v>2.4</v>
      </c>
      <c r="I39" s="6">
        <f>(Materials!$D$3*30)/4</f>
        <v>2.4</v>
      </c>
      <c r="J39" s="6">
        <f>(Materials!$D$3*30)/4</f>
        <v>2.4</v>
      </c>
      <c r="K39" s="6">
        <f>(Materials!$D$3*30)/4</f>
        <v>2.4</v>
      </c>
      <c r="L39" s="6">
        <f>(Materials!$D$3*30)/4</f>
        <v>2.4</v>
      </c>
      <c r="M39" s="6">
        <f>(Materials!$D$3*30)/4</f>
        <v>2.4</v>
      </c>
      <c r="N39" s="6">
        <f>(Materials!$D$3*30)/4</f>
        <v>2.4</v>
      </c>
      <c r="O39" s="6"/>
      <c r="P39" s="6"/>
      <c r="Q39" s="6"/>
      <c r="R39" s="6"/>
    </row>
    <row r="40" spans="1:32" x14ac:dyDescent="0.25">
      <c r="A40" s="99">
        <v>38</v>
      </c>
      <c r="B40" t="s">
        <v>55</v>
      </c>
      <c r="C40" s="6">
        <f>Materials!$D$39/4</f>
        <v>0.155</v>
      </c>
      <c r="D40" s="6">
        <f>Materials!$D$39/4</f>
        <v>0.155</v>
      </c>
      <c r="E40" s="6">
        <f>Materials!$D$39/4</f>
        <v>0.155</v>
      </c>
      <c r="F40" s="6">
        <f>Materials!$D$39/4</f>
        <v>0.155</v>
      </c>
      <c r="G40" s="6">
        <f>Materials!$D$39/4</f>
        <v>0.155</v>
      </c>
      <c r="H40" s="6">
        <f>Materials!$D$39/4</f>
        <v>0.155</v>
      </c>
      <c r="I40" s="6">
        <f>Materials!$D$39/4</f>
        <v>0.155</v>
      </c>
      <c r="J40" s="6">
        <f>Materials!$D$39/4</f>
        <v>0.155</v>
      </c>
      <c r="K40" s="6">
        <f>Materials!$D$39/4</f>
        <v>0.155</v>
      </c>
      <c r="L40" s="6">
        <f>Materials!$D$39/4</f>
        <v>0.155</v>
      </c>
      <c r="M40" s="6">
        <f>Materials!$D$39/4</f>
        <v>0.155</v>
      </c>
      <c r="N40" s="6">
        <f>Materials!$D$39/4</f>
        <v>0.155</v>
      </c>
      <c r="O40" s="6"/>
      <c r="P40" s="6"/>
      <c r="Q40" s="6"/>
      <c r="R40" s="6"/>
    </row>
    <row r="41" spans="1:32" x14ac:dyDescent="0.25">
      <c r="A41" s="99">
        <v>39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32" x14ac:dyDescent="0.25">
      <c r="A42" s="99">
        <v>40</v>
      </c>
      <c r="B42" s="2" t="s">
        <v>39</v>
      </c>
      <c r="C42" s="19">
        <f t="shared" ref="C42:N42" si="0">SUM(C37:C40,C34,C22:C31,C18:C19,C13:C15)</f>
        <v>952.81499999999994</v>
      </c>
      <c r="D42" s="19">
        <f t="shared" si="0"/>
        <v>958.31499999999994</v>
      </c>
      <c r="E42" s="19">
        <f t="shared" si="0"/>
        <v>1013.3149999999999</v>
      </c>
      <c r="F42" s="19">
        <f t="shared" si="0"/>
        <v>1112.3150000000001</v>
      </c>
      <c r="G42" s="19">
        <f t="shared" si="0"/>
        <v>1064.0183333333334</v>
      </c>
      <c r="H42" s="19">
        <f t="shared" si="0"/>
        <v>1091.5183333333334</v>
      </c>
      <c r="I42" s="19">
        <f t="shared" si="0"/>
        <v>1117.9183333333333</v>
      </c>
      <c r="J42" s="19">
        <f t="shared" si="0"/>
        <v>1284.0183333333334</v>
      </c>
      <c r="K42" s="19">
        <f t="shared" si="0"/>
        <v>1504.0183333333334</v>
      </c>
      <c r="L42" s="19">
        <f t="shared" si="0"/>
        <v>695.7650000000001</v>
      </c>
      <c r="M42" s="19">
        <f t="shared" si="0"/>
        <v>793.66500000000008</v>
      </c>
      <c r="N42" s="19">
        <f t="shared" si="0"/>
        <v>1639.6649999999997</v>
      </c>
      <c r="O42" s="19"/>
      <c r="P42" s="19"/>
      <c r="Q42" s="19"/>
      <c r="R42" s="19"/>
    </row>
    <row r="43" spans="1:32" x14ac:dyDescent="0.25">
      <c r="A43" s="99">
        <v>41</v>
      </c>
      <c r="B43" s="2" t="s">
        <v>40</v>
      </c>
      <c r="C43" s="20">
        <f>1+'Materials+LaborUnits'!$D$49</f>
        <v>1.2886</v>
      </c>
      <c r="D43" s="20">
        <f>1+'Materials+LaborUnits'!$D$49</f>
        <v>1.2886</v>
      </c>
      <c r="E43" s="20">
        <f>1+'Materials+LaborUnits'!$D$49</f>
        <v>1.2886</v>
      </c>
      <c r="F43" s="20">
        <f>1+'Materials+LaborUnits'!$D$49</f>
        <v>1.2886</v>
      </c>
      <c r="G43" s="20">
        <f>1+'Materials+LaborUnits'!$D$49</f>
        <v>1.2886</v>
      </c>
      <c r="H43" s="20">
        <f>1+'Materials+LaborUnits'!$D$49</f>
        <v>1.2886</v>
      </c>
      <c r="I43" s="20">
        <f>1+'Materials+LaborUnits'!$D$49</f>
        <v>1.2886</v>
      </c>
      <c r="J43" s="20">
        <f>1+'Materials+LaborUnits'!$D$49</f>
        <v>1.2886</v>
      </c>
      <c r="K43" s="20">
        <f>1+'Materials+LaborUnits'!$D$49</f>
        <v>1.2886</v>
      </c>
      <c r="L43" s="20">
        <f>1+'Materials+LaborUnits'!$D$49</f>
        <v>1.2886</v>
      </c>
      <c r="M43" s="20">
        <f>1+'Materials+LaborUnits'!$D$49</f>
        <v>1.2886</v>
      </c>
      <c r="N43" s="20">
        <f>1+'Materials+LaborUnits'!$D$49</f>
        <v>1.2886</v>
      </c>
      <c r="O43" s="20">
        <f>1+'Materials+LaborUnits'!$D$49</f>
        <v>1.2886</v>
      </c>
      <c r="P43" s="20">
        <f>1+'Materials+LaborUnits'!$D$49</f>
        <v>1.2886</v>
      </c>
      <c r="Q43" s="20">
        <f>1+'Materials+LaborUnits'!$D$49</f>
        <v>1.2886</v>
      </c>
      <c r="R43" s="20">
        <f>1+'Materials+LaborUnits'!$D$49</f>
        <v>1.2886</v>
      </c>
    </row>
    <row r="44" spans="1:32" x14ac:dyDescent="0.25">
      <c r="A44" s="99">
        <v>42</v>
      </c>
      <c r="B44" s="1" t="s">
        <v>43</v>
      </c>
      <c r="C44" s="19">
        <f t="shared" ref="C44:N44" si="1">C42*C43</f>
        <v>1227.7974089999998</v>
      </c>
      <c r="D44" s="19">
        <f t="shared" si="1"/>
        <v>1234.8847089999999</v>
      </c>
      <c r="E44" s="19">
        <f t="shared" si="1"/>
        <v>1305.757709</v>
      </c>
      <c r="F44" s="19">
        <f t="shared" si="1"/>
        <v>1433.329109</v>
      </c>
      <c r="G44" s="19">
        <f t="shared" si="1"/>
        <v>1371.0940243333334</v>
      </c>
      <c r="H44" s="19">
        <f t="shared" si="1"/>
        <v>1406.5305243333335</v>
      </c>
      <c r="I44" s="19">
        <f t="shared" si="1"/>
        <v>1440.5495643333331</v>
      </c>
      <c r="J44" s="19">
        <f t="shared" si="1"/>
        <v>1654.5860243333334</v>
      </c>
      <c r="K44" s="19">
        <f t="shared" si="1"/>
        <v>1938.0780243333334</v>
      </c>
      <c r="L44" s="19">
        <f t="shared" si="1"/>
        <v>896.56277900000009</v>
      </c>
      <c r="M44" s="19">
        <f t="shared" si="1"/>
        <v>1022.7167190000001</v>
      </c>
      <c r="N44" s="19">
        <f t="shared" si="1"/>
        <v>2112.8723189999996</v>
      </c>
      <c r="O44" s="19"/>
      <c r="P44" s="19"/>
      <c r="Q44" s="19"/>
      <c r="R44" s="19"/>
      <c r="AF44" s="366"/>
    </row>
    <row r="45" spans="1:32" x14ac:dyDescent="0.25">
      <c r="A45" s="99">
        <v>43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2" x14ac:dyDescent="0.25">
      <c r="A46" s="99">
        <v>44</v>
      </c>
      <c r="B46" s="3" t="s">
        <v>8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2" x14ac:dyDescent="0.25">
      <c r="A47" s="99">
        <v>45</v>
      </c>
      <c r="B47" t="s">
        <v>44</v>
      </c>
      <c r="C47" s="19">
        <f>'Materials+LaborUnits'!$D$50</f>
        <v>92.5</v>
      </c>
      <c r="D47" s="19">
        <f>'Materials+LaborUnits'!$D$50</f>
        <v>92.5</v>
      </c>
      <c r="E47" s="19">
        <f>'Materials+LaborUnits'!$D$50</f>
        <v>92.5</v>
      </c>
      <c r="F47" s="19">
        <f>'Materials+LaborUnits'!$D$50</f>
        <v>92.5</v>
      </c>
      <c r="G47" s="19">
        <f>'Materials+LaborUnits'!$D$50</f>
        <v>92.5</v>
      </c>
      <c r="H47" s="19">
        <f>'Materials+LaborUnits'!$D$50</f>
        <v>92.5</v>
      </c>
      <c r="I47" s="19">
        <f>'Materials+LaborUnits'!$D$50</f>
        <v>92.5</v>
      </c>
      <c r="J47" s="19">
        <f>'Materials+LaborUnits'!$D$50</f>
        <v>92.5</v>
      </c>
      <c r="K47" s="19">
        <f>'Materials+LaborUnits'!$D$50</f>
        <v>92.5</v>
      </c>
      <c r="L47" s="19">
        <f>'Materials+LaborUnits'!$D$50</f>
        <v>92.5</v>
      </c>
      <c r="M47" s="19">
        <f>'Materials+LaborUnits'!$D$50</f>
        <v>92.5</v>
      </c>
      <c r="N47" s="19">
        <f>'Materials+LaborUnits'!$D$50</f>
        <v>92.5</v>
      </c>
      <c r="O47" s="19">
        <f>'Materials+LaborUnits'!$D$50</f>
        <v>92.5</v>
      </c>
      <c r="P47" s="19">
        <f>'Materials+LaborUnits'!$D$50</f>
        <v>92.5</v>
      </c>
      <c r="Q47" s="19">
        <f>'Materials+LaborUnits'!$D$50</f>
        <v>92.5</v>
      </c>
      <c r="R47" s="19">
        <f>'Materials+LaborUnits'!$D$50</f>
        <v>92.5</v>
      </c>
    </row>
    <row r="48" spans="1:32" x14ac:dyDescent="0.25">
      <c r="A48" s="99">
        <v>46</v>
      </c>
      <c r="B48" t="s">
        <v>45</v>
      </c>
      <c r="C48" s="19">
        <f>'Materials+LaborUnits'!$D$53*200</f>
        <v>186</v>
      </c>
      <c r="D48" s="19">
        <f>'Materials+LaborUnits'!$D$53*200</f>
        <v>186</v>
      </c>
      <c r="E48" s="19">
        <f>'Materials+LaborUnits'!$D$53*200</f>
        <v>186</v>
      </c>
      <c r="F48" s="19">
        <f>'Materials+LaborUnits'!$D$53*200</f>
        <v>186</v>
      </c>
      <c r="G48" s="19">
        <f>'Materials+LaborUnits'!$D$53*200</f>
        <v>186</v>
      </c>
      <c r="H48" s="19">
        <f>'Materials+LaborUnits'!$D$53*200</f>
        <v>186</v>
      </c>
      <c r="I48" s="19">
        <f>'Materials+LaborUnits'!$D$53*200</f>
        <v>186</v>
      </c>
      <c r="J48" s="19">
        <f>'Materials+LaborUnits'!$D$53*200</f>
        <v>186</v>
      </c>
      <c r="K48" s="19">
        <f>'Materials+LaborUnits'!$D$53*200</f>
        <v>186</v>
      </c>
      <c r="L48" s="19">
        <f>'Materials+LaborUnits'!$D$53*200</f>
        <v>186</v>
      </c>
      <c r="M48" s="19">
        <f>'Materials+LaborUnits'!$D$53*200</f>
        <v>186</v>
      </c>
      <c r="N48" s="19">
        <f>'Materials+LaborUnits'!$D$53*200</f>
        <v>186</v>
      </c>
      <c r="O48" s="19"/>
      <c r="P48" s="19"/>
      <c r="Q48" s="19"/>
      <c r="R48" s="19"/>
    </row>
    <row r="49" spans="1:18" x14ac:dyDescent="0.25">
      <c r="A49" s="99">
        <v>47</v>
      </c>
      <c r="B49" t="s">
        <v>181</v>
      </c>
      <c r="C49" s="19">
        <f>('Materials+LaborUnits'!$D$56+'Materials+LaborUnits'!$D$57)/2</f>
        <v>183.60000000000002</v>
      </c>
      <c r="D49" s="19">
        <f>('Materials+LaborUnits'!$D$56+'Materials+LaborUnits'!$D$57)/2</f>
        <v>183.60000000000002</v>
      </c>
      <c r="E49" s="19">
        <f>('Materials+LaborUnits'!$D$56+'Materials+LaborUnits'!$D$57)/2</f>
        <v>183.60000000000002</v>
      </c>
      <c r="F49" s="19">
        <f>('Materials+LaborUnits'!$D$56+'Materials+LaborUnits'!$D$57)/2</f>
        <v>183.60000000000002</v>
      </c>
      <c r="G49" s="19">
        <f>('Materials+LaborUnits'!$D$56+'Materials+LaborUnits'!$D$56+'Materials+LaborUnits'!$D$57)/3</f>
        <v>192.83333333333334</v>
      </c>
      <c r="H49" s="19">
        <f>('Materials+LaborUnits'!$D$56+'Materials+LaborUnits'!$D$56+'Materials+LaborUnits'!$D$57)/3</f>
        <v>192.83333333333334</v>
      </c>
      <c r="I49" s="19">
        <f>('Materials+LaborUnits'!$D$56+'Materials+LaborUnits'!$D$56+'Materials+LaborUnits'!$D$57)/3</f>
        <v>192.83333333333334</v>
      </c>
      <c r="J49" s="19">
        <f>('Materials+LaborUnits'!$D$56+'Materials+LaborUnits'!$D$56+'Materials+LaborUnits'!$D$57)/3</f>
        <v>192.83333333333334</v>
      </c>
      <c r="K49" s="19">
        <f>('Materials+LaborUnits'!$D$56+'Materials+LaborUnits'!$D$56+'Materials+LaborUnits'!$D$57)/3</f>
        <v>192.83333333333334</v>
      </c>
      <c r="L49" s="19">
        <f>('Materials+LaborUnits'!$D$58+'Materials+LaborUnits'!$D$59)/2</f>
        <v>125.75</v>
      </c>
      <c r="M49" s="19">
        <f>('Materials+LaborUnits'!$D$58+'Materials+LaborUnits'!$D$59)/2</f>
        <v>125.75</v>
      </c>
      <c r="N49" s="19">
        <f>('Materials+LaborUnits'!$D$58+'Materials+LaborUnits'!$D$59)/2</f>
        <v>125.75</v>
      </c>
      <c r="O49" s="19"/>
      <c r="P49" s="19"/>
      <c r="Q49" s="19"/>
      <c r="R49" s="19"/>
    </row>
    <row r="50" spans="1:18" x14ac:dyDescent="0.25">
      <c r="A50" s="99">
        <v>48</v>
      </c>
      <c r="B50" s="2" t="s">
        <v>177</v>
      </c>
      <c r="C50" s="19">
        <f>'Materials+LaborUnits'!$D$60/2</f>
        <v>148.47499999999999</v>
      </c>
      <c r="D50" s="19">
        <f>'Materials+LaborUnits'!$D$60/2</f>
        <v>148.47499999999999</v>
      </c>
      <c r="E50" s="19">
        <f>'Materials+LaborUnits'!$D$60/2</f>
        <v>148.47499999999999</v>
      </c>
      <c r="F50" s="19">
        <f>'Materials+LaborUnits'!$D$60/2</f>
        <v>148.47499999999999</v>
      </c>
      <c r="G50" s="19">
        <f>'Materials+LaborUnits'!$D$60/3</f>
        <v>98.983333333333334</v>
      </c>
      <c r="H50" s="19">
        <f>'Materials+LaborUnits'!$D$60/3</f>
        <v>98.983333333333334</v>
      </c>
      <c r="I50" s="19">
        <f>'Materials+LaborUnits'!$D$60/3</f>
        <v>98.983333333333334</v>
      </c>
      <c r="J50" s="19">
        <f>'Materials+LaborUnits'!$D$60/3</f>
        <v>98.983333333333334</v>
      </c>
      <c r="K50" s="19">
        <f>'Materials+LaborUnits'!$D$60/3</f>
        <v>98.983333333333334</v>
      </c>
      <c r="L50" s="19">
        <f>'Materials+LaborUnits'!$D$60/2</f>
        <v>148.47499999999999</v>
      </c>
      <c r="M50" s="19">
        <f>'Materials+LaborUnits'!$D$60/2</f>
        <v>148.47499999999999</v>
      </c>
      <c r="N50" s="19">
        <f>'Materials+LaborUnits'!$D$60/2</f>
        <v>148.47499999999999</v>
      </c>
      <c r="O50" s="19"/>
      <c r="P50" s="19"/>
      <c r="Q50" s="19"/>
      <c r="R50" s="19"/>
    </row>
    <row r="51" spans="1:18" x14ac:dyDescent="0.25">
      <c r="A51" s="99">
        <v>49</v>
      </c>
      <c r="B51" t="s">
        <v>56</v>
      </c>
      <c r="C51" s="19">
        <f>'Materials+LaborUnits'!$D$54</f>
        <v>40.5</v>
      </c>
      <c r="D51" s="19">
        <f>'Materials+LaborUnits'!$D$54</f>
        <v>40.5</v>
      </c>
      <c r="E51" s="19">
        <f>'Materials+LaborUnits'!$D$54</f>
        <v>40.5</v>
      </c>
      <c r="F51" s="19">
        <f>'Materials+LaborUnits'!$D$54</f>
        <v>40.5</v>
      </c>
      <c r="G51" s="19">
        <f>'Materials+LaborUnits'!$D$54</f>
        <v>40.5</v>
      </c>
      <c r="H51" s="19">
        <f>'Materials+LaborUnits'!$D$54</f>
        <v>40.5</v>
      </c>
      <c r="I51" s="19">
        <f>'Materials+LaborUnits'!$D$54</f>
        <v>40.5</v>
      </c>
      <c r="J51" s="19">
        <f>'Materials+LaborUnits'!$D$54</f>
        <v>40.5</v>
      </c>
      <c r="K51" s="19">
        <f>'Materials+LaborUnits'!$D$54</f>
        <v>40.5</v>
      </c>
      <c r="L51" s="19">
        <f>'Materials+LaborUnits'!$D$54</f>
        <v>40.5</v>
      </c>
      <c r="M51" s="19">
        <f>'Materials+LaborUnits'!$D$54</f>
        <v>40.5</v>
      </c>
      <c r="N51" s="19">
        <f>'Materials+LaborUnits'!$D$54</f>
        <v>40.5</v>
      </c>
      <c r="O51" s="19"/>
      <c r="P51" s="19"/>
      <c r="Q51" s="19"/>
      <c r="R51" s="19"/>
    </row>
    <row r="52" spans="1:18" x14ac:dyDescent="0.25">
      <c r="A52" s="99">
        <v>50</v>
      </c>
      <c r="B52" t="s">
        <v>57</v>
      </c>
      <c r="C52" s="19">
        <f>'Materials+LaborUnits'!$D$55</f>
        <v>60</v>
      </c>
      <c r="D52" s="19">
        <f>'Materials+LaborUnits'!$D$55</f>
        <v>60</v>
      </c>
      <c r="E52" s="19">
        <f>'Materials+LaborUnits'!$D$55</f>
        <v>60</v>
      </c>
      <c r="F52" s="19">
        <f>'Materials+LaborUnits'!$D$55</f>
        <v>60</v>
      </c>
      <c r="G52" s="19">
        <f>'Materials+LaborUnits'!$D$55</f>
        <v>60</v>
      </c>
      <c r="H52" s="19">
        <f>'Materials+LaborUnits'!$D$55</f>
        <v>60</v>
      </c>
      <c r="I52" s="19">
        <f>'Materials+LaborUnits'!$D$55</f>
        <v>60</v>
      </c>
      <c r="J52" s="19">
        <f>'Materials+LaborUnits'!$D$55</f>
        <v>60</v>
      </c>
      <c r="K52" s="19">
        <f>'Materials+LaborUnits'!$D$55</f>
        <v>60</v>
      </c>
      <c r="L52" s="19">
        <f>'Materials+LaborUnits'!$D$55</f>
        <v>60</v>
      </c>
      <c r="M52" s="19">
        <f>'Materials+LaborUnits'!$D$55</f>
        <v>60</v>
      </c>
      <c r="N52" s="19">
        <f>'Materials+LaborUnits'!$D$55</f>
        <v>60</v>
      </c>
      <c r="O52" s="19"/>
      <c r="P52" s="19"/>
      <c r="Q52" s="19"/>
      <c r="R52" s="19"/>
    </row>
    <row r="53" spans="1:18" x14ac:dyDescent="0.25">
      <c r="A53" s="99">
        <v>51</v>
      </c>
      <c r="B53" t="s">
        <v>179</v>
      </c>
      <c r="C53" s="19">
        <f>'Materials+LaborUnits'!$D$61</f>
        <v>47.5</v>
      </c>
      <c r="D53" s="19">
        <f>'Materials+LaborUnits'!$D$61</f>
        <v>47.5</v>
      </c>
      <c r="E53" s="19">
        <f>'Materials+LaborUnits'!$D$61</f>
        <v>47.5</v>
      </c>
      <c r="F53" s="19">
        <f>'Materials+LaborUnits'!$D$61</f>
        <v>47.5</v>
      </c>
      <c r="G53" s="19">
        <f>'Materials+LaborUnits'!$D$61</f>
        <v>47.5</v>
      </c>
      <c r="H53" s="19">
        <f>'Materials+LaborUnits'!$D$61</f>
        <v>47.5</v>
      </c>
      <c r="I53" s="19">
        <f>'Materials+LaborUnits'!$D$61</f>
        <v>47.5</v>
      </c>
      <c r="J53" s="19">
        <f>'Materials+LaborUnits'!$D$61</f>
        <v>47.5</v>
      </c>
      <c r="K53" s="19">
        <f>'Materials+LaborUnits'!$D$61</f>
        <v>47.5</v>
      </c>
      <c r="L53" s="19">
        <f>'Materials+LaborUnits'!$D$61</f>
        <v>47.5</v>
      </c>
      <c r="M53" s="19">
        <f>'Materials+LaborUnits'!$D$61</f>
        <v>47.5</v>
      </c>
      <c r="N53" s="19">
        <f>'Materials+LaborUnits'!$D$61</f>
        <v>47.5</v>
      </c>
      <c r="O53" s="19"/>
      <c r="P53" s="19"/>
      <c r="Q53" s="19"/>
      <c r="R53" s="19"/>
    </row>
    <row r="54" spans="1:18" x14ac:dyDescent="0.25">
      <c r="A54" s="99">
        <v>52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x14ac:dyDescent="0.25">
      <c r="A55" s="99">
        <v>53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x14ac:dyDescent="0.25">
      <c r="A56" s="99">
        <v>54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x14ac:dyDescent="0.25">
      <c r="A57" s="99">
        <v>55</v>
      </c>
      <c r="B57" t="s">
        <v>46</v>
      </c>
      <c r="C57" s="19">
        <f>SUM(C47:C53)</f>
        <v>758.57500000000005</v>
      </c>
      <c r="D57" s="19">
        <f t="shared" ref="D57:N57" si="2">SUM(D47:D53)</f>
        <v>758.57500000000005</v>
      </c>
      <c r="E57" s="19">
        <f t="shared" si="2"/>
        <v>758.57500000000005</v>
      </c>
      <c r="F57" s="19">
        <f t="shared" si="2"/>
        <v>758.57500000000005</v>
      </c>
      <c r="G57" s="19">
        <f t="shared" si="2"/>
        <v>718.31666666666672</v>
      </c>
      <c r="H57" s="19">
        <f t="shared" si="2"/>
        <v>718.31666666666672</v>
      </c>
      <c r="I57" s="19">
        <f t="shared" si="2"/>
        <v>718.31666666666672</v>
      </c>
      <c r="J57" s="19">
        <f t="shared" si="2"/>
        <v>718.31666666666672</v>
      </c>
      <c r="K57" s="19">
        <f t="shared" si="2"/>
        <v>718.31666666666672</v>
      </c>
      <c r="L57" s="19">
        <f t="shared" si="2"/>
        <v>700.72500000000002</v>
      </c>
      <c r="M57" s="19">
        <f t="shared" si="2"/>
        <v>700.72500000000002</v>
      </c>
      <c r="N57" s="19">
        <f t="shared" si="2"/>
        <v>700.72500000000002</v>
      </c>
      <c r="O57" s="19"/>
      <c r="P57" s="19"/>
      <c r="Q57" s="19"/>
      <c r="R57" s="19"/>
    </row>
    <row r="58" spans="1:18" x14ac:dyDescent="0.25">
      <c r="A58" s="99">
        <v>56</v>
      </c>
      <c r="B58" t="s">
        <v>47</v>
      </c>
      <c r="C58" s="18">
        <f>1+'Materials+LaborUnits'!$D$51</f>
        <v>1.1386000000000001</v>
      </c>
      <c r="D58" s="18">
        <f>1+'Materials+LaborUnits'!$D$51</f>
        <v>1.1386000000000001</v>
      </c>
      <c r="E58" s="18">
        <f>1+'Materials+LaborUnits'!$D$51</f>
        <v>1.1386000000000001</v>
      </c>
      <c r="F58" s="18">
        <f>1+'Materials+LaborUnits'!$D$51</f>
        <v>1.1386000000000001</v>
      </c>
      <c r="G58" s="18">
        <f>1+'Materials+LaborUnits'!$D$51</f>
        <v>1.1386000000000001</v>
      </c>
      <c r="H58" s="18">
        <f>1+'Materials+LaborUnits'!$D$51</f>
        <v>1.1386000000000001</v>
      </c>
      <c r="I58" s="18">
        <f>1+'Materials+LaborUnits'!$D$51</f>
        <v>1.1386000000000001</v>
      </c>
      <c r="J58" s="18">
        <f>1+'Materials+LaborUnits'!$D$51</f>
        <v>1.1386000000000001</v>
      </c>
      <c r="K58" s="18">
        <f>1+'Materials+LaborUnits'!$D$51</f>
        <v>1.1386000000000001</v>
      </c>
      <c r="L58" s="18">
        <f>1+'Materials+LaborUnits'!$D$51</f>
        <v>1.1386000000000001</v>
      </c>
      <c r="M58" s="18">
        <f>1+'Materials+LaborUnits'!$D$51</f>
        <v>1.1386000000000001</v>
      </c>
      <c r="N58" s="18">
        <f>1+'Materials+LaborUnits'!$D$51</f>
        <v>1.1386000000000001</v>
      </c>
      <c r="O58" s="18">
        <f>1+'Materials+LaborUnits'!$D$51</f>
        <v>1.1386000000000001</v>
      </c>
      <c r="P58" s="18">
        <f>1+'Materials+LaborUnits'!$D$51</f>
        <v>1.1386000000000001</v>
      </c>
      <c r="Q58" s="18">
        <f>1+'Materials+LaborUnits'!$D$51</f>
        <v>1.1386000000000001</v>
      </c>
      <c r="R58" s="18">
        <f>1+'Materials+LaborUnits'!$D$51</f>
        <v>1.1386000000000001</v>
      </c>
    </row>
    <row r="59" spans="1:18" x14ac:dyDescent="0.25">
      <c r="A59" s="99">
        <v>57</v>
      </c>
      <c r="B59" s="1" t="s">
        <v>48</v>
      </c>
      <c r="C59" s="19">
        <f>C57*C58</f>
        <v>863.71349500000008</v>
      </c>
      <c r="D59" s="19">
        <f t="shared" ref="D59:N59" si="3">D57*D58</f>
        <v>863.71349500000008</v>
      </c>
      <c r="E59" s="19">
        <f t="shared" si="3"/>
        <v>863.71349500000008</v>
      </c>
      <c r="F59" s="19">
        <f t="shared" si="3"/>
        <v>863.71349500000008</v>
      </c>
      <c r="G59" s="19">
        <f t="shared" si="3"/>
        <v>817.87535666666679</v>
      </c>
      <c r="H59" s="19">
        <f t="shared" si="3"/>
        <v>817.87535666666679</v>
      </c>
      <c r="I59" s="19">
        <f t="shared" si="3"/>
        <v>817.87535666666679</v>
      </c>
      <c r="J59" s="19">
        <f t="shared" si="3"/>
        <v>817.87535666666679</v>
      </c>
      <c r="K59" s="19">
        <f t="shared" si="3"/>
        <v>817.87535666666679</v>
      </c>
      <c r="L59" s="19">
        <f t="shared" si="3"/>
        <v>797.84548500000005</v>
      </c>
      <c r="M59" s="19">
        <f t="shared" si="3"/>
        <v>797.84548500000005</v>
      </c>
      <c r="N59" s="19">
        <f t="shared" si="3"/>
        <v>797.84548500000005</v>
      </c>
      <c r="O59" s="19"/>
      <c r="P59" s="19"/>
      <c r="Q59" s="19"/>
      <c r="R59" s="19"/>
    </row>
    <row r="60" spans="1:18" x14ac:dyDescent="0.25">
      <c r="A60" s="99">
        <v>58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x14ac:dyDescent="0.25">
      <c r="A61" s="99">
        <v>59</v>
      </c>
      <c r="B61" s="7" t="s">
        <v>49</v>
      </c>
      <c r="C61" s="19">
        <f>SUM(C59,C44)</f>
        <v>2091.5109039999998</v>
      </c>
      <c r="D61" s="19">
        <f t="shared" ref="D61:N61" si="4">SUM(D59,D44)</f>
        <v>2098.5982039999999</v>
      </c>
      <c r="E61" s="19">
        <f t="shared" si="4"/>
        <v>2169.4712039999999</v>
      </c>
      <c r="F61" s="19">
        <f t="shared" si="4"/>
        <v>2297.0426040000002</v>
      </c>
      <c r="G61" s="19">
        <f t="shared" si="4"/>
        <v>2188.9693810000003</v>
      </c>
      <c r="H61" s="19">
        <f t="shared" si="4"/>
        <v>2224.4058810000001</v>
      </c>
      <c r="I61" s="19">
        <f t="shared" si="4"/>
        <v>2258.4249209999998</v>
      </c>
      <c r="J61" s="19">
        <f t="shared" si="4"/>
        <v>2472.4613810000001</v>
      </c>
      <c r="K61" s="19">
        <f t="shared" si="4"/>
        <v>2755.9533810000003</v>
      </c>
      <c r="L61" s="19">
        <f t="shared" si="4"/>
        <v>1694.4082640000001</v>
      </c>
      <c r="M61" s="19">
        <f t="shared" si="4"/>
        <v>1820.5622040000003</v>
      </c>
      <c r="N61" s="19">
        <f t="shared" si="4"/>
        <v>2910.7178039999999</v>
      </c>
      <c r="O61" s="19"/>
      <c r="P61" s="19"/>
      <c r="Q61" s="19"/>
      <c r="R61" s="19"/>
    </row>
    <row r="62" spans="1:18" x14ac:dyDescent="0.25">
      <c r="A62" s="99">
        <v>60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5">
      <c r="A63" s="99">
        <v>61</v>
      </c>
      <c r="B63" t="s">
        <v>195</v>
      </c>
      <c r="C63" s="8">
        <f t="shared" ref="C63:M63" si="5">SUM(C13:C15)</f>
        <v>143</v>
      </c>
      <c r="D63" s="8">
        <f t="shared" si="5"/>
        <v>148.5</v>
      </c>
      <c r="E63" s="8">
        <f t="shared" si="5"/>
        <v>203.50000000000003</v>
      </c>
      <c r="F63" s="8">
        <f t="shared" si="5"/>
        <v>302.5</v>
      </c>
      <c r="G63" s="8">
        <f t="shared" si="5"/>
        <v>275</v>
      </c>
      <c r="H63" s="8">
        <f t="shared" si="5"/>
        <v>302.5</v>
      </c>
      <c r="I63" s="8">
        <f t="shared" si="5"/>
        <v>328.90000000000003</v>
      </c>
      <c r="J63" s="8">
        <f>SUM(J13:J15)</f>
        <v>495.00000000000006</v>
      </c>
      <c r="K63" s="8">
        <f t="shared" si="5"/>
        <v>715.00000000000011</v>
      </c>
      <c r="L63" s="8">
        <f t="shared" si="5"/>
        <v>330</v>
      </c>
      <c r="M63" s="8">
        <f t="shared" si="5"/>
        <v>427.90000000000003</v>
      </c>
      <c r="N63" s="8">
        <f>SUM(N13:N15)</f>
        <v>427.90000000000003</v>
      </c>
      <c r="O63" s="8">
        <f>SUM(O13:O19)</f>
        <v>401.07000000000005</v>
      </c>
      <c r="P63" s="8">
        <f t="shared" ref="P63:R63" si="6">SUM(P13:P19)</f>
        <v>417.57000000000005</v>
      </c>
      <c r="Q63" s="8">
        <f t="shared" si="6"/>
        <v>450.57000000000005</v>
      </c>
      <c r="R63" s="8">
        <f t="shared" si="6"/>
        <v>698.07</v>
      </c>
    </row>
    <row r="64" spans="1:18" x14ac:dyDescent="0.25">
      <c r="A64" s="99">
        <v>62</v>
      </c>
      <c r="B64" t="s">
        <v>192</v>
      </c>
      <c r="C64" s="8">
        <f t="shared" ref="C64:M64" si="7">C63*C43</f>
        <v>184.2698</v>
      </c>
      <c r="D64" s="8">
        <f t="shared" si="7"/>
        <v>191.3571</v>
      </c>
      <c r="E64" s="8">
        <f t="shared" si="7"/>
        <v>262.23010000000005</v>
      </c>
      <c r="F64" s="8">
        <f t="shared" si="7"/>
        <v>389.80149999999998</v>
      </c>
      <c r="G64" s="8">
        <f t="shared" si="7"/>
        <v>354.36500000000001</v>
      </c>
      <c r="H64" s="8">
        <f t="shared" si="7"/>
        <v>389.80149999999998</v>
      </c>
      <c r="I64" s="8">
        <f t="shared" si="7"/>
        <v>423.82054000000005</v>
      </c>
      <c r="J64" s="8">
        <f t="shared" si="7"/>
        <v>637.85700000000008</v>
      </c>
      <c r="K64" s="8">
        <f t="shared" si="7"/>
        <v>921.34900000000016</v>
      </c>
      <c r="L64" s="8">
        <f t="shared" si="7"/>
        <v>425.238</v>
      </c>
      <c r="M64" s="8">
        <f t="shared" si="7"/>
        <v>551.39193999999998</v>
      </c>
      <c r="N64" s="8">
        <f t="shared" ref="N64:Q64" si="8">N63*N43</f>
        <v>551.39193999999998</v>
      </c>
      <c r="O64" s="8">
        <f>O63*O43</f>
        <v>516.81880200000001</v>
      </c>
      <c r="P64" s="8">
        <f t="shared" si="8"/>
        <v>538.08070200000009</v>
      </c>
      <c r="Q64" s="8">
        <f t="shared" si="8"/>
        <v>580.60450200000002</v>
      </c>
      <c r="R64" s="8">
        <f>R63*R43</f>
        <v>899.53300200000001</v>
      </c>
    </row>
    <row r="65" spans="1:18" x14ac:dyDescent="0.25">
      <c r="A65" s="99">
        <v>63</v>
      </c>
      <c r="B65" t="s">
        <v>197</v>
      </c>
      <c r="C65" s="8">
        <f t="shared" ref="C65:M65" si="9">C47*C58</f>
        <v>105.32050000000001</v>
      </c>
      <c r="D65" s="8">
        <f t="shared" si="9"/>
        <v>105.32050000000001</v>
      </c>
      <c r="E65" s="8">
        <f t="shared" si="9"/>
        <v>105.32050000000001</v>
      </c>
      <c r="F65" s="8">
        <f t="shared" si="9"/>
        <v>105.32050000000001</v>
      </c>
      <c r="G65" s="8">
        <f t="shared" si="9"/>
        <v>105.32050000000001</v>
      </c>
      <c r="H65" s="8">
        <f t="shared" si="9"/>
        <v>105.32050000000001</v>
      </c>
      <c r="I65" s="8">
        <f t="shared" si="9"/>
        <v>105.32050000000001</v>
      </c>
      <c r="J65" s="8">
        <f t="shared" si="9"/>
        <v>105.32050000000001</v>
      </c>
      <c r="K65" s="8">
        <f t="shared" si="9"/>
        <v>105.32050000000001</v>
      </c>
      <c r="L65" s="8">
        <f t="shared" si="9"/>
        <v>105.32050000000001</v>
      </c>
      <c r="M65" s="8">
        <f t="shared" si="9"/>
        <v>105.32050000000001</v>
      </c>
      <c r="N65" s="8">
        <f>N47*N58</f>
        <v>105.32050000000001</v>
      </c>
      <c r="O65" s="8">
        <f>O47*O58</f>
        <v>105.32050000000001</v>
      </c>
      <c r="P65" s="8">
        <f t="shared" ref="P65:R65" si="10">P47*P58</f>
        <v>105.32050000000001</v>
      </c>
      <c r="Q65" s="8">
        <f t="shared" si="10"/>
        <v>105.32050000000001</v>
      </c>
      <c r="R65" s="8">
        <f t="shared" si="10"/>
        <v>105.32050000000001</v>
      </c>
    </row>
    <row r="66" spans="1:18" x14ac:dyDescent="0.25">
      <c r="A66" s="99">
        <v>64</v>
      </c>
      <c r="B66" t="s">
        <v>199</v>
      </c>
      <c r="C66" s="8">
        <f t="shared" ref="C66:M66" si="11">SUM(C64:C65)</f>
        <v>289.59030000000001</v>
      </c>
      <c r="D66" s="8">
        <f t="shared" si="11"/>
        <v>296.67759999999998</v>
      </c>
      <c r="E66" s="8">
        <f t="shared" si="11"/>
        <v>367.55060000000003</v>
      </c>
      <c r="F66" s="8">
        <f t="shared" si="11"/>
        <v>495.12199999999996</v>
      </c>
      <c r="G66" s="8">
        <f t="shared" si="11"/>
        <v>459.68550000000005</v>
      </c>
      <c r="H66" s="8">
        <f t="shared" si="11"/>
        <v>495.12199999999996</v>
      </c>
      <c r="I66" s="8">
        <f t="shared" si="11"/>
        <v>529.14104000000009</v>
      </c>
      <c r="J66" s="8">
        <f t="shared" si="11"/>
        <v>743.17750000000012</v>
      </c>
      <c r="K66" s="8">
        <f t="shared" si="11"/>
        <v>1026.6695000000002</v>
      </c>
      <c r="L66" s="8">
        <f t="shared" si="11"/>
        <v>530.55849999999998</v>
      </c>
      <c r="M66" s="8">
        <f t="shared" si="11"/>
        <v>656.71244000000002</v>
      </c>
      <c r="N66" s="8">
        <f t="shared" ref="N66:R66" si="12">SUM(N64:N65)</f>
        <v>656.71244000000002</v>
      </c>
      <c r="O66" s="8">
        <f t="shared" si="12"/>
        <v>622.13930200000004</v>
      </c>
      <c r="P66" s="8">
        <f t="shared" si="12"/>
        <v>643.40120200000013</v>
      </c>
      <c r="Q66" s="8">
        <f t="shared" si="12"/>
        <v>685.92500200000006</v>
      </c>
      <c r="R66" s="8">
        <f t="shared" si="12"/>
        <v>1004.853502</v>
      </c>
    </row>
    <row r="67" spans="1:18" x14ac:dyDescent="0.25">
      <c r="A67" s="99">
        <v>65</v>
      </c>
    </row>
    <row r="68" spans="1:18" x14ac:dyDescent="0.25">
      <c r="A68" s="99">
        <v>66</v>
      </c>
      <c r="B68" t="s">
        <v>193</v>
      </c>
      <c r="C68" s="8">
        <f t="shared" ref="C68:N68" si="13">SUM(C22:C31,C34,C37:C40,C18:C19)</f>
        <v>809.81499999999983</v>
      </c>
      <c r="D68" s="8">
        <f t="shared" si="13"/>
        <v>809.81499999999983</v>
      </c>
      <c r="E68" s="8">
        <f t="shared" si="13"/>
        <v>809.81499999999983</v>
      </c>
      <c r="F68" s="8">
        <f t="shared" si="13"/>
        <v>809.81499999999983</v>
      </c>
      <c r="G68" s="8">
        <f t="shared" si="13"/>
        <v>789.0183333333332</v>
      </c>
      <c r="H68" s="8">
        <f t="shared" si="13"/>
        <v>789.0183333333332</v>
      </c>
      <c r="I68" s="8">
        <f t="shared" si="13"/>
        <v>789.0183333333332</v>
      </c>
      <c r="J68" s="8">
        <f>SUM(J22:J31,J34,J37:J40,J18:J19)</f>
        <v>789.0183333333332</v>
      </c>
      <c r="K68" s="8">
        <f t="shared" si="13"/>
        <v>789.0183333333332</v>
      </c>
      <c r="L68" s="8">
        <f t="shared" si="13"/>
        <v>365.76499999999999</v>
      </c>
      <c r="M68" s="8">
        <f t="shared" si="13"/>
        <v>365.76499999999999</v>
      </c>
      <c r="N68" s="8">
        <f t="shared" si="13"/>
        <v>1211.7649999999996</v>
      </c>
      <c r="O68" s="8"/>
      <c r="P68" s="8"/>
      <c r="Q68" s="8"/>
      <c r="R68" s="8"/>
    </row>
    <row r="69" spans="1:18" x14ac:dyDescent="0.25">
      <c r="A69" s="99">
        <v>67</v>
      </c>
      <c r="B69" t="s">
        <v>194</v>
      </c>
      <c r="C69" s="8">
        <f t="shared" ref="C69:M69" si="14">C68*C43</f>
        <v>1043.5276089999998</v>
      </c>
      <c r="D69" s="8">
        <f t="shared" si="14"/>
        <v>1043.5276089999998</v>
      </c>
      <c r="E69" s="8">
        <f t="shared" si="14"/>
        <v>1043.5276089999998</v>
      </c>
      <c r="F69" s="8">
        <f t="shared" si="14"/>
        <v>1043.5276089999998</v>
      </c>
      <c r="G69" s="8">
        <f t="shared" si="14"/>
        <v>1016.7290243333331</v>
      </c>
      <c r="H69" s="8">
        <f t="shared" si="14"/>
        <v>1016.7290243333331</v>
      </c>
      <c r="I69" s="8">
        <f t="shared" si="14"/>
        <v>1016.7290243333331</v>
      </c>
      <c r="J69" s="8">
        <f t="shared" si="14"/>
        <v>1016.7290243333331</v>
      </c>
      <c r="K69" s="8">
        <f t="shared" si="14"/>
        <v>1016.7290243333331</v>
      </c>
      <c r="L69" s="8">
        <f t="shared" si="14"/>
        <v>471.32477899999998</v>
      </c>
      <c r="M69" s="8">
        <f t="shared" si="14"/>
        <v>471.32477899999998</v>
      </c>
      <c r="N69" s="8">
        <f t="shared" ref="N69" si="15">N68*N43</f>
        <v>1561.4803789999994</v>
      </c>
      <c r="O69" s="8"/>
      <c r="P69" s="8"/>
      <c r="Q69" s="8"/>
      <c r="R69" s="8"/>
    </row>
    <row r="70" spans="1:18" x14ac:dyDescent="0.25">
      <c r="A70" s="99">
        <v>68</v>
      </c>
      <c r="B70" t="s">
        <v>196</v>
      </c>
      <c r="C70" s="8">
        <f t="shared" ref="C70:N70" si="16">SUM(C48:C55)*C58</f>
        <v>758.39299500000004</v>
      </c>
      <c r="D70" s="8">
        <f t="shared" si="16"/>
        <v>758.39299500000004</v>
      </c>
      <c r="E70" s="8">
        <f t="shared" si="16"/>
        <v>758.39299500000004</v>
      </c>
      <c r="F70" s="8">
        <f t="shared" si="16"/>
        <v>758.39299500000004</v>
      </c>
      <c r="G70" s="8">
        <f t="shared" si="16"/>
        <v>712.55485666666675</v>
      </c>
      <c r="H70" s="8">
        <f t="shared" si="16"/>
        <v>712.55485666666675</v>
      </c>
      <c r="I70" s="8">
        <f t="shared" si="16"/>
        <v>712.55485666666675</v>
      </c>
      <c r="J70" s="8">
        <f t="shared" si="16"/>
        <v>712.55485666666675</v>
      </c>
      <c r="K70" s="8">
        <f t="shared" si="16"/>
        <v>712.55485666666675</v>
      </c>
      <c r="L70" s="8">
        <f t="shared" si="16"/>
        <v>692.52498500000002</v>
      </c>
      <c r="M70" s="8">
        <f t="shared" si="16"/>
        <v>692.52498500000002</v>
      </c>
      <c r="N70" s="8">
        <f t="shared" si="16"/>
        <v>692.52498500000002</v>
      </c>
      <c r="O70" s="8"/>
      <c r="P70" s="8"/>
      <c r="Q70" s="8"/>
      <c r="R70" s="8"/>
    </row>
    <row r="71" spans="1:18" x14ac:dyDescent="0.25">
      <c r="A71" s="99">
        <v>69</v>
      </c>
      <c r="B71" t="s">
        <v>198</v>
      </c>
      <c r="C71" s="8">
        <f t="shared" ref="C71:M71" si="17">C70+C69</f>
        <v>1801.9206039999999</v>
      </c>
      <c r="D71" s="8">
        <f t="shared" si="17"/>
        <v>1801.9206039999999</v>
      </c>
      <c r="E71" s="8">
        <f t="shared" si="17"/>
        <v>1801.9206039999999</v>
      </c>
      <c r="F71" s="8">
        <f t="shared" si="17"/>
        <v>1801.9206039999999</v>
      </c>
      <c r="G71" s="8">
        <f t="shared" si="17"/>
        <v>1729.2838809999998</v>
      </c>
      <c r="H71" s="8">
        <f t="shared" si="17"/>
        <v>1729.2838809999998</v>
      </c>
      <c r="I71" s="8">
        <f t="shared" si="17"/>
        <v>1729.2838809999998</v>
      </c>
      <c r="J71" s="8">
        <f t="shared" si="17"/>
        <v>1729.2838809999998</v>
      </c>
      <c r="K71" s="8">
        <f t="shared" si="17"/>
        <v>1729.2838809999998</v>
      </c>
      <c r="L71" s="8">
        <f t="shared" si="17"/>
        <v>1163.8497640000001</v>
      </c>
      <c r="M71" s="8">
        <f t="shared" si="17"/>
        <v>1163.8497640000001</v>
      </c>
      <c r="N71" s="8">
        <f t="shared" ref="N71" si="18">N70+N69</f>
        <v>2254.0053639999996</v>
      </c>
      <c r="O71" s="8"/>
      <c r="P71" s="8"/>
      <c r="Q71" s="8"/>
      <c r="R71" s="8"/>
    </row>
    <row r="72" spans="1:18" x14ac:dyDescent="0.25">
      <c r="A72" s="99">
        <v>70</v>
      </c>
    </row>
    <row r="73" spans="1:18" x14ac:dyDescent="0.25">
      <c r="A73" s="99">
        <v>71</v>
      </c>
    </row>
    <row r="74" spans="1:18" x14ac:dyDescent="0.25">
      <c r="A74" s="99">
        <v>72</v>
      </c>
    </row>
    <row r="75" spans="1:18" x14ac:dyDescent="0.25">
      <c r="A75" s="99">
        <v>73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5">
      <c r="A76" s="99">
        <v>74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x14ac:dyDescent="0.25">
      <c r="A77" s="99">
        <v>75</v>
      </c>
      <c r="B77" s="1" t="s">
        <v>222</v>
      </c>
    </row>
    <row r="78" spans="1:18" x14ac:dyDescent="0.25">
      <c r="A78" s="99">
        <v>76</v>
      </c>
      <c r="B78" s="2" t="s">
        <v>500</v>
      </c>
      <c r="C78" s="8">
        <f>'Maintenance &amp; NBV'!$I$7</f>
        <v>4.6254197082383142</v>
      </c>
      <c r="D78" s="8">
        <f>'Maintenance &amp; NBV'!$I$7</f>
        <v>4.6254197082383142</v>
      </c>
      <c r="E78" s="8">
        <f>'Maintenance &amp; NBV'!$I$7</f>
        <v>4.6254197082383142</v>
      </c>
      <c r="F78" s="8">
        <f>'Maintenance &amp; NBV'!$I$7</f>
        <v>4.6254197082383142</v>
      </c>
      <c r="G78" s="8">
        <f>'Maintenance &amp; NBV'!$I$7</f>
        <v>4.6254197082383142</v>
      </c>
      <c r="H78" s="8">
        <f>'Maintenance &amp; NBV'!$I$7</f>
        <v>4.6254197082383142</v>
      </c>
      <c r="I78" s="8">
        <f>'Maintenance &amp; NBV'!$I$7</f>
        <v>4.6254197082383142</v>
      </c>
      <c r="J78" s="8">
        <f>'Maintenance &amp; NBV'!$I$7</f>
        <v>4.6254197082383142</v>
      </c>
      <c r="K78" s="8">
        <f>'Maintenance &amp; NBV'!$I$7</f>
        <v>4.6254197082383142</v>
      </c>
      <c r="L78" s="8">
        <f>'Maintenance &amp; NBV'!$I$7</f>
        <v>4.6254197082383142</v>
      </c>
      <c r="M78" s="8">
        <f>'Maintenance &amp; NBV'!$I$7</f>
        <v>4.6254197082383142</v>
      </c>
      <c r="N78" s="8">
        <f>'Maintenance &amp; NBV'!$I$7</f>
        <v>4.6254197082383142</v>
      </c>
      <c r="O78" s="8">
        <f>'Maintenance &amp; NBV'!$I$7</f>
        <v>4.6254197082383142</v>
      </c>
      <c r="P78" s="8">
        <f>'Maintenance &amp; NBV'!$I$7</f>
        <v>4.6254197082383142</v>
      </c>
      <c r="Q78" s="8">
        <f>'Maintenance &amp; NBV'!$I$7</f>
        <v>4.6254197082383142</v>
      </c>
      <c r="R78" s="8">
        <f>'Maintenance &amp; NBV'!$I$7</f>
        <v>4.6254197082383142</v>
      </c>
    </row>
    <row r="79" spans="1:18" x14ac:dyDescent="0.25">
      <c r="A79" s="99">
        <v>77</v>
      </c>
    </row>
    <row r="80" spans="1:18" x14ac:dyDescent="0.25">
      <c r="A80" s="99">
        <v>78</v>
      </c>
      <c r="B80" s="1" t="s">
        <v>571</v>
      </c>
      <c r="C80" s="8">
        <f t="shared" ref="C80:R80" si="19">C78+C76</f>
        <v>4.6254197082383142</v>
      </c>
      <c r="D80" s="8">
        <f t="shared" si="19"/>
        <v>4.6254197082383142</v>
      </c>
      <c r="E80" s="8">
        <f t="shared" si="19"/>
        <v>4.6254197082383142</v>
      </c>
      <c r="F80" s="8">
        <f t="shared" si="19"/>
        <v>4.6254197082383142</v>
      </c>
      <c r="G80" s="8">
        <f t="shared" si="19"/>
        <v>4.6254197082383142</v>
      </c>
      <c r="H80" s="8">
        <f t="shared" si="19"/>
        <v>4.6254197082383142</v>
      </c>
      <c r="I80" s="8">
        <f t="shared" si="19"/>
        <v>4.6254197082383142</v>
      </c>
      <c r="J80" s="8">
        <f t="shared" si="19"/>
        <v>4.6254197082383142</v>
      </c>
      <c r="K80" s="8">
        <f t="shared" si="19"/>
        <v>4.6254197082383142</v>
      </c>
      <c r="L80" s="8">
        <f t="shared" si="19"/>
        <v>4.6254197082383142</v>
      </c>
      <c r="M80" s="8">
        <f t="shared" si="19"/>
        <v>4.6254197082383142</v>
      </c>
      <c r="N80" s="8">
        <f t="shared" si="19"/>
        <v>4.6254197082383142</v>
      </c>
      <c r="O80" s="8">
        <f t="shared" si="19"/>
        <v>4.6254197082383142</v>
      </c>
      <c r="P80" s="8">
        <f t="shared" si="19"/>
        <v>4.6254197082383142</v>
      </c>
      <c r="Q80" s="8">
        <f t="shared" si="19"/>
        <v>4.6254197082383142</v>
      </c>
      <c r="R80" s="8">
        <f t="shared" si="19"/>
        <v>4.6254197082383142</v>
      </c>
    </row>
  </sheetData>
  <mergeCells count="1">
    <mergeCell ref="C2:N2"/>
  </mergeCells>
  <conditionalFormatting sqref="C3:R61">
    <cfRule type="expression" dxfId="0" priority="194">
      <formula>MOD(COLUMN(),2)=0</formula>
    </cfRule>
  </conditionalFormatting>
  <pageMargins left="1" right="1" top="1" bottom="1.75" header="0.5" footer="0.5"/>
  <pageSetup scale="33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/>
  </sheetViews>
  <sheetFormatPr defaultRowHeight="15" x14ac:dyDescent="0.25"/>
  <cols>
    <col min="1" max="1" width="9.140625" style="2"/>
    <col min="2" max="2" width="11" style="2" bestFit="1" customWidth="1"/>
    <col min="3" max="3" width="11.28515625" style="2" customWidth="1"/>
    <col min="4" max="16384" width="9.140625" style="2"/>
  </cols>
  <sheetData>
    <row r="1" spans="1:3" ht="21" x14ac:dyDescent="0.35">
      <c r="A1" s="111" t="s">
        <v>334</v>
      </c>
      <c r="B1" s="113"/>
      <c r="C1" s="113"/>
    </row>
    <row r="2" spans="1:3" ht="15.75" customHeight="1" x14ac:dyDescent="0.35">
      <c r="A2" s="111"/>
      <c r="B2" s="113"/>
      <c r="C2" s="113"/>
    </row>
    <row r="3" spans="1:3" x14ac:dyDescent="0.25">
      <c r="A3" s="113"/>
      <c r="B3" s="114" t="s">
        <v>331</v>
      </c>
      <c r="C3" s="114" t="s">
        <v>332</v>
      </c>
    </row>
    <row r="4" spans="1:3" x14ac:dyDescent="0.25">
      <c r="A4" s="115">
        <v>43282</v>
      </c>
      <c r="B4" s="116">
        <v>-2.15E-3</v>
      </c>
      <c r="C4" s="117">
        <v>6.1999999999999998E-3</v>
      </c>
    </row>
    <row r="5" spans="1:3" x14ac:dyDescent="0.25">
      <c r="A5" s="118">
        <f>IF(MONTH(A4)=1,DATE(YEAR(A4)-1,12,1),DATE(YEAR(A4),MONTH(A4)-1,1))</f>
        <v>43252</v>
      </c>
      <c r="B5" s="116">
        <v>-1.8799999999999999E-3</v>
      </c>
      <c r="C5" s="117">
        <v>-1.6999999999999999E-3</v>
      </c>
    </row>
    <row r="6" spans="1:3" x14ac:dyDescent="0.25">
      <c r="A6" s="118">
        <f t="shared" ref="A6:A15" si="0">IF(MONTH(A5)=1,DATE(YEAR(A5)-1,12,1),DATE(YEAR(A5),MONTH(A5)-1,1))</f>
        <v>43221</v>
      </c>
      <c r="B6" s="116">
        <v>-9.7000000000000005E-4</v>
      </c>
      <c r="C6" s="117">
        <v>-2.0999999999999999E-3</v>
      </c>
    </row>
    <row r="7" spans="1:3" x14ac:dyDescent="0.25">
      <c r="A7" s="118">
        <f t="shared" si="0"/>
        <v>43191</v>
      </c>
      <c r="B7" s="116">
        <v>-1.4400000000000001E-3</v>
      </c>
      <c r="C7" s="117">
        <v>-1.55E-2</v>
      </c>
    </row>
    <row r="8" spans="1:3" x14ac:dyDescent="0.25">
      <c r="A8" s="118">
        <f t="shared" si="0"/>
        <v>43160</v>
      </c>
      <c r="B8" s="116">
        <v>1.57E-3</v>
      </c>
      <c r="C8" s="117">
        <v>-3.5000000000000001E-3</v>
      </c>
    </row>
    <row r="9" spans="1:3" x14ac:dyDescent="0.25">
      <c r="A9" s="118">
        <f t="shared" si="0"/>
        <v>43132</v>
      </c>
      <c r="B9" s="116">
        <v>-1.57E-3</v>
      </c>
      <c r="C9" s="117">
        <v>3.8699999999999998E-2</v>
      </c>
    </row>
    <row r="10" spans="1:3" x14ac:dyDescent="0.25">
      <c r="A10" s="118">
        <f t="shared" si="0"/>
        <v>43101</v>
      </c>
      <c r="B10" s="116">
        <v>-1.15E-3</v>
      </c>
      <c r="C10" s="117">
        <v>0.04</v>
      </c>
    </row>
    <row r="11" spans="1:3" x14ac:dyDescent="0.25">
      <c r="A11" s="118">
        <f t="shared" si="0"/>
        <v>43070</v>
      </c>
      <c r="B11" s="116">
        <v>-2.4199999999999998E-3</v>
      </c>
      <c r="C11" s="117">
        <v>3.5700000000000003E-2</v>
      </c>
    </row>
    <row r="12" spans="1:3" x14ac:dyDescent="0.25">
      <c r="A12" s="118">
        <f t="shared" si="0"/>
        <v>43040</v>
      </c>
      <c r="B12" s="116">
        <v>-3.0899999999999999E-3</v>
      </c>
      <c r="C12" s="117">
        <v>3.2199999999999999E-2</v>
      </c>
    </row>
    <row r="13" spans="1:3" x14ac:dyDescent="0.25">
      <c r="A13" s="118">
        <f t="shared" si="0"/>
        <v>43009</v>
      </c>
      <c r="B13" s="116">
        <v>-4.7400000000000003E-3</v>
      </c>
      <c r="C13" s="117">
        <v>2.4299999999999999E-2</v>
      </c>
    </row>
    <row r="14" spans="1:3" x14ac:dyDescent="0.25">
      <c r="A14" s="118">
        <f>IF(MONTH(A13)=1,DATE(YEAR(A13)-1,12,1),DATE(YEAR(A13),MONTH(A13)-1,1))</f>
        <v>42979</v>
      </c>
      <c r="B14" s="116">
        <v>-3.5899999999999999E-3</v>
      </c>
      <c r="C14" s="117">
        <v>2.6700000000000002E-2</v>
      </c>
    </row>
    <row r="15" spans="1:3" x14ac:dyDescent="0.25">
      <c r="A15" s="118">
        <f t="shared" si="0"/>
        <v>42948</v>
      </c>
      <c r="B15" s="119">
        <v>-3.47E-3</v>
      </c>
      <c r="C15" s="120">
        <v>2.7199999999999998E-2</v>
      </c>
    </row>
    <row r="16" spans="1:3" x14ac:dyDescent="0.25">
      <c r="A16" s="121" t="s">
        <v>221</v>
      </c>
      <c r="B16" s="122">
        <f>AVERAGE(B4:B15)</f>
        <v>-2.075E-3</v>
      </c>
      <c r="C16" s="123">
        <f>AVERAGE(C4:C15)</f>
        <v>1.7350000000000001E-2</v>
      </c>
    </row>
    <row r="17" spans="1:3" x14ac:dyDescent="0.25">
      <c r="A17" s="118"/>
      <c r="B17" s="113"/>
      <c r="C17" s="113"/>
    </row>
    <row r="18" spans="1:3" x14ac:dyDescent="0.25">
      <c r="A18" s="113"/>
      <c r="B18" s="124"/>
      <c r="C18" s="113"/>
    </row>
    <row r="20" spans="1:3" x14ac:dyDescent="0.25">
      <c r="B20" s="112"/>
    </row>
    <row r="22" spans="1:3" x14ac:dyDescent="0.25">
      <c r="B22" s="126"/>
    </row>
    <row r="24" spans="1:3" x14ac:dyDescent="0.25">
      <c r="B24" s="112"/>
    </row>
    <row r="44" spans="32:32" x14ac:dyDescent="0.25">
      <c r="AF44" s="366"/>
    </row>
  </sheetData>
  <pageMargins left="1" right="1" top="1" bottom="1.75" header="0.5" footer="0.5"/>
  <pageSetup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zoomScale="70" zoomScaleNormal="70" workbookViewId="0"/>
  </sheetViews>
  <sheetFormatPr defaultColWidth="11.42578125" defaultRowHeight="15" x14ac:dyDescent="0.2"/>
  <cols>
    <col min="1" max="1" width="19.28515625" style="39" customWidth="1"/>
    <col min="2" max="2" width="27.5703125" style="39" customWidth="1"/>
    <col min="3" max="3" width="15.28515625" style="39" bestFit="1" customWidth="1"/>
    <col min="4" max="4" width="12.5703125" style="39" customWidth="1"/>
    <col min="5" max="5" width="11.5703125" style="39" bestFit="1" customWidth="1"/>
    <col min="6" max="6" width="14" style="39" customWidth="1"/>
    <col min="7" max="7" width="17.85546875" style="39" customWidth="1"/>
    <col min="8" max="8" width="14.42578125" style="39" customWidth="1"/>
    <col min="9" max="9" width="14.140625" style="39" bestFit="1" customWidth="1"/>
    <col min="10" max="10" width="11.42578125" style="39"/>
    <col min="11" max="11" width="11.5703125" style="39" bestFit="1" customWidth="1"/>
    <col min="12" max="13" width="11.42578125" style="39"/>
    <col min="14" max="14" width="11.85546875" style="39" bestFit="1" customWidth="1"/>
    <col min="15" max="15" width="11.42578125" style="39"/>
    <col min="16" max="16" width="11.85546875" style="39" bestFit="1" customWidth="1"/>
    <col min="17" max="256" width="11.42578125" style="39"/>
    <col min="257" max="257" width="13.140625" style="39" customWidth="1"/>
    <col min="258" max="258" width="27.5703125" style="39" customWidth="1"/>
    <col min="259" max="259" width="15.28515625" style="39" bestFit="1" customWidth="1"/>
    <col min="260" max="260" width="12.5703125" style="39" customWidth="1"/>
    <col min="261" max="261" width="11.5703125" style="39" bestFit="1" customWidth="1"/>
    <col min="262" max="262" width="14" style="39" customWidth="1"/>
    <col min="263" max="263" width="17.85546875" style="39" customWidth="1"/>
    <col min="264" max="264" width="14.42578125" style="39" customWidth="1"/>
    <col min="265" max="265" width="14.140625" style="39" bestFit="1" customWidth="1"/>
    <col min="266" max="266" width="11.42578125" style="39"/>
    <col min="267" max="267" width="11.5703125" style="39" bestFit="1" customWidth="1"/>
    <col min="268" max="269" width="11.42578125" style="39"/>
    <col min="270" max="270" width="11.85546875" style="39" bestFit="1" customWidth="1"/>
    <col min="271" max="271" width="11.42578125" style="39"/>
    <col min="272" max="272" width="11.85546875" style="39" bestFit="1" customWidth="1"/>
    <col min="273" max="512" width="11.42578125" style="39"/>
    <col min="513" max="513" width="13.140625" style="39" customWidth="1"/>
    <col min="514" max="514" width="27.5703125" style="39" customWidth="1"/>
    <col min="515" max="515" width="15.28515625" style="39" bestFit="1" customWidth="1"/>
    <col min="516" max="516" width="12.5703125" style="39" customWidth="1"/>
    <col min="517" max="517" width="11.5703125" style="39" bestFit="1" customWidth="1"/>
    <col min="518" max="518" width="14" style="39" customWidth="1"/>
    <col min="519" max="519" width="17.85546875" style="39" customWidth="1"/>
    <col min="520" max="520" width="14.42578125" style="39" customWidth="1"/>
    <col min="521" max="521" width="14.140625" style="39" bestFit="1" customWidth="1"/>
    <col min="522" max="522" width="11.42578125" style="39"/>
    <col min="523" max="523" width="11.5703125" style="39" bestFit="1" customWidth="1"/>
    <col min="524" max="525" width="11.42578125" style="39"/>
    <col min="526" max="526" width="11.85546875" style="39" bestFit="1" customWidth="1"/>
    <col min="527" max="527" width="11.42578125" style="39"/>
    <col min="528" max="528" width="11.85546875" style="39" bestFit="1" customWidth="1"/>
    <col min="529" max="768" width="11.42578125" style="39"/>
    <col min="769" max="769" width="13.140625" style="39" customWidth="1"/>
    <col min="770" max="770" width="27.5703125" style="39" customWidth="1"/>
    <col min="771" max="771" width="15.28515625" style="39" bestFit="1" customWidth="1"/>
    <col min="772" max="772" width="12.5703125" style="39" customWidth="1"/>
    <col min="773" max="773" width="11.5703125" style="39" bestFit="1" customWidth="1"/>
    <col min="774" max="774" width="14" style="39" customWidth="1"/>
    <col min="775" max="775" width="17.85546875" style="39" customWidth="1"/>
    <col min="776" max="776" width="14.42578125" style="39" customWidth="1"/>
    <col min="777" max="777" width="14.140625" style="39" bestFit="1" customWidth="1"/>
    <col min="778" max="778" width="11.42578125" style="39"/>
    <col min="779" max="779" width="11.5703125" style="39" bestFit="1" customWidth="1"/>
    <col min="780" max="781" width="11.42578125" style="39"/>
    <col min="782" max="782" width="11.85546875" style="39" bestFit="1" customWidth="1"/>
    <col min="783" max="783" width="11.42578125" style="39"/>
    <col min="784" max="784" width="11.85546875" style="39" bestFit="1" customWidth="1"/>
    <col min="785" max="1024" width="11.42578125" style="39"/>
    <col min="1025" max="1025" width="13.140625" style="39" customWidth="1"/>
    <col min="1026" max="1026" width="27.5703125" style="39" customWidth="1"/>
    <col min="1027" max="1027" width="15.28515625" style="39" bestFit="1" customWidth="1"/>
    <col min="1028" max="1028" width="12.5703125" style="39" customWidth="1"/>
    <col min="1029" max="1029" width="11.5703125" style="39" bestFit="1" customWidth="1"/>
    <col min="1030" max="1030" width="14" style="39" customWidth="1"/>
    <col min="1031" max="1031" width="17.85546875" style="39" customWidth="1"/>
    <col min="1032" max="1032" width="14.42578125" style="39" customWidth="1"/>
    <col min="1033" max="1033" width="14.140625" style="39" bestFit="1" customWidth="1"/>
    <col min="1034" max="1034" width="11.42578125" style="39"/>
    <col min="1035" max="1035" width="11.5703125" style="39" bestFit="1" customWidth="1"/>
    <col min="1036" max="1037" width="11.42578125" style="39"/>
    <col min="1038" max="1038" width="11.85546875" style="39" bestFit="1" customWidth="1"/>
    <col min="1039" max="1039" width="11.42578125" style="39"/>
    <col min="1040" max="1040" width="11.85546875" style="39" bestFit="1" customWidth="1"/>
    <col min="1041" max="1280" width="11.42578125" style="39"/>
    <col min="1281" max="1281" width="13.140625" style="39" customWidth="1"/>
    <col min="1282" max="1282" width="27.5703125" style="39" customWidth="1"/>
    <col min="1283" max="1283" width="15.28515625" style="39" bestFit="1" customWidth="1"/>
    <col min="1284" max="1284" width="12.5703125" style="39" customWidth="1"/>
    <col min="1285" max="1285" width="11.5703125" style="39" bestFit="1" customWidth="1"/>
    <col min="1286" max="1286" width="14" style="39" customWidth="1"/>
    <col min="1287" max="1287" width="17.85546875" style="39" customWidth="1"/>
    <col min="1288" max="1288" width="14.42578125" style="39" customWidth="1"/>
    <col min="1289" max="1289" width="14.140625" style="39" bestFit="1" customWidth="1"/>
    <col min="1290" max="1290" width="11.42578125" style="39"/>
    <col min="1291" max="1291" width="11.5703125" style="39" bestFit="1" customWidth="1"/>
    <col min="1292" max="1293" width="11.42578125" style="39"/>
    <col min="1294" max="1294" width="11.85546875" style="39" bestFit="1" customWidth="1"/>
    <col min="1295" max="1295" width="11.42578125" style="39"/>
    <col min="1296" max="1296" width="11.85546875" style="39" bestFit="1" customWidth="1"/>
    <col min="1297" max="1536" width="11.42578125" style="39"/>
    <col min="1537" max="1537" width="13.140625" style="39" customWidth="1"/>
    <col min="1538" max="1538" width="27.5703125" style="39" customWidth="1"/>
    <col min="1539" max="1539" width="15.28515625" style="39" bestFit="1" customWidth="1"/>
    <col min="1540" max="1540" width="12.5703125" style="39" customWidth="1"/>
    <col min="1541" max="1541" width="11.5703125" style="39" bestFit="1" customWidth="1"/>
    <col min="1542" max="1542" width="14" style="39" customWidth="1"/>
    <col min="1543" max="1543" width="17.85546875" style="39" customWidth="1"/>
    <col min="1544" max="1544" width="14.42578125" style="39" customWidth="1"/>
    <col min="1545" max="1545" width="14.140625" style="39" bestFit="1" customWidth="1"/>
    <col min="1546" max="1546" width="11.42578125" style="39"/>
    <col min="1547" max="1547" width="11.5703125" style="39" bestFit="1" customWidth="1"/>
    <col min="1548" max="1549" width="11.42578125" style="39"/>
    <col min="1550" max="1550" width="11.85546875" style="39" bestFit="1" customWidth="1"/>
    <col min="1551" max="1551" width="11.42578125" style="39"/>
    <col min="1552" max="1552" width="11.85546875" style="39" bestFit="1" customWidth="1"/>
    <col min="1553" max="1792" width="11.42578125" style="39"/>
    <col min="1793" max="1793" width="13.140625" style="39" customWidth="1"/>
    <col min="1794" max="1794" width="27.5703125" style="39" customWidth="1"/>
    <col min="1795" max="1795" width="15.28515625" style="39" bestFit="1" customWidth="1"/>
    <col min="1796" max="1796" width="12.5703125" style="39" customWidth="1"/>
    <col min="1797" max="1797" width="11.5703125" style="39" bestFit="1" customWidth="1"/>
    <col min="1798" max="1798" width="14" style="39" customWidth="1"/>
    <col min="1799" max="1799" width="17.85546875" style="39" customWidth="1"/>
    <col min="1800" max="1800" width="14.42578125" style="39" customWidth="1"/>
    <col min="1801" max="1801" width="14.140625" style="39" bestFit="1" customWidth="1"/>
    <col min="1802" max="1802" width="11.42578125" style="39"/>
    <col min="1803" max="1803" width="11.5703125" style="39" bestFit="1" customWidth="1"/>
    <col min="1804" max="1805" width="11.42578125" style="39"/>
    <col min="1806" max="1806" width="11.85546875" style="39" bestFit="1" customWidth="1"/>
    <col min="1807" max="1807" width="11.42578125" style="39"/>
    <col min="1808" max="1808" width="11.85546875" style="39" bestFit="1" customWidth="1"/>
    <col min="1809" max="2048" width="11.42578125" style="39"/>
    <col min="2049" max="2049" width="13.140625" style="39" customWidth="1"/>
    <col min="2050" max="2050" width="27.5703125" style="39" customWidth="1"/>
    <col min="2051" max="2051" width="15.28515625" style="39" bestFit="1" customWidth="1"/>
    <col min="2052" max="2052" width="12.5703125" style="39" customWidth="1"/>
    <col min="2053" max="2053" width="11.5703125" style="39" bestFit="1" customWidth="1"/>
    <col min="2054" max="2054" width="14" style="39" customWidth="1"/>
    <col min="2055" max="2055" width="17.85546875" style="39" customWidth="1"/>
    <col min="2056" max="2056" width="14.42578125" style="39" customWidth="1"/>
    <col min="2057" max="2057" width="14.140625" style="39" bestFit="1" customWidth="1"/>
    <col min="2058" max="2058" width="11.42578125" style="39"/>
    <col min="2059" max="2059" width="11.5703125" style="39" bestFit="1" customWidth="1"/>
    <col min="2060" max="2061" width="11.42578125" style="39"/>
    <col min="2062" max="2062" width="11.85546875" style="39" bestFit="1" customWidth="1"/>
    <col min="2063" max="2063" width="11.42578125" style="39"/>
    <col min="2064" max="2064" width="11.85546875" style="39" bestFit="1" customWidth="1"/>
    <col min="2065" max="2304" width="11.42578125" style="39"/>
    <col min="2305" max="2305" width="13.140625" style="39" customWidth="1"/>
    <col min="2306" max="2306" width="27.5703125" style="39" customWidth="1"/>
    <col min="2307" max="2307" width="15.28515625" style="39" bestFit="1" customWidth="1"/>
    <col min="2308" max="2308" width="12.5703125" style="39" customWidth="1"/>
    <col min="2309" max="2309" width="11.5703125" style="39" bestFit="1" customWidth="1"/>
    <col min="2310" max="2310" width="14" style="39" customWidth="1"/>
    <col min="2311" max="2311" width="17.85546875" style="39" customWidth="1"/>
    <col min="2312" max="2312" width="14.42578125" style="39" customWidth="1"/>
    <col min="2313" max="2313" width="14.140625" style="39" bestFit="1" customWidth="1"/>
    <col min="2314" max="2314" width="11.42578125" style="39"/>
    <col min="2315" max="2315" width="11.5703125" style="39" bestFit="1" customWidth="1"/>
    <col min="2316" max="2317" width="11.42578125" style="39"/>
    <col min="2318" max="2318" width="11.85546875" style="39" bestFit="1" customWidth="1"/>
    <col min="2319" max="2319" width="11.42578125" style="39"/>
    <col min="2320" max="2320" width="11.85546875" style="39" bestFit="1" customWidth="1"/>
    <col min="2321" max="2560" width="11.42578125" style="39"/>
    <col min="2561" max="2561" width="13.140625" style="39" customWidth="1"/>
    <col min="2562" max="2562" width="27.5703125" style="39" customWidth="1"/>
    <col min="2563" max="2563" width="15.28515625" style="39" bestFit="1" customWidth="1"/>
    <col min="2564" max="2564" width="12.5703125" style="39" customWidth="1"/>
    <col min="2565" max="2565" width="11.5703125" style="39" bestFit="1" customWidth="1"/>
    <col min="2566" max="2566" width="14" style="39" customWidth="1"/>
    <col min="2567" max="2567" width="17.85546875" style="39" customWidth="1"/>
    <col min="2568" max="2568" width="14.42578125" style="39" customWidth="1"/>
    <col min="2569" max="2569" width="14.140625" style="39" bestFit="1" customWidth="1"/>
    <col min="2570" max="2570" width="11.42578125" style="39"/>
    <col min="2571" max="2571" width="11.5703125" style="39" bestFit="1" customWidth="1"/>
    <col min="2572" max="2573" width="11.42578125" style="39"/>
    <col min="2574" max="2574" width="11.85546875" style="39" bestFit="1" customWidth="1"/>
    <col min="2575" max="2575" width="11.42578125" style="39"/>
    <col min="2576" max="2576" width="11.85546875" style="39" bestFit="1" customWidth="1"/>
    <col min="2577" max="2816" width="11.42578125" style="39"/>
    <col min="2817" max="2817" width="13.140625" style="39" customWidth="1"/>
    <col min="2818" max="2818" width="27.5703125" style="39" customWidth="1"/>
    <col min="2819" max="2819" width="15.28515625" style="39" bestFit="1" customWidth="1"/>
    <col min="2820" max="2820" width="12.5703125" style="39" customWidth="1"/>
    <col min="2821" max="2821" width="11.5703125" style="39" bestFit="1" customWidth="1"/>
    <col min="2822" max="2822" width="14" style="39" customWidth="1"/>
    <col min="2823" max="2823" width="17.85546875" style="39" customWidth="1"/>
    <col min="2824" max="2824" width="14.42578125" style="39" customWidth="1"/>
    <col min="2825" max="2825" width="14.140625" style="39" bestFit="1" customWidth="1"/>
    <col min="2826" max="2826" width="11.42578125" style="39"/>
    <col min="2827" max="2827" width="11.5703125" style="39" bestFit="1" customWidth="1"/>
    <col min="2828" max="2829" width="11.42578125" style="39"/>
    <col min="2830" max="2830" width="11.85546875" style="39" bestFit="1" customWidth="1"/>
    <col min="2831" max="2831" width="11.42578125" style="39"/>
    <col min="2832" max="2832" width="11.85546875" style="39" bestFit="1" customWidth="1"/>
    <col min="2833" max="3072" width="11.42578125" style="39"/>
    <col min="3073" max="3073" width="13.140625" style="39" customWidth="1"/>
    <col min="3074" max="3074" width="27.5703125" style="39" customWidth="1"/>
    <col min="3075" max="3075" width="15.28515625" style="39" bestFit="1" customWidth="1"/>
    <col min="3076" max="3076" width="12.5703125" style="39" customWidth="1"/>
    <col min="3077" max="3077" width="11.5703125" style="39" bestFit="1" customWidth="1"/>
    <col min="3078" max="3078" width="14" style="39" customWidth="1"/>
    <col min="3079" max="3079" width="17.85546875" style="39" customWidth="1"/>
    <col min="3080" max="3080" width="14.42578125" style="39" customWidth="1"/>
    <col min="3081" max="3081" width="14.140625" style="39" bestFit="1" customWidth="1"/>
    <col min="3082" max="3082" width="11.42578125" style="39"/>
    <col min="3083" max="3083" width="11.5703125" style="39" bestFit="1" customWidth="1"/>
    <col min="3084" max="3085" width="11.42578125" style="39"/>
    <col min="3086" max="3086" width="11.85546875" style="39" bestFit="1" customWidth="1"/>
    <col min="3087" max="3087" width="11.42578125" style="39"/>
    <col min="3088" max="3088" width="11.85546875" style="39" bestFit="1" customWidth="1"/>
    <col min="3089" max="3328" width="11.42578125" style="39"/>
    <col min="3329" max="3329" width="13.140625" style="39" customWidth="1"/>
    <col min="3330" max="3330" width="27.5703125" style="39" customWidth="1"/>
    <col min="3331" max="3331" width="15.28515625" style="39" bestFit="1" customWidth="1"/>
    <col min="3332" max="3332" width="12.5703125" style="39" customWidth="1"/>
    <col min="3333" max="3333" width="11.5703125" style="39" bestFit="1" customWidth="1"/>
    <col min="3334" max="3334" width="14" style="39" customWidth="1"/>
    <col min="3335" max="3335" width="17.85546875" style="39" customWidth="1"/>
    <col min="3336" max="3336" width="14.42578125" style="39" customWidth="1"/>
    <col min="3337" max="3337" width="14.140625" style="39" bestFit="1" customWidth="1"/>
    <col min="3338" max="3338" width="11.42578125" style="39"/>
    <col min="3339" max="3339" width="11.5703125" style="39" bestFit="1" customWidth="1"/>
    <col min="3340" max="3341" width="11.42578125" style="39"/>
    <col min="3342" max="3342" width="11.85546875" style="39" bestFit="1" customWidth="1"/>
    <col min="3343" max="3343" width="11.42578125" style="39"/>
    <col min="3344" max="3344" width="11.85546875" style="39" bestFit="1" customWidth="1"/>
    <col min="3345" max="3584" width="11.42578125" style="39"/>
    <col min="3585" max="3585" width="13.140625" style="39" customWidth="1"/>
    <col min="3586" max="3586" width="27.5703125" style="39" customWidth="1"/>
    <col min="3587" max="3587" width="15.28515625" style="39" bestFit="1" customWidth="1"/>
    <col min="3588" max="3588" width="12.5703125" style="39" customWidth="1"/>
    <col min="3589" max="3589" width="11.5703125" style="39" bestFit="1" customWidth="1"/>
    <col min="3590" max="3590" width="14" style="39" customWidth="1"/>
    <col min="3591" max="3591" width="17.85546875" style="39" customWidth="1"/>
    <col min="3592" max="3592" width="14.42578125" style="39" customWidth="1"/>
    <col min="3593" max="3593" width="14.140625" style="39" bestFit="1" customWidth="1"/>
    <col min="3594" max="3594" width="11.42578125" style="39"/>
    <col min="3595" max="3595" width="11.5703125" style="39" bestFit="1" customWidth="1"/>
    <col min="3596" max="3597" width="11.42578125" style="39"/>
    <col min="3598" max="3598" width="11.85546875" style="39" bestFit="1" customWidth="1"/>
    <col min="3599" max="3599" width="11.42578125" style="39"/>
    <col min="3600" max="3600" width="11.85546875" style="39" bestFit="1" customWidth="1"/>
    <col min="3601" max="3840" width="11.42578125" style="39"/>
    <col min="3841" max="3841" width="13.140625" style="39" customWidth="1"/>
    <col min="3842" max="3842" width="27.5703125" style="39" customWidth="1"/>
    <col min="3843" max="3843" width="15.28515625" style="39" bestFit="1" customWidth="1"/>
    <col min="3844" max="3844" width="12.5703125" style="39" customWidth="1"/>
    <col min="3845" max="3845" width="11.5703125" style="39" bestFit="1" customWidth="1"/>
    <col min="3846" max="3846" width="14" style="39" customWidth="1"/>
    <col min="3847" max="3847" width="17.85546875" style="39" customWidth="1"/>
    <col min="3848" max="3848" width="14.42578125" style="39" customWidth="1"/>
    <col min="3849" max="3849" width="14.140625" style="39" bestFit="1" customWidth="1"/>
    <col min="3850" max="3850" width="11.42578125" style="39"/>
    <col min="3851" max="3851" width="11.5703125" style="39" bestFit="1" customWidth="1"/>
    <col min="3852" max="3853" width="11.42578125" style="39"/>
    <col min="3854" max="3854" width="11.85546875" style="39" bestFit="1" customWidth="1"/>
    <col min="3855" max="3855" width="11.42578125" style="39"/>
    <col min="3856" max="3856" width="11.85546875" style="39" bestFit="1" customWidth="1"/>
    <col min="3857" max="4096" width="11.42578125" style="39"/>
    <col min="4097" max="4097" width="13.140625" style="39" customWidth="1"/>
    <col min="4098" max="4098" width="27.5703125" style="39" customWidth="1"/>
    <col min="4099" max="4099" width="15.28515625" style="39" bestFit="1" customWidth="1"/>
    <col min="4100" max="4100" width="12.5703125" style="39" customWidth="1"/>
    <col min="4101" max="4101" width="11.5703125" style="39" bestFit="1" customWidth="1"/>
    <col min="4102" max="4102" width="14" style="39" customWidth="1"/>
    <col min="4103" max="4103" width="17.85546875" style="39" customWidth="1"/>
    <col min="4104" max="4104" width="14.42578125" style="39" customWidth="1"/>
    <col min="4105" max="4105" width="14.140625" style="39" bestFit="1" customWidth="1"/>
    <col min="4106" max="4106" width="11.42578125" style="39"/>
    <col min="4107" max="4107" width="11.5703125" style="39" bestFit="1" customWidth="1"/>
    <col min="4108" max="4109" width="11.42578125" style="39"/>
    <col min="4110" max="4110" width="11.85546875" style="39" bestFit="1" customWidth="1"/>
    <col min="4111" max="4111" width="11.42578125" style="39"/>
    <col min="4112" max="4112" width="11.85546875" style="39" bestFit="1" customWidth="1"/>
    <col min="4113" max="4352" width="11.42578125" style="39"/>
    <col min="4353" max="4353" width="13.140625" style="39" customWidth="1"/>
    <col min="4354" max="4354" width="27.5703125" style="39" customWidth="1"/>
    <col min="4355" max="4355" width="15.28515625" style="39" bestFit="1" customWidth="1"/>
    <col min="4356" max="4356" width="12.5703125" style="39" customWidth="1"/>
    <col min="4357" max="4357" width="11.5703125" style="39" bestFit="1" customWidth="1"/>
    <col min="4358" max="4358" width="14" style="39" customWidth="1"/>
    <col min="4359" max="4359" width="17.85546875" style="39" customWidth="1"/>
    <col min="4360" max="4360" width="14.42578125" style="39" customWidth="1"/>
    <col min="4361" max="4361" width="14.140625" style="39" bestFit="1" customWidth="1"/>
    <col min="4362" max="4362" width="11.42578125" style="39"/>
    <col min="4363" max="4363" width="11.5703125" style="39" bestFit="1" customWidth="1"/>
    <col min="4364" max="4365" width="11.42578125" style="39"/>
    <col min="4366" max="4366" width="11.85546875" style="39" bestFit="1" customWidth="1"/>
    <col min="4367" max="4367" width="11.42578125" style="39"/>
    <col min="4368" max="4368" width="11.85546875" style="39" bestFit="1" customWidth="1"/>
    <col min="4369" max="4608" width="11.42578125" style="39"/>
    <col min="4609" max="4609" width="13.140625" style="39" customWidth="1"/>
    <col min="4610" max="4610" width="27.5703125" style="39" customWidth="1"/>
    <col min="4611" max="4611" width="15.28515625" style="39" bestFit="1" customWidth="1"/>
    <col min="4612" max="4612" width="12.5703125" style="39" customWidth="1"/>
    <col min="4613" max="4613" width="11.5703125" style="39" bestFit="1" customWidth="1"/>
    <col min="4614" max="4614" width="14" style="39" customWidth="1"/>
    <col min="4615" max="4615" width="17.85546875" style="39" customWidth="1"/>
    <col min="4616" max="4616" width="14.42578125" style="39" customWidth="1"/>
    <col min="4617" max="4617" width="14.140625" style="39" bestFit="1" customWidth="1"/>
    <col min="4618" max="4618" width="11.42578125" style="39"/>
    <col min="4619" max="4619" width="11.5703125" style="39" bestFit="1" customWidth="1"/>
    <col min="4620" max="4621" width="11.42578125" style="39"/>
    <col min="4622" max="4622" width="11.85546875" style="39" bestFit="1" customWidth="1"/>
    <col min="4623" max="4623" width="11.42578125" style="39"/>
    <col min="4624" max="4624" width="11.85546875" style="39" bestFit="1" customWidth="1"/>
    <col min="4625" max="4864" width="11.42578125" style="39"/>
    <col min="4865" max="4865" width="13.140625" style="39" customWidth="1"/>
    <col min="4866" max="4866" width="27.5703125" style="39" customWidth="1"/>
    <col min="4867" max="4867" width="15.28515625" style="39" bestFit="1" customWidth="1"/>
    <col min="4868" max="4868" width="12.5703125" style="39" customWidth="1"/>
    <col min="4869" max="4869" width="11.5703125" style="39" bestFit="1" customWidth="1"/>
    <col min="4870" max="4870" width="14" style="39" customWidth="1"/>
    <col min="4871" max="4871" width="17.85546875" style="39" customWidth="1"/>
    <col min="4872" max="4872" width="14.42578125" style="39" customWidth="1"/>
    <col min="4873" max="4873" width="14.140625" style="39" bestFit="1" customWidth="1"/>
    <col min="4874" max="4874" width="11.42578125" style="39"/>
    <col min="4875" max="4875" width="11.5703125" style="39" bestFit="1" customWidth="1"/>
    <col min="4876" max="4877" width="11.42578125" style="39"/>
    <col min="4878" max="4878" width="11.85546875" style="39" bestFit="1" customWidth="1"/>
    <col min="4879" max="4879" width="11.42578125" style="39"/>
    <col min="4880" max="4880" width="11.85546875" style="39" bestFit="1" customWidth="1"/>
    <col min="4881" max="5120" width="11.42578125" style="39"/>
    <col min="5121" max="5121" width="13.140625" style="39" customWidth="1"/>
    <col min="5122" max="5122" width="27.5703125" style="39" customWidth="1"/>
    <col min="5123" max="5123" width="15.28515625" style="39" bestFit="1" customWidth="1"/>
    <col min="5124" max="5124" width="12.5703125" style="39" customWidth="1"/>
    <col min="5125" max="5125" width="11.5703125" style="39" bestFit="1" customWidth="1"/>
    <col min="5126" max="5126" width="14" style="39" customWidth="1"/>
    <col min="5127" max="5127" width="17.85546875" style="39" customWidth="1"/>
    <col min="5128" max="5128" width="14.42578125" style="39" customWidth="1"/>
    <col min="5129" max="5129" width="14.140625" style="39" bestFit="1" customWidth="1"/>
    <col min="5130" max="5130" width="11.42578125" style="39"/>
    <col min="5131" max="5131" width="11.5703125" style="39" bestFit="1" customWidth="1"/>
    <col min="5132" max="5133" width="11.42578125" style="39"/>
    <col min="5134" max="5134" width="11.85546875" style="39" bestFit="1" customWidth="1"/>
    <col min="5135" max="5135" width="11.42578125" style="39"/>
    <col min="5136" max="5136" width="11.85546875" style="39" bestFit="1" customWidth="1"/>
    <col min="5137" max="5376" width="11.42578125" style="39"/>
    <col min="5377" max="5377" width="13.140625" style="39" customWidth="1"/>
    <col min="5378" max="5378" width="27.5703125" style="39" customWidth="1"/>
    <col min="5379" max="5379" width="15.28515625" style="39" bestFit="1" customWidth="1"/>
    <col min="5380" max="5380" width="12.5703125" style="39" customWidth="1"/>
    <col min="5381" max="5381" width="11.5703125" style="39" bestFit="1" customWidth="1"/>
    <col min="5382" max="5382" width="14" style="39" customWidth="1"/>
    <col min="5383" max="5383" width="17.85546875" style="39" customWidth="1"/>
    <col min="5384" max="5384" width="14.42578125" style="39" customWidth="1"/>
    <col min="5385" max="5385" width="14.140625" style="39" bestFit="1" customWidth="1"/>
    <col min="5386" max="5386" width="11.42578125" style="39"/>
    <col min="5387" max="5387" width="11.5703125" style="39" bestFit="1" customWidth="1"/>
    <col min="5388" max="5389" width="11.42578125" style="39"/>
    <col min="5390" max="5390" width="11.85546875" style="39" bestFit="1" customWidth="1"/>
    <col min="5391" max="5391" width="11.42578125" style="39"/>
    <col min="5392" max="5392" width="11.85546875" style="39" bestFit="1" customWidth="1"/>
    <col min="5393" max="5632" width="11.42578125" style="39"/>
    <col min="5633" max="5633" width="13.140625" style="39" customWidth="1"/>
    <col min="5634" max="5634" width="27.5703125" style="39" customWidth="1"/>
    <col min="5635" max="5635" width="15.28515625" style="39" bestFit="1" customWidth="1"/>
    <col min="5636" max="5636" width="12.5703125" style="39" customWidth="1"/>
    <col min="5637" max="5637" width="11.5703125" style="39" bestFit="1" customWidth="1"/>
    <col min="5638" max="5638" width="14" style="39" customWidth="1"/>
    <col min="5639" max="5639" width="17.85546875" style="39" customWidth="1"/>
    <col min="5640" max="5640" width="14.42578125" style="39" customWidth="1"/>
    <col min="5641" max="5641" width="14.140625" style="39" bestFit="1" customWidth="1"/>
    <col min="5642" max="5642" width="11.42578125" style="39"/>
    <col min="5643" max="5643" width="11.5703125" style="39" bestFit="1" customWidth="1"/>
    <col min="5644" max="5645" width="11.42578125" style="39"/>
    <col min="5646" max="5646" width="11.85546875" style="39" bestFit="1" customWidth="1"/>
    <col min="5647" max="5647" width="11.42578125" style="39"/>
    <col min="5648" max="5648" width="11.85546875" style="39" bestFit="1" customWidth="1"/>
    <col min="5649" max="5888" width="11.42578125" style="39"/>
    <col min="5889" max="5889" width="13.140625" style="39" customWidth="1"/>
    <col min="5890" max="5890" width="27.5703125" style="39" customWidth="1"/>
    <col min="5891" max="5891" width="15.28515625" style="39" bestFit="1" customWidth="1"/>
    <col min="5892" max="5892" width="12.5703125" style="39" customWidth="1"/>
    <col min="5893" max="5893" width="11.5703125" style="39" bestFit="1" customWidth="1"/>
    <col min="5894" max="5894" width="14" style="39" customWidth="1"/>
    <col min="5895" max="5895" width="17.85546875" style="39" customWidth="1"/>
    <col min="5896" max="5896" width="14.42578125" style="39" customWidth="1"/>
    <col min="5897" max="5897" width="14.140625" style="39" bestFit="1" customWidth="1"/>
    <col min="5898" max="5898" width="11.42578125" style="39"/>
    <col min="5899" max="5899" width="11.5703125" style="39" bestFit="1" customWidth="1"/>
    <col min="5900" max="5901" width="11.42578125" style="39"/>
    <col min="5902" max="5902" width="11.85546875" style="39" bestFit="1" customWidth="1"/>
    <col min="5903" max="5903" width="11.42578125" style="39"/>
    <col min="5904" max="5904" width="11.85546875" style="39" bestFit="1" customWidth="1"/>
    <col min="5905" max="6144" width="11.42578125" style="39"/>
    <col min="6145" max="6145" width="13.140625" style="39" customWidth="1"/>
    <col min="6146" max="6146" width="27.5703125" style="39" customWidth="1"/>
    <col min="6147" max="6147" width="15.28515625" style="39" bestFit="1" customWidth="1"/>
    <col min="6148" max="6148" width="12.5703125" style="39" customWidth="1"/>
    <col min="6149" max="6149" width="11.5703125" style="39" bestFit="1" customWidth="1"/>
    <col min="6150" max="6150" width="14" style="39" customWidth="1"/>
    <col min="6151" max="6151" width="17.85546875" style="39" customWidth="1"/>
    <col min="6152" max="6152" width="14.42578125" style="39" customWidth="1"/>
    <col min="6153" max="6153" width="14.140625" style="39" bestFit="1" customWidth="1"/>
    <col min="6154" max="6154" width="11.42578125" style="39"/>
    <col min="6155" max="6155" width="11.5703125" style="39" bestFit="1" customWidth="1"/>
    <col min="6156" max="6157" width="11.42578125" style="39"/>
    <col min="6158" max="6158" width="11.85546875" style="39" bestFit="1" customWidth="1"/>
    <col min="6159" max="6159" width="11.42578125" style="39"/>
    <col min="6160" max="6160" width="11.85546875" style="39" bestFit="1" customWidth="1"/>
    <col min="6161" max="6400" width="11.42578125" style="39"/>
    <col min="6401" max="6401" width="13.140625" style="39" customWidth="1"/>
    <col min="6402" max="6402" width="27.5703125" style="39" customWidth="1"/>
    <col min="6403" max="6403" width="15.28515625" style="39" bestFit="1" customWidth="1"/>
    <col min="6404" max="6404" width="12.5703125" style="39" customWidth="1"/>
    <col min="6405" max="6405" width="11.5703125" style="39" bestFit="1" customWidth="1"/>
    <col min="6406" max="6406" width="14" style="39" customWidth="1"/>
    <col min="6407" max="6407" width="17.85546875" style="39" customWidth="1"/>
    <col min="6408" max="6408" width="14.42578125" style="39" customWidth="1"/>
    <col min="6409" max="6409" width="14.140625" style="39" bestFit="1" customWidth="1"/>
    <col min="6410" max="6410" width="11.42578125" style="39"/>
    <col min="6411" max="6411" width="11.5703125" style="39" bestFit="1" customWidth="1"/>
    <col min="6412" max="6413" width="11.42578125" style="39"/>
    <col min="6414" max="6414" width="11.85546875" style="39" bestFit="1" customWidth="1"/>
    <col min="6415" max="6415" width="11.42578125" style="39"/>
    <col min="6416" max="6416" width="11.85546875" style="39" bestFit="1" customWidth="1"/>
    <col min="6417" max="6656" width="11.42578125" style="39"/>
    <col min="6657" max="6657" width="13.140625" style="39" customWidth="1"/>
    <col min="6658" max="6658" width="27.5703125" style="39" customWidth="1"/>
    <col min="6659" max="6659" width="15.28515625" style="39" bestFit="1" customWidth="1"/>
    <col min="6660" max="6660" width="12.5703125" style="39" customWidth="1"/>
    <col min="6661" max="6661" width="11.5703125" style="39" bestFit="1" customWidth="1"/>
    <col min="6662" max="6662" width="14" style="39" customWidth="1"/>
    <col min="6663" max="6663" width="17.85546875" style="39" customWidth="1"/>
    <col min="6664" max="6664" width="14.42578125" style="39" customWidth="1"/>
    <col min="6665" max="6665" width="14.140625" style="39" bestFit="1" customWidth="1"/>
    <col min="6666" max="6666" width="11.42578125" style="39"/>
    <col min="6667" max="6667" width="11.5703125" style="39" bestFit="1" customWidth="1"/>
    <col min="6668" max="6669" width="11.42578125" style="39"/>
    <col min="6670" max="6670" width="11.85546875" style="39" bestFit="1" customWidth="1"/>
    <col min="6671" max="6671" width="11.42578125" style="39"/>
    <col min="6672" max="6672" width="11.85546875" style="39" bestFit="1" customWidth="1"/>
    <col min="6673" max="6912" width="11.42578125" style="39"/>
    <col min="6913" max="6913" width="13.140625" style="39" customWidth="1"/>
    <col min="6914" max="6914" width="27.5703125" style="39" customWidth="1"/>
    <col min="6915" max="6915" width="15.28515625" style="39" bestFit="1" customWidth="1"/>
    <col min="6916" max="6916" width="12.5703125" style="39" customWidth="1"/>
    <col min="6917" max="6917" width="11.5703125" style="39" bestFit="1" customWidth="1"/>
    <col min="6918" max="6918" width="14" style="39" customWidth="1"/>
    <col min="6919" max="6919" width="17.85546875" style="39" customWidth="1"/>
    <col min="6920" max="6920" width="14.42578125" style="39" customWidth="1"/>
    <col min="6921" max="6921" width="14.140625" style="39" bestFit="1" customWidth="1"/>
    <col min="6922" max="6922" width="11.42578125" style="39"/>
    <col min="6923" max="6923" width="11.5703125" style="39" bestFit="1" customWidth="1"/>
    <col min="6924" max="6925" width="11.42578125" style="39"/>
    <col min="6926" max="6926" width="11.85546875" style="39" bestFit="1" customWidth="1"/>
    <col min="6927" max="6927" width="11.42578125" style="39"/>
    <col min="6928" max="6928" width="11.85546875" style="39" bestFit="1" customWidth="1"/>
    <col min="6929" max="7168" width="11.42578125" style="39"/>
    <col min="7169" max="7169" width="13.140625" style="39" customWidth="1"/>
    <col min="7170" max="7170" width="27.5703125" style="39" customWidth="1"/>
    <col min="7171" max="7171" width="15.28515625" style="39" bestFit="1" customWidth="1"/>
    <col min="7172" max="7172" width="12.5703125" style="39" customWidth="1"/>
    <col min="7173" max="7173" width="11.5703125" style="39" bestFit="1" customWidth="1"/>
    <col min="7174" max="7174" width="14" style="39" customWidth="1"/>
    <col min="7175" max="7175" width="17.85546875" style="39" customWidth="1"/>
    <col min="7176" max="7176" width="14.42578125" style="39" customWidth="1"/>
    <col min="7177" max="7177" width="14.140625" style="39" bestFit="1" customWidth="1"/>
    <col min="7178" max="7178" width="11.42578125" style="39"/>
    <col min="7179" max="7179" width="11.5703125" style="39" bestFit="1" customWidth="1"/>
    <col min="7180" max="7181" width="11.42578125" style="39"/>
    <col min="7182" max="7182" width="11.85546875" style="39" bestFit="1" customWidth="1"/>
    <col min="7183" max="7183" width="11.42578125" style="39"/>
    <col min="7184" max="7184" width="11.85546875" style="39" bestFit="1" customWidth="1"/>
    <col min="7185" max="7424" width="11.42578125" style="39"/>
    <col min="7425" max="7425" width="13.140625" style="39" customWidth="1"/>
    <col min="7426" max="7426" width="27.5703125" style="39" customWidth="1"/>
    <col min="7427" max="7427" width="15.28515625" style="39" bestFit="1" customWidth="1"/>
    <col min="7428" max="7428" width="12.5703125" style="39" customWidth="1"/>
    <col min="7429" max="7429" width="11.5703125" style="39" bestFit="1" customWidth="1"/>
    <col min="7430" max="7430" width="14" style="39" customWidth="1"/>
    <col min="7431" max="7431" width="17.85546875" style="39" customWidth="1"/>
    <col min="7432" max="7432" width="14.42578125" style="39" customWidth="1"/>
    <col min="7433" max="7433" width="14.140625" style="39" bestFit="1" customWidth="1"/>
    <col min="7434" max="7434" width="11.42578125" style="39"/>
    <col min="7435" max="7435" width="11.5703125" style="39" bestFit="1" customWidth="1"/>
    <col min="7436" max="7437" width="11.42578125" style="39"/>
    <col min="7438" max="7438" width="11.85546875" style="39" bestFit="1" customWidth="1"/>
    <col min="7439" max="7439" width="11.42578125" style="39"/>
    <col min="7440" max="7440" width="11.85546875" style="39" bestFit="1" customWidth="1"/>
    <col min="7441" max="7680" width="11.42578125" style="39"/>
    <col min="7681" max="7681" width="13.140625" style="39" customWidth="1"/>
    <col min="7682" max="7682" width="27.5703125" style="39" customWidth="1"/>
    <col min="7683" max="7683" width="15.28515625" style="39" bestFit="1" customWidth="1"/>
    <col min="7684" max="7684" width="12.5703125" style="39" customWidth="1"/>
    <col min="7685" max="7685" width="11.5703125" style="39" bestFit="1" customWidth="1"/>
    <col min="7686" max="7686" width="14" style="39" customWidth="1"/>
    <col min="7687" max="7687" width="17.85546875" style="39" customWidth="1"/>
    <col min="7688" max="7688" width="14.42578125" style="39" customWidth="1"/>
    <col min="7689" max="7689" width="14.140625" style="39" bestFit="1" customWidth="1"/>
    <col min="7690" max="7690" width="11.42578125" style="39"/>
    <col min="7691" max="7691" width="11.5703125" style="39" bestFit="1" customWidth="1"/>
    <col min="7692" max="7693" width="11.42578125" style="39"/>
    <col min="7694" max="7694" width="11.85546875" style="39" bestFit="1" customWidth="1"/>
    <col min="7695" max="7695" width="11.42578125" style="39"/>
    <col min="7696" max="7696" width="11.85546875" style="39" bestFit="1" customWidth="1"/>
    <col min="7697" max="7936" width="11.42578125" style="39"/>
    <col min="7937" max="7937" width="13.140625" style="39" customWidth="1"/>
    <col min="7938" max="7938" width="27.5703125" style="39" customWidth="1"/>
    <col min="7939" max="7939" width="15.28515625" style="39" bestFit="1" customWidth="1"/>
    <col min="7940" max="7940" width="12.5703125" style="39" customWidth="1"/>
    <col min="7941" max="7941" width="11.5703125" style="39" bestFit="1" customWidth="1"/>
    <col min="7942" max="7942" width="14" style="39" customWidth="1"/>
    <col min="7943" max="7943" width="17.85546875" style="39" customWidth="1"/>
    <col min="7944" max="7944" width="14.42578125" style="39" customWidth="1"/>
    <col min="7945" max="7945" width="14.140625" style="39" bestFit="1" customWidth="1"/>
    <col min="7946" max="7946" width="11.42578125" style="39"/>
    <col min="7947" max="7947" width="11.5703125" style="39" bestFit="1" customWidth="1"/>
    <col min="7948" max="7949" width="11.42578125" style="39"/>
    <col min="7950" max="7950" width="11.85546875" style="39" bestFit="1" customWidth="1"/>
    <col min="7951" max="7951" width="11.42578125" style="39"/>
    <col min="7952" max="7952" width="11.85546875" style="39" bestFit="1" customWidth="1"/>
    <col min="7953" max="8192" width="11.42578125" style="39"/>
    <col min="8193" max="8193" width="13.140625" style="39" customWidth="1"/>
    <col min="8194" max="8194" width="27.5703125" style="39" customWidth="1"/>
    <col min="8195" max="8195" width="15.28515625" style="39" bestFit="1" customWidth="1"/>
    <col min="8196" max="8196" width="12.5703125" style="39" customWidth="1"/>
    <col min="8197" max="8197" width="11.5703125" style="39" bestFit="1" customWidth="1"/>
    <col min="8198" max="8198" width="14" style="39" customWidth="1"/>
    <col min="8199" max="8199" width="17.85546875" style="39" customWidth="1"/>
    <col min="8200" max="8200" width="14.42578125" style="39" customWidth="1"/>
    <col min="8201" max="8201" width="14.140625" style="39" bestFit="1" customWidth="1"/>
    <col min="8202" max="8202" width="11.42578125" style="39"/>
    <col min="8203" max="8203" width="11.5703125" style="39" bestFit="1" customWidth="1"/>
    <col min="8204" max="8205" width="11.42578125" style="39"/>
    <col min="8206" max="8206" width="11.85546875" style="39" bestFit="1" customWidth="1"/>
    <col min="8207" max="8207" width="11.42578125" style="39"/>
    <col min="8208" max="8208" width="11.85546875" style="39" bestFit="1" customWidth="1"/>
    <col min="8209" max="8448" width="11.42578125" style="39"/>
    <col min="8449" max="8449" width="13.140625" style="39" customWidth="1"/>
    <col min="8450" max="8450" width="27.5703125" style="39" customWidth="1"/>
    <col min="8451" max="8451" width="15.28515625" style="39" bestFit="1" customWidth="1"/>
    <col min="8452" max="8452" width="12.5703125" style="39" customWidth="1"/>
    <col min="8453" max="8453" width="11.5703125" style="39" bestFit="1" customWidth="1"/>
    <col min="8454" max="8454" width="14" style="39" customWidth="1"/>
    <col min="8455" max="8455" width="17.85546875" style="39" customWidth="1"/>
    <col min="8456" max="8456" width="14.42578125" style="39" customWidth="1"/>
    <col min="8457" max="8457" width="14.140625" style="39" bestFit="1" customWidth="1"/>
    <col min="8458" max="8458" width="11.42578125" style="39"/>
    <col min="8459" max="8459" width="11.5703125" style="39" bestFit="1" customWidth="1"/>
    <col min="8460" max="8461" width="11.42578125" style="39"/>
    <col min="8462" max="8462" width="11.85546875" style="39" bestFit="1" customWidth="1"/>
    <col min="8463" max="8463" width="11.42578125" style="39"/>
    <col min="8464" max="8464" width="11.85546875" style="39" bestFit="1" customWidth="1"/>
    <col min="8465" max="8704" width="11.42578125" style="39"/>
    <col min="8705" max="8705" width="13.140625" style="39" customWidth="1"/>
    <col min="8706" max="8706" width="27.5703125" style="39" customWidth="1"/>
    <col min="8707" max="8707" width="15.28515625" style="39" bestFit="1" customWidth="1"/>
    <col min="8708" max="8708" width="12.5703125" style="39" customWidth="1"/>
    <col min="8709" max="8709" width="11.5703125" style="39" bestFit="1" customWidth="1"/>
    <col min="8710" max="8710" width="14" style="39" customWidth="1"/>
    <col min="8711" max="8711" width="17.85546875" style="39" customWidth="1"/>
    <col min="8712" max="8712" width="14.42578125" style="39" customWidth="1"/>
    <col min="8713" max="8713" width="14.140625" style="39" bestFit="1" customWidth="1"/>
    <col min="8714" max="8714" width="11.42578125" style="39"/>
    <col min="8715" max="8715" width="11.5703125" style="39" bestFit="1" customWidth="1"/>
    <col min="8716" max="8717" width="11.42578125" style="39"/>
    <col min="8718" max="8718" width="11.85546875" style="39" bestFit="1" customWidth="1"/>
    <col min="8719" max="8719" width="11.42578125" style="39"/>
    <col min="8720" max="8720" width="11.85546875" style="39" bestFit="1" customWidth="1"/>
    <col min="8721" max="8960" width="11.42578125" style="39"/>
    <col min="8961" max="8961" width="13.140625" style="39" customWidth="1"/>
    <col min="8962" max="8962" width="27.5703125" style="39" customWidth="1"/>
    <col min="8963" max="8963" width="15.28515625" style="39" bestFit="1" customWidth="1"/>
    <col min="8964" max="8964" width="12.5703125" style="39" customWidth="1"/>
    <col min="8965" max="8965" width="11.5703125" style="39" bestFit="1" customWidth="1"/>
    <col min="8966" max="8966" width="14" style="39" customWidth="1"/>
    <col min="8967" max="8967" width="17.85546875" style="39" customWidth="1"/>
    <col min="8968" max="8968" width="14.42578125" style="39" customWidth="1"/>
    <col min="8969" max="8969" width="14.140625" style="39" bestFit="1" customWidth="1"/>
    <col min="8970" max="8970" width="11.42578125" style="39"/>
    <col min="8971" max="8971" width="11.5703125" style="39" bestFit="1" customWidth="1"/>
    <col min="8972" max="8973" width="11.42578125" style="39"/>
    <col min="8974" max="8974" width="11.85546875" style="39" bestFit="1" customWidth="1"/>
    <col min="8975" max="8975" width="11.42578125" style="39"/>
    <col min="8976" max="8976" width="11.85546875" style="39" bestFit="1" customWidth="1"/>
    <col min="8977" max="9216" width="11.42578125" style="39"/>
    <col min="9217" max="9217" width="13.140625" style="39" customWidth="1"/>
    <col min="9218" max="9218" width="27.5703125" style="39" customWidth="1"/>
    <col min="9219" max="9219" width="15.28515625" style="39" bestFit="1" customWidth="1"/>
    <col min="9220" max="9220" width="12.5703125" style="39" customWidth="1"/>
    <col min="9221" max="9221" width="11.5703125" style="39" bestFit="1" customWidth="1"/>
    <col min="9222" max="9222" width="14" style="39" customWidth="1"/>
    <col min="9223" max="9223" width="17.85546875" style="39" customWidth="1"/>
    <col min="9224" max="9224" width="14.42578125" style="39" customWidth="1"/>
    <col min="9225" max="9225" width="14.140625" style="39" bestFit="1" customWidth="1"/>
    <col min="9226" max="9226" width="11.42578125" style="39"/>
    <col min="9227" max="9227" width="11.5703125" style="39" bestFit="1" customWidth="1"/>
    <col min="9228" max="9229" width="11.42578125" style="39"/>
    <col min="9230" max="9230" width="11.85546875" style="39" bestFit="1" customWidth="1"/>
    <col min="9231" max="9231" width="11.42578125" style="39"/>
    <col min="9232" max="9232" width="11.85546875" style="39" bestFit="1" customWidth="1"/>
    <col min="9233" max="9472" width="11.42578125" style="39"/>
    <col min="9473" max="9473" width="13.140625" style="39" customWidth="1"/>
    <col min="9474" max="9474" width="27.5703125" style="39" customWidth="1"/>
    <col min="9475" max="9475" width="15.28515625" style="39" bestFit="1" customWidth="1"/>
    <col min="9476" max="9476" width="12.5703125" style="39" customWidth="1"/>
    <col min="9477" max="9477" width="11.5703125" style="39" bestFit="1" customWidth="1"/>
    <col min="9478" max="9478" width="14" style="39" customWidth="1"/>
    <col min="9479" max="9479" width="17.85546875" style="39" customWidth="1"/>
    <col min="9480" max="9480" width="14.42578125" style="39" customWidth="1"/>
    <col min="9481" max="9481" width="14.140625" style="39" bestFit="1" customWidth="1"/>
    <col min="9482" max="9482" width="11.42578125" style="39"/>
    <col min="9483" max="9483" width="11.5703125" style="39" bestFit="1" customWidth="1"/>
    <col min="9484" max="9485" width="11.42578125" style="39"/>
    <col min="9486" max="9486" width="11.85546875" style="39" bestFit="1" customWidth="1"/>
    <col min="9487" max="9487" width="11.42578125" style="39"/>
    <col min="9488" max="9488" width="11.85546875" style="39" bestFit="1" customWidth="1"/>
    <col min="9489" max="9728" width="11.42578125" style="39"/>
    <col min="9729" max="9729" width="13.140625" style="39" customWidth="1"/>
    <col min="9730" max="9730" width="27.5703125" style="39" customWidth="1"/>
    <col min="9731" max="9731" width="15.28515625" style="39" bestFit="1" customWidth="1"/>
    <col min="9732" max="9732" width="12.5703125" style="39" customWidth="1"/>
    <col min="9733" max="9733" width="11.5703125" style="39" bestFit="1" customWidth="1"/>
    <col min="9734" max="9734" width="14" style="39" customWidth="1"/>
    <col min="9735" max="9735" width="17.85546875" style="39" customWidth="1"/>
    <col min="9736" max="9736" width="14.42578125" style="39" customWidth="1"/>
    <col min="9737" max="9737" width="14.140625" style="39" bestFit="1" customWidth="1"/>
    <col min="9738" max="9738" width="11.42578125" style="39"/>
    <col min="9739" max="9739" width="11.5703125" style="39" bestFit="1" customWidth="1"/>
    <col min="9740" max="9741" width="11.42578125" style="39"/>
    <col min="9742" max="9742" width="11.85546875" style="39" bestFit="1" customWidth="1"/>
    <col min="9743" max="9743" width="11.42578125" style="39"/>
    <col min="9744" max="9744" width="11.85546875" style="39" bestFit="1" customWidth="1"/>
    <col min="9745" max="9984" width="11.42578125" style="39"/>
    <col min="9985" max="9985" width="13.140625" style="39" customWidth="1"/>
    <col min="9986" max="9986" width="27.5703125" style="39" customWidth="1"/>
    <col min="9987" max="9987" width="15.28515625" style="39" bestFit="1" customWidth="1"/>
    <col min="9988" max="9988" width="12.5703125" style="39" customWidth="1"/>
    <col min="9989" max="9989" width="11.5703125" style="39" bestFit="1" customWidth="1"/>
    <col min="9990" max="9990" width="14" style="39" customWidth="1"/>
    <col min="9991" max="9991" width="17.85546875" style="39" customWidth="1"/>
    <col min="9992" max="9992" width="14.42578125" style="39" customWidth="1"/>
    <col min="9993" max="9993" width="14.140625" style="39" bestFit="1" customWidth="1"/>
    <col min="9994" max="9994" width="11.42578125" style="39"/>
    <col min="9995" max="9995" width="11.5703125" style="39" bestFit="1" customWidth="1"/>
    <col min="9996" max="9997" width="11.42578125" style="39"/>
    <col min="9998" max="9998" width="11.85546875" style="39" bestFit="1" customWidth="1"/>
    <col min="9999" max="9999" width="11.42578125" style="39"/>
    <col min="10000" max="10000" width="11.85546875" style="39" bestFit="1" customWidth="1"/>
    <col min="10001" max="10240" width="11.42578125" style="39"/>
    <col min="10241" max="10241" width="13.140625" style="39" customWidth="1"/>
    <col min="10242" max="10242" width="27.5703125" style="39" customWidth="1"/>
    <col min="10243" max="10243" width="15.28515625" style="39" bestFit="1" customWidth="1"/>
    <col min="10244" max="10244" width="12.5703125" style="39" customWidth="1"/>
    <col min="10245" max="10245" width="11.5703125" style="39" bestFit="1" customWidth="1"/>
    <col min="10246" max="10246" width="14" style="39" customWidth="1"/>
    <col min="10247" max="10247" width="17.85546875" style="39" customWidth="1"/>
    <col min="10248" max="10248" width="14.42578125" style="39" customWidth="1"/>
    <col min="10249" max="10249" width="14.140625" style="39" bestFit="1" customWidth="1"/>
    <col min="10250" max="10250" width="11.42578125" style="39"/>
    <col min="10251" max="10251" width="11.5703125" style="39" bestFit="1" customWidth="1"/>
    <col min="10252" max="10253" width="11.42578125" style="39"/>
    <col min="10254" max="10254" width="11.85546875" style="39" bestFit="1" customWidth="1"/>
    <col min="10255" max="10255" width="11.42578125" style="39"/>
    <col min="10256" max="10256" width="11.85546875" style="39" bestFit="1" customWidth="1"/>
    <col min="10257" max="10496" width="11.42578125" style="39"/>
    <col min="10497" max="10497" width="13.140625" style="39" customWidth="1"/>
    <col min="10498" max="10498" width="27.5703125" style="39" customWidth="1"/>
    <col min="10499" max="10499" width="15.28515625" style="39" bestFit="1" customWidth="1"/>
    <col min="10500" max="10500" width="12.5703125" style="39" customWidth="1"/>
    <col min="10501" max="10501" width="11.5703125" style="39" bestFit="1" customWidth="1"/>
    <col min="10502" max="10502" width="14" style="39" customWidth="1"/>
    <col min="10503" max="10503" width="17.85546875" style="39" customWidth="1"/>
    <col min="10504" max="10504" width="14.42578125" style="39" customWidth="1"/>
    <col min="10505" max="10505" width="14.140625" style="39" bestFit="1" customWidth="1"/>
    <col min="10506" max="10506" width="11.42578125" style="39"/>
    <col min="10507" max="10507" width="11.5703125" style="39" bestFit="1" customWidth="1"/>
    <col min="10508" max="10509" width="11.42578125" style="39"/>
    <col min="10510" max="10510" width="11.85546875" style="39" bestFit="1" customWidth="1"/>
    <col min="10511" max="10511" width="11.42578125" style="39"/>
    <col min="10512" max="10512" width="11.85546875" style="39" bestFit="1" customWidth="1"/>
    <col min="10513" max="10752" width="11.42578125" style="39"/>
    <col min="10753" max="10753" width="13.140625" style="39" customWidth="1"/>
    <col min="10754" max="10754" width="27.5703125" style="39" customWidth="1"/>
    <col min="10755" max="10755" width="15.28515625" style="39" bestFit="1" customWidth="1"/>
    <col min="10756" max="10756" width="12.5703125" style="39" customWidth="1"/>
    <col min="10757" max="10757" width="11.5703125" style="39" bestFit="1" customWidth="1"/>
    <col min="10758" max="10758" width="14" style="39" customWidth="1"/>
    <col min="10759" max="10759" width="17.85546875" style="39" customWidth="1"/>
    <col min="10760" max="10760" width="14.42578125" style="39" customWidth="1"/>
    <col min="10761" max="10761" width="14.140625" style="39" bestFit="1" customWidth="1"/>
    <col min="10762" max="10762" width="11.42578125" style="39"/>
    <col min="10763" max="10763" width="11.5703125" style="39" bestFit="1" customWidth="1"/>
    <col min="10764" max="10765" width="11.42578125" style="39"/>
    <col min="10766" max="10766" width="11.85546875" style="39" bestFit="1" customWidth="1"/>
    <col min="10767" max="10767" width="11.42578125" style="39"/>
    <col min="10768" max="10768" width="11.85546875" style="39" bestFit="1" customWidth="1"/>
    <col min="10769" max="11008" width="11.42578125" style="39"/>
    <col min="11009" max="11009" width="13.140625" style="39" customWidth="1"/>
    <col min="11010" max="11010" width="27.5703125" style="39" customWidth="1"/>
    <col min="11011" max="11011" width="15.28515625" style="39" bestFit="1" customWidth="1"/>
    <col min="11012" max="11012" width="12.5703125" style="39" customWidth="1"/>
    <col min="11013" max="11013" width="11.5703125" style="39" bestFit="1" customWidth="1"/>
    <col min="11014" max="11014" width="14" style="39" customWidth="1"/>
    <col min="11015" max="11015" width="17.85546875" style="39" customWidth="1"/>
    <col min="11016" max="11016" width="14.42578125" style="39" customWidth="1"/>
    <col min="11017" max="11017" width="14.140625" style="39" bestFit="1" customWidth="1"/>
    <col min="11018" max="11018" width="11.42578125" style="39"/>
    <col min="11019" max="11019" width="11.5703125" style="39" bestFit="1" customWidth="1"/>
    <col min="11020" max="11021" width="11.42578125" style="39"/>
    <col min="11022" max="11022" width="11.85546875" style="39" bestFit="1" customWidth="1"/>
    <col min="11023" max="11023" width="11.42578125" style="39"/>
    <col min="11024" max="11024" width="11.85546875" style="39" bestFit="1" customWidth="1"/>
    <col min="11025" max="11264" width="11.42578125" style="39"/>
    <col min="11265" max="11265" width="13.140625" style="39" customWidth="1"/>
    <col min="11266" max="11266" width="27.5703125" style="39" customWidth="1"/>
    <col min="11267" max="11267" width="15.28515625" style="39" bestFit="1" customWidth="1"/>
    <col min="11268" max="11268" width="12.5703125" style="39" customWidth="1"/>
    <col min="11269" max="11269" width="11.5703125" style="39" bestFit="1" customWidth="1"/>
    <col min="11270" max="11270" width="14" style="39" customWidth="1"/>
    <col min="11271" max="11271" width="17.85546875" style="39" customWidth="1"/>
    <col min="11272" max="11272" width="14.42578125" style="39" customWidth="1"/>
    <col min="11273" max="11273" width="14.140625" style="39" bestFit="1" customWidth="1"/>
    <col min="11274" max="11274" width="11.42578125" style="39"/>
    <col min="11275" max="11275" width="11.5703125" style="39" bestFit="1" customWidth="1"/>
    <col min="11276" max="11277" width="11.42578125" style="39"/>
    <col min="11278" max="11278" width="11.85546875" style="39" bestFit="1" customWidth="1"/>
    <col min="11279" max="11279" width="11.42578125" style="39"/>
    <col min="11280" max="11280" width="11.85546875" style="39" bestFit="1" customWidth="1"/>
    <col min="11281" max="11520" width="11.42578125" style="39"/>
    <col min="11521" max="11521" width="13.140625" style="39" customWidth="1"/>
    <col min="11522" max="11522" width="27.5703125" style="39" customWidth="1"/>
    <col min="11523" max="11523" width="15.28515625" style="39" bestFit="1" customWidth="1"/>
    <col min="11524" max="11524" width="12.5703125" style="39" customWidth="1"/>
    <col min="11525" max="11525" width="11.5703125" style="39" bestFit="1" customWidth="1"/>
    <col min="11526" max="11526" width="14" style="39" customWidth="1"/>
    <col min="11527" max="11527" width="17.85546875" style="39" customWidth="1"/>
    <col min="11528" max="11528" width="14.42578125" style="39" customWidth="1"/>
    <col min="11529" max="11529" width="14.140625" style="39" bestFit="1" customWidth="1"/>
    <col min="11530" max="11530" width="11.42578125" style="39"/>
    <col min="11531" max="11531" width="11.5703125" style="39" bestFit="1" customWidth="1"/>
    <col min="11532" max="11533" width="11.42578125" style="39"/>
    <col min="11534" max="11534" width="11.85546875" style="39" bestFit="1" customWidth="1"/>
    <col min="11535" max="11535" width="11.42578125" style="39"/>
    <col min="11536" max="11536" width="11.85546875" style="39" bestFit="1" customWidth="1"/>
    <col min="11537" max="11776" width="11.42578125" style="39"/>
    <col min="11777" max="11777" width="13.140625" style="39" customWidth="1"/>
    <col min="11778" max="11778" width="27.5703125" style="39" customWidth="1"/>
    <col min="11779" max="11779" width="15.28515625" style="39" bestFit="1" customWidth="1"/>
    <col min="11780" max="11780" width="12.5703125" style="39" customWidth="1"/>
    <col min="11781" max="11781" width="11.5703125" style="39" bestFit="1" customWidth="1"/>
    <col min="11782" max="11782" width="14" style="39" customWidth="1"/>
    <col min="11783" max="11783" width="17.85546875" style="39" customWidth="1"/>
    <col min="11784" max="11784" width="14.42578125" style="39" customWidth="1"/>
    <col min="11785" max="11785" width="14.140625" style="39" bestFit="1" customWidth="1"/>
    <col min="11786" max="11786" width="11.42578125" style="39"/>
    <col min="11787" max="11787" width="11.5703125" style="39" bestFit="1" customWidth="1"/>
    <col min="11788" max="11789" width="11.42578125" style="39"/>
    <col min="11790" max="11790" width="11.85546875" style="39" bestFit="1" customWidth="1"/>
    <col min="11791" max="11791" width="11.42578125" style="39"/>
    <col min="11792" max="11792" width="11.85546875" style="39" bestFit="1" customWidth="1"/>
    <col min="11793" max="12032" width="11.42578125" style="39"/>
    <col min="12033" max="12033" width="13.140625" style="39" customWidth="1"/>
    <col min="12034" max="12034" width="27.5703125" style="39" customWidth="1"/>
    <col min="12035" max="12035" width="15.28515625" style="39" bestFit="1" customWidth="1"/>
    <col min="12036" max="12036" width="12.5703125" style="39" customWidth="1"/>
    <col min="12037" max="12037" width="11.5703125" style="39" bestFit="1" customWidth="1"/>
    <col min="12038" max="12038" width="14" style="39" customWidth="1"/>
    <col min="12039" max="12039" width="17.85546875" style="39" customWidth="1"/>
    <col min="12040" max="12040" width="14.42578125" style="39" customWidth="1"/>
    <col min="12041" max="12041" width="14.140625" style="39" bestFit="1" customWidth="1"/>
    <col min="12042" max="12042" width="11.42578125" style="39"/>
    <col min="12043" max="12043" width="11.5703125" style="39" bestFit="1" customWidth="1"/>
    <col min="12044" max="12045" width="11.42578125" style="39"/>
    <col min="12046" max="12046" width="11.85546875" style="39" bestFit="1" customWidth="1"/>
    <col min="12047" max="12047" width="11.42578125" style="39"/>
    <col min="12048" max="12048" width="11.85546875" style="39" bestFit="1" customWidth="1"/>
    <col min="12049" max="12288" width="11.42578125" style="39"/>
    <col min="12289" max="12289" width="13.140625" style="39" customWidth="1"/>
    <col min="12290" max="12290" width="27.5703125" style="39" customWidth="1"/>
    <col min="12291" max="12291" width="15.28515625" style="39" bestFit="1" customWidth="1"/>
    <col min="12292" max="12292" width="12.5703125" style="39" customWidth="1"/>
    <col min="12293" max="12293" width="11.5703125" style="39" bestFit="1" customWidth="1"/>
    <col min="12294" max="12294" width="14" style="39" customWidth="1"/>
    <col min="12295" max="12295" width="17.85546875" style="39" customWidth="1"/>
    <col min="12296" max="12296" width="14.42578125" style="39" customWidth="1"/>
    <col min="12297" max="12297" width="14.140625" style="39" bestFit="1" customWidth="1"/>
    <col min="12298" max="12298" width="11.42578125" style="39"/>
    <col min="12299" max="12299" width="11.5703125" style="39" bestFit="1" customWidth="1"/>
    <col min="12300" max="12301" width="11.42578125" style="39"/>
    <col min="12302" max="12302" width="11.85546875" style="39" bestFit="1" customWidth="1"/>
    <col min="12303" max="12303" width="11.42578125" style="39"/>
    <col min="12304" max="12304" width="11.85546875" style="39" bestFit="1" customWidth="1"/>
    <col min="12305" max="12544" width="11.42578125" style="39"/>
    <col min="12545" max="12545" width="13.140625" style="39" customWidth="1"/>
    <col min="12546" max="12546" width="27.5703125" style="39" customWidth="1"/>
    <col min="12547" max="12547" width="15.28515625" style="39" bestFit="1" customWidth="1"/>
    <col min="12548" max="12548" width="12.5703125" style="39" customWidth="1"/>
    <col min="12549" max="12549" width="11.5703125" style="39" bestFit="1" customWidth="1"/>
    <col min="12550" max="12550" width="14" style="39" customWidth="1"/>
    <col min="12551" max="12551" width="17.85546875" style="39" customWidth="1"/>
    <col min="12552" max="12552" width="14.42578125" style="39" customWidth="1"/>
    <col min="12553" max="12553" width="14.140625" style="39" bestFit="1" customWidth="1"/>
    <col min="12554" max="12554" width="11.42578125" style="39"/>
    <col min="12555" max="12555" width="11.5703125" style="39" bestFit="1" customWidth="1"/>
    <col min="12556" max="12557" width="11.42578125" style="39"/>
    <col min="12558" max="12558" width="11.85546875" style="39" bestFit="1" customWidth="1"/>
    <col min="12559" max="12559" width="11.42578125" style="39"/>
    <col min="12560" max="12560" width="11.85546875" style="39" bestFit="1" customWidth="1"/>
    <col min="12561" max="12800" width="11.42578125" style="39"/>
    <col min="12801" max="12801" width="13.140625" style="39" customWidth="1"/>
    <col min="12802" max="12802" width="27.5703125" style="39" customWidth="1"/>
    <col min="12803" max="12803" width="15.28515625" style="39" bestFit="1" customWidth="1"/>
    <col min="12804" max="12804" width="12.5703125" style="39" customWidth="1"/>
    <col min="12805" max="12805" width="11.5703125" style="39" bestFit="1" customWidth="1"/>
    <col min="12806" max="12806" width="14" style="39" customWidth="1"/>
    <col min="12807" max="12807" width="17.85546875" style="39" customWidth="1"/>
    <col min="12808" max="12808" width="14.42578125" style="39" customWidth="1"/>
    <col min="12809" max="12809" width="14.140625" style="39" bestFit="1" customWidth="1"/>
    <col min="12810" max="12810" width="11.42578125" style="39"/>
    <col min="12811" max="12811" width="11.5703125" style="39" bestFit="1" customWidth="1"/>
    <col min="12812" max="12813" width="11.42578125" style="39"/>
    <col min="12814" max="12814" width="11.85546875" style="39" bestFit="1" customWidth="1"/>
    <col min="12815" max="12815" width="11.42578125" style="39"/>
    <col min="12816" max="12816" width="11.85546875" style="39" bestFit="1" customWidth="1"/>
    <col min="12817" max="13056" width="11.42578125" style="39"/>
    <col min="13057" max="13057" width="13.140625" style="39" customWidth="1"/>
    <col min="13058" max="13058" width="27.5703125" style="39" customWidth="1"/>
    <col min="13059" max="13059" width="15.28515625" style="39" bestFit="1" customWidth="1"/>
    <col min="13060" max="13060" width="12.5703125" style="39" customWidth="1"/>
    <col min="13061" max="13061" width="11.5703125" style="39" bestFit="1" customWidth="1"/>
    <col min="13062" max="13062" width="14" style="39" customWidth="1"/>
    <col min="13063" max="13063" width="17.85546875" style="39" customWidth="1"/>
    <col min="13064" max="13064" width="14.42578125" style="39" customWidth="1"/>
    <col min="13065" max="13065" width="14.140625" style="39" bestFit="1" customWidth="1"/>
    <col min="13066" max="13066" width="11.42578125" style="39"/>
    <col min="13067" max="13067" width="11.5703125" style="39" bestFit="1" customWidth="1"/>
    <col min="13068" max="13069" width="11.42578125" style="39"/>
    <col min="13070" max="13070" width="11.85546875" style="39" bestFit="1" customWidth="1"/>
    <col min="13071" max="13071" width="11.42578125" style="39"/>
    <col min="13072" max="13072" width="11.85546875" style="39" bestFit="1" customWidth="1"/>
    <col min="13073" max="13312" width="11.42578125" style="39"/>
    <col min="13313" max="13313" width="13.140625" style="39" customWidth="1"/>
    <col min="13314" max="13314" width="27.5703125" style="39" customWidth="1"/>
    <col min="13315" max="13315" width="15.28515625" style="39" bestFit="1" customWidth="1"/>
    <col min="13316" max="13316" width="12.5703125" style="39" customWidth="1"/>
    <col min="13317" max="13317" width="11.5703125" style="39" bestFit="1" customWidth="1"/>
    <col min="13318" max="13318" width="14" style="39" customWidth="1"/>
    <col min="13319" max="13319" width="17.85546875" style="39" customWidth="1"/>
    <col min="13320" max="13320" width="14.42578125" style="39" customWidth="1"/>
    <col min="13321" max="13321" width="14.140625" style="39" bestFit="1" customWidth="1"/>
    <col min="13322" max="13322" width="11.42578125" style="39"/>
    <col min="13323" max="13323" width="11.5703125" style="39" bestFit="1" customWidth="1"/>
    <col min="13324" max="13325" width="11.42578125" style="39"/>
    <col min="13326" max="13326" width="11.85546875" style="39" bestFit="1" customWidth="1"/>
    <col min="13327" max="13327" width="11.42578125" style="39"/>
    <col min="13328" max="13328" width="11.85546875" style="39" bestFit="1" customWidth="1"/>
    <col min="13329" max="13568" width="11.42578125" style="39"/>
    <col min="13569" max="13569" width="13.140625" style="39" customWidth="1"/>
    <col min="13570" max="13570" width="27.5703125" style="39" customWidth="1"/>
    <col min="13571" max="13571" width="15.28515625" style="39" bestFit="1" customWidth="1"/>
    <col min="13572" max="13572" width="12.5703125" style="39" customWidth="1"/>
    <col min="13573" max="13573" width="11.5703125" style="39" bestFit="1" customWidth="1"/>
    <col min="13574" max="13574" width="14" style="39" customWidth="1"/>
    <col min="13575" max="13575" width="17.85546875" style="39" customWidth="1"/>
    <col min="13576" max="13576" width="14.42578125" style="39" customWidth="1"/>
    <col min="13577" max="13577" width="14.140625" style="39" bestFit="1" customWidth="1"/>
    <col min="13578" max="13578" width="11.42578125" style="39"/>
    <col min="13579" max="13579" width="11.5703125" style="39" bestFit="1" customWidth="1"/>
    <col min="13580" max="13581" width="11.42578125" style="39"/>
    <col min="13582" max="13582" width="11.85546875" style="39" bestFit="1" customWidth="1"/>
    <col min="13583" max="13583" width="11.42578125" style="39"/>
    <col min="13584" max="13584" width="11.85546875" style="39" bestFit="1" customWidth="1"/>
    <col min="13585" max="13824" width="11.42578125" style="39"/>
    <col min="13825" max="13825" width="13.140625" style="39" customWidth="1"/>
    <col min="13826" max="13826" width="27.5703125" style="39" customWidth="1"/>
    <col min="13827" max="13827" width="15.28515625" style="39" bestFit="1" customWidth="1"/>
    <col min="13828" max="13828" width="12.5703125" style="39" customWidth="1"/>
    <col min="13829" max="13829" width="11.5703125" style="39" bestFit="1" customWidth="1"/>
    <col min="13830" max="13830" width="14" style="39" customWidth="1"/>
    <col min="13831" max="13831" width="17.85546875" style="39" customWidth="1"/>
    <col min="13832" max="13832" width="14.42578125" style="39" customWidth="1"/>
    <col min="13833" max="13833" width="14.140625" style="39" bestFit="1" customWidth="1"/>
    <col min="13834" max="13834" width="11.42578125" style="39"/>
    <col min="13835" max="13835" width="11.5703125" style="39" bestFit="1" customWidth="1"/>
    <col min="13836" max="13837" width="11.42578125" style="39"/>
    <col min="13838" max="13838" width="11.85546875" style="39" bestFit="1" customWidth="1"/>
    <col min="13839" max="13839" width="11.42578125" style="39"/>
    <col min="13840" max="13840" width="11.85546875" style="39" bestFit="1" customWidth="1"/>
    <col min="13841" max="14080" width="11.42578125" style="39"/>
    <col min="14081" max="14081" width="13.140625" style="39" customWidth="1"/>
    <col min="14082" max="14082" width="27.5703125" style="39" customWidth="1"/>
    <col min="14083" max="14083" width="15.28515625" style="39" bestFit="1" customWidth="1"/>
    <col min="14084" max="14084" width="12.5703125" style="39" customWidth="1"/>
    <col min="14085" max="14085" width="11.5703125" style="39" bestFit="1" customWidth="1"/>
    <col min="14086" max="14086" width="14" style="39" customWidth="1"/>
    <col min="14087" max="14087" width="17.85546875" style="39" customWidth="1"/>
    <col min="14088" max="14088" width="14.42578125" style="39" customWidth="1"/>
    <col min="14089" max="14089" width="14.140625" style="39" bestFit="1" customWidth="1"/>
    <col min="14090" max="14090" width="11.42578125" style="39"/>
    <col min="14091" max="14091" width="11.5703125" style="39" bestFit="1" customWidth="1"/>
    <col min="14092" max="14093" width="11.42578125" style="39"/>
    <col min="14094" max="14094" width="11.85546875" style="39" bestFit="1" customWidth="1"/>
    <col min="14095" max="14095" width="11.42578125" style="39"/>
    <col min="14096" max="14096" width="11.85546875" style="39" bestFit="1" customWidth="1"/>
    <col min="14097" max="14336" width="11.42578125" style="39"/>
    <col min="14337" max="14337" width="13.140625" style="39" customWidth="1"/>
    <col min="14338" max="14338" width="27.5703125" style="39" customWidth="1"/>
    <col min="14339" max="14339" width="15.28515625" style="39" bestFit="1" customWidth="1"/>
    <col min="14340" max="14340" width="12.5703125" style="39" customWidth="1"/>
    <col min="14341" max="14341" width="11.5703125" style="39" bestFit="1" customWidth="1"/>
    <col min="14342" max="14342" width="14" style="39" customWidth="1"/>
    <col min="14343" max="14343" width="17.85546875" style="39" customWidth="1"/>
    <col min="14344" max="14344" width="14.42578125" style="39" customWidth="1"/>
    <col min="14345" max="14345" width="14.140625" style="39" bestFit="1" customWidth="1"/>
    <col min="14346" max="14346" width="11.42578125" style="39"/>
    <col min="14347" max="14347" width="11.5703125" style="39" bestFit="1" customWidth="1"/>
    <col min="14348" max="14349" width="11.42578125" style="39"/>
    <col min="14350" max="14350" width="11.85546875" style="39" bestFit="1" customWidth="1"/>
    <col min="14351" max="14351" width="11.42578125" style="39"/>
    <col min="14352" max="14352" width="11.85546875" style="39" bestFit="1" customWidth="1"/>
    <col min="14353" max="14592" width="11.42578125" style="39"/>
    <col min="14593" max="14593" width="13.140625" style="39" customWidth="1"/>
    <col min="14594" max="14594" width="27.5703125" style="39" customWidth="1"/>
    <col min="14595" max="14595" width="15.28515625" style="39" bestFit="1" customWidth="1"/>
    <col min="14596" max="14596" width="12.5703125" style="39" customWidth="1"/>
    <col min="14597" max="14597" width="11.5703125" style="39" bestFit="1" customWidth="1"/>
    <col min="14598" max="14598" width="14" style="39" customWidth="1"/>
    <col min="14599" max="14599" width="17.85546875" style="39" customWidth="1"/>
    <col min="14600" max="14600" width="14.42578125" style="39" customWidth="1"/>
    <col min="14601" max="14601" width="14.140625" style="39" bestFit="1" customWidth="1"/>
    <col min="14602" max="14602" width="11.42578125" style="39"/>
    <col min="14603" max="14603" width="11.5703125" style="39" bestFit="1" customWidth="1"/>
    <col min="14604" max="14605" width="11.42578125" style="39"/>
    <col min="14606" max="14606" width="11.85546875" style="39" bestFit="1" customWidth="1"/>
    <col min="14607" max="14607" width="11.42578125" style="39"/>
    <col min="14608" max="14608" width="11.85546875" style="39" bestFit="1" customWidth="1"/>
    <col min="14609" max="14848" width="11.42578125" style="39"/>
    <col min="14849" max="14849" width="13.140625" style="39" customWidth="1"/>
    <col min="14850" max="14850" width="27.5703125" style="39" customWidth="1"/>
    <col min="14851" max="14851" width="15.28515625" style="39" bestFit="1" customWidth="1"/>
    <col min="14852" max="14852" width="12.5703125" style="39" customWidth="1"/>
    <col min="14853" max="14853" width="11.5703125" style="39" bestFit="1" customWidth="1"/>
    <col min="14854" max="14854" width="14" style="39" customWidth="1"/>
    <col min="14855" max="14855" width="17.85546875" style="39" customWidth="1"/>
    <col min="14856" max="14856" width="14.42578125" style="39" customWidth="1"/>
    <col min="14857" max="14857" width="14.140625" style="39" bestFit="1" customWidth="1"/>
    <col min="14858" max="14858" width="11.42578125" style="39"/>
    <col min="14859" max="14859" width="11.5703125" style="39" bestFit="1" customWidth="1"/>
    <col min="14860" max="14861" width="11.42578125" style="39"/>
    <col min="14862" max="14862" width="11.85546875" style="39" bestFit="1" customWidth="1"/>
    <col min="14863" max="14863" width="11.42578125" style="39"/>
    <col min="14864" max="14864" width="11.85546875" style="39" bestFit="1" customWidth="1"/>
    <col min="14865" max="15104" width="11.42578125" style="39"/>
    <col min="15105" max="15105" width="13.140625" style="39" customWidth="1"/>
    <col min="15106" max="15106" width="27.5703125" style="39" customWidth="1"/>
    <col min="15107" max="15107" width="15.28515625" style="39" bestFit="1" customWidth="1"/>
    <col min="15108" max="15108" width="12.5703125" style="39" customWidth="1"/>
    <col min="15109" max="15109" width="11.5703125" style="39" bestFit="1" customWidth="1"/>
    <col min="15110" max="15110" width="14" style="39" customWidth="1"/>
    <col min="15111" max="15111" width="17.85546875" style="39" customWidth="1"/>
    <col min="15112" max="15112" width="14.42578125" style="39" customWidth="1"/>
    <col min="15113" max="15113" width="14.140625" style="39" bestFit="1" customWidth="1"/>
    <col min="15114" max="15114" width="11.42578125" style="39"/>
    <col min="15115" max="15115" width="11.5703125" style="39" bestFit="1" customWidth="1"/>
    <col min="15116" max="15117" width="11.42578125" style="39"/>
    <col min="15118" max="15118" width="11.85546875" style="39" bestFit="1" customWidth="1"/>
    <col min="15119" max="15119" width="11.42578125" style="39"/>
    <col min="15120" max="15120" width="11.85546875" style="39" bestFit="1" customWidth="1"/>
    <col min="15121" max="15360" width="11.42578125" style="39"/>
    <col min="15361" max="15361" width="13.140625" style="39" customWidth="1"/>
    <col min="15362" max="15362" width="27.5703125" style="39" customWidth="1"/>
    <col min="15363" max="15363" width="15.28515625" style="39" bestFit="1" customWidth="1"/>
    <col min="15364" max="15364" width="12.5703125" style="39" customWidth="1"/>
    <col min="15365" max="15365" width="11.5703125" style="39" bestFit="1" customWidth="1"/>
    <col min="15366" max="15366" width="14" style="39" customWidth="1"/>
    <col min="15367" max="15367" width="17.85546875" style="39" customWidth="1"/>
    <col min="15368" max="15368" width="14.42578125" style="39" customWidth="1"/>
    <col min="15369" max="15369" width="14.140625" style="39" bestFit="1" customWidth="1"/>
    <col min="15370" max="15370" width="11.42578125" style="39"/>
    <col min="15371" max="15371" width="11.5703125" style="39" bestFit="1" customWidth="1"/>
    <col min="15372" max="15373" width="11.42578125" style="39"/>
    <col min="15374" max="15374" width="11.85546875" style="39" bestFit="1" customWidth="1"/>
    <col min="15375" max="15375" width="11.42578125" style="39"/>
    <col min="15376" max="15376" width="11.85546875" style="39" bestFit="1" customWidth="1"/>
    <col min="15377" max="15616" width="11.42578125" style="39"/>
    <col min="15617" max="15617" width="13.140625" style="39" customWidth="1"/>
    <col min="15618" max="15618" width="27.5703125" style="39" customWidth="1"/>
    <col min="15619" max="15619" width="15.28515625" style="39" bestFit="1" customWidth="1"/>
    <col min="15620" max="15620" width="12.5703125" style="39" customWidth="1"/>
    <col min="15621" max="15621" width="11.5703125" style="39" bestFit="1" customWidth="1"/>
    <col min="15622" max="15622" width="14" style="39" customWidth="1"/>
    <col min="15623" max="15623" width="17.85546875" style="39" customWidth="1"/>
    <col min="15624" max="15624" width="14.42578125" style="39" customWidth="1"/>
    <col min="15625" max="15625" width="14.140625" style="39" bestFit="1" customWidth="1"/>
    <col min="15626" max="15626" width="11.42578125" style="39"/>
    <col min="15627" max="15627" width="11.5703125" style="39" bestFit="1" customWidth="1"/>
    <col min="15628" max="15629" width="11.42578125" style="39"/>
    <col min="15630" max="15630" width="11.85546875" style="39" bestFit="1" customWidth="1"/>
    <col min="15631" max="15631" width="11.42578125" style="39"/>
    <col min="15632" max="15632" width="11.85546875" style="39" bestFit="1" customWidth="1"/>
    <col min="15633" max="15872" width="11.42578125" style="39"/>
    <col min="15873" max="15873" width="13.140625" style="39" customWidth="1"/>
    <col min="15874" max="15874" width="27.5703125" style="39" customWidth="1"/>
    <col min="15875" max="15875" width="15.28515625" style="39" bestFit="1" customWidth="1"/>
    <col min="15876" max="15876" width="12.5703125" style="39" customWidth="1"/>
    <col min="15877" max="15877" width="11.5703125" style="39" bestFit="1" customWidth="1"/>
    <col min="15878" max="15878" width="14" style="39" customWidth="1"/>
    <col min="15879" max="15879" width="17.85546875" style="39" customWidth="1"/>
    <col min="15880" max="15880" width="14.42578125" style="39" customWidth="1"/>
    <col min="15881" max="15881" width="14.140625" style="39" bestFit="1" customWidth="1"/>
    <col min="15882" max="15882" width="11.42578125" style="39"/>
    <col min="15883" max="15883" width="11.5703125" style="39" bestFit="1" customWidth="1"/>
    <col min="15884" max="15885" width="11.42578125" style="39"/>
    <col min="15886" max="15886" width="11.85546875" style="39" bestFit="1" customWidth="1"/>
    <col min="15887" max="15887" width="11.42578125" style="39"/>
    <col min="15888" max="15888" width="11.85546875" style="39" bestFit="1" customWidth="1"/>
    <col min="15889" max="16128" width="11.42578125" style="39"/>
    <col min="16129" max="16129" width="13.140625" style="39" customWidth="1"/>
    <col min="16130" max="16130" width="27.5703125" style="39" customWidth="1"/>
    <col min="16131" max="16131" width="15.28515625" style="39" bestFit="1" customWidth="1"/>
    <col min="16132" max="16132" width="12.5703125" style="39" customWidth="1"/>
    <col min="16133" max="16133" width="11.5703125" style="39" bestFit="1" customWidth="1"/>
    <col min="16134" max="16134" width="14" style="39" customWidth="1"/>
    <col min="16135" max="16135" width="17.85546875" style="39" customWidth="1"/>
    <col min="16136" max="16136" width="14.42578125" style="39" customWidth="1"/>
    <col min="16137" max="16137" width="14.140625" style="39" bestFit="1" customWidth="1"/>
    <col min="16138" max="16138" width="11.42578125" style="39"/>
    <col min="16139" max="16139" width="11.5703125" style="39" bestFit="1" customWidth="1"/>
    <col min="16140" max="16141" width="11.42578125" style="39"/>
    <col min="16142" max="16142" width="11.85546875" style="39" bestFit="1" customWidth="1"/>
    <col min="16143" max="16143" width="11.42578125" style="39"/>
    <col min="16144" max="16144" width="11.85546875" style="39" bestFit="1" customWidth="1"/>
    <col min="16145" max="16384" width="11.42578125" style="39"/>
  </cols>
  <sheetData>
    <row r="1" spans="1:16" ht="18" x14ac:dyDescent="0.25">
      <c r="A1" s="81" t="s">
        <v>225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6" ht="15.75" x14ac:dyDescent="0.25">
      <c r="A3" s="59" t="s">
        <v>324</v>
      </c>
      <c r="B3" s="41"/>
      <c r="C3" s="41"/>
      <c r="D3" s="41"/>
      <c r="E3" s="42"/>
      <c r="F3" s="41"/>
      <c r="G3" s="41"/>
      <c r="H3" s="40"/>
      <c r="I3" s="40"/>
      <c r="J3" s="40"/>
      <c r="K3" s="40"/>
      <c r="L3" s="40"/>
      <c r="M3" s="40"/>
    </row>
    <row r="4" spans="1:16" ht="15.75" x14ac:dyDescent="0.25">
      <c r="A4" s="102" t="s">
        <v>325</v>
      </c>
      <c r="B4" s="41"/>
      <c r="C4" s="41"/>
      <c r="D4" s="41"/>
      <c r="E4" s="42"/>
      <c r="F4" s="41"/>
      <c r="G4" s="41"/>
      <c r="H4" s="40"/>
      <c r="I4" s="40"/>
      <c r="J4" s="40"/>
      <c r="K4" s="40"/>
      <c r="L4" s="40"/>
      <c r="M4" s="40"/>
    </row>
    <row r="5" spans="1:16" x14ac:dyDescent="0.2">
      <c r="A5" s="87"/>
      <c r="B5" s="43" t="s">
        <v>226</v>
      </c>
      <c r="C5" s="44" t="s">
        <v>227</v>
      </c>
      <c r="D5" s="43" t="s">
        <v>227</v>
      </c>
      <c r="E5" s="88" t="s">
        <v>228</v>
      </c>
      <c r="F5" s="95"/>
      <c r="G5" s="40"/>
      <c r="H5" s="40"/>
      <c r="I5" s="40"/>
      <c r="J5" s="40"/>
      <c r="K5" s="40"/>
      <c r="L5" s="40"/>
    </row>
    <row r="6" spans="1:16" x14ac:dyDescent="0.2">
      <c r="A6" s="91"/>
      <c r="B6" s="46" t="s">
        <v>229</v>
      </c>
      <c r="C6" s="46" t="s">
        <v>230</v>
      </c>
      <c r="D6" s="46" t="s">
        <v>231</v>
      </c>
      <c r="E6" s="92" t="s">
        <v>231</v>
      </c>
      <c r="F6" s="40"/>
      <c r="G6" s="40"/>
      <c r="H6" s="40"/>
      <c r="I6" s="40"/>
      <c r="J6" s="40"/>
      <c r="K6" s="40"/>
      <c r="L6" s="40"/>
    </row>
    <row r="7" spans="1:16" x14ac:dyDescent="0.2">
      <c r="A7" s="89" t="s">
        <v>326</v>
      </c>
      <c r="B7" s="47">
        <v>0.52839999999999998</v>
      </c>
      <c r="C7" s="47">
        <v>0.1042</v>
      </c>
      <c r="D7" s="48"/>
      <c r="E7" s="90">
        <f>B7*C7</f>
        <v>5.5059279999999995E-2</v>
      </c>
      <c r="F7" s="40"/>
      <c r="G7" s="40"/>
      <c r="H7" s="40"/>
      <c r="I7" s="40"/>
      <c r="J7" s="40"/>
      <c r="K7" s="40"/>
      <c r="L7" s="40"/>
    </row>
    <row r="8" spans="1:16" ht="15.75" x14ac:dyDescent="0.25">
      <c r="A8" s="89" t="s">
        <v>232</v>
      </c>
      <c r="B8" s="47">
        <v>1.2449999999999999E-2</v>
      </c>
      <c r="C8" s="49"/>
      <c r="D8" s="50">
        <v>3.227E-2</v>
      </c>
      <c r="E8" s="90">
        <f>B8*D8</f>
        <v>4.017615E-4</v>
      </c>
      <c r="F8" s="51"/>
      <c r="G8" s="42"/>
      <c r="H8" s="42"/>
      <c r="I8" s="42"/>
      <c r="J8" s="42"/>
      <c r="K8" s="42"/>
      <c r="L8" s="42"/>
      <c r="M8" s="52"/>
      <c r="N8" s="53"/>
      <c r="O8" s="53"/>
    </row>
    <row r="9" spans="1:16" x14ac:dyDescent="0.2">
      <c r="A9" s="89" t="s">
        <v>233</v>
      </c>
      <c r="B9" s="47">
        <v>0.45911999999999997</v>
      </c>
      <c r="C9" s="54"/>
      <c r="D9" s="83">
        <v>4.3839999999999997E-2</v>
      </c>
      <c r="E9" s="90">
        <f>B9*D9</f>
        <v>2.0127820799999998E-2</v>
      </c>
      <c r="F9" s="51"/>
      <c r="G9" s="42"/>
      <c r="H9" s="42"/>
      <c r="I9" s="42"/>
      <c r="J9" s="42"/>
      <c r="K9" s="42"/>
      <c r="L9" s="42"/>
      <c r="M9" s="53"/>
      <c r="N9" s="53"/>
      <c r="O9" s="53"/>
    </row>
    <row r="10" spans="1:16" x14ac:dyDescent="0.2">
      <c r="A10" s="103" t="s">
        <v>234</v>
      </c>
      <c r="B10" s="104">
        <f>SUM(B8:B9)</f>
        <v>0.47156999999999999</v>
      </c>
      <c r="C10" s="105"/>
      <c r="D10" s="106"/>
      <c r="E10" s="107"/>
      <c r="F10" s="40"/>
      <c r="G10" s="42"/>
      <c r="H10" s="42"/>
      <c r="I10" s="42"/>
      <c r="J10" s="42"/>
      <c r="K10" s="42"/>
      <c r="L10" s="42"/>
      <c r="M10" s="53"/>
      <c r="N10" s="53"/>
      <c r="O10" s="53"/>
    </row>
    <row r="11" spans="1:16" ht="16.5" thickBot="1" x14ac:dyDescent="0.3">
      <c r="A11" s="93" t="s">
        <v>235</v>
      </c>
      <c r="B11" s="55">
        <f>ROUNDUP(B7+B8+B9,1)</f>
        <v>1</v>
      </c>
      <c r="C11" s="56"/>
      <c r="D11" s="56"/>
      <c r="E11" s="94">
        <f>SUM(E7:E9)</f>
        <v>7.558886229999999E-2</v>
      </c>
      <c r="F11" s="57" t="s">
        <v>236</v>
      </c>
      <c r="G11" s="58"/>
      <c r="H11" s="58"/>
      <c r="I11" s="42"/>
      <c r="J11" s="42"/>
      <c r="K11" s="42"/>
      <c r="L11" s="42"/>
      <c r="M11" s="53"/>
      <c r="N11" s="53"/>
      <c r="O11" s="53"/>
    </row>
    <row r="12" spans="1:16" ht="16.5" thickTop="1" x14ac:dyDescent="0.25">
      <c r="A12" s="42"/>
      <c r="B12" s="59"/>
      <c r="C12" s="42"/>
      <c r="D12" s="49"/>
      <c r="E12" s="40"/>
      <c r="F12" s="52"/>
      <c r="G12" s="40"/>
      <c r="H12" s="42"/>
      <c r="I12" s="42"/>
      <c r="J12" s="60"/>
      <c r="K12" s="60"/>
      <c r="L12" s="60"/>
      <c r="M12" s="60"/>
      <c r="N12" s="61"/>
      <c r="O12" s="53"/>
      <c r="P12" s="53"/>
    </row>
    <row r="13" spans="1:16" ht="15.75" x14ac:dyDescent="0.25">
      <c r="A13" s="42" t="s">
        <v>327</v>
      </c>
      <c r="B13" s="59"/>
      <c r="C13" s="42"/>
      <c r="D13" s="49"/>
      <c r="E13" s="40"/>
      <c r="F13" s="52"/>
      <c r="G13" s="40"/>
      <c r="H13" s="42"/>
      <c r="I13" s="42"/>
      <c r="J13" s="60"/>
      <c r="K13" s="60"/>
      <c r="L13" s="60"/>
      <c r="M13" s="60"/>
      <c r="N13" s="61"/>
      <c r="O13" s="53"/>
      <c r="P13" s="53"/>
    </row>
    <row r="14" spans="1:16" ht="15.75" x14ac:dyDescent="0.25">
      <c r="A14" s="42"/>
      <c r="B14" s="59"/>
      <c r="C14" s="42"/>
      <c r="D14" s="49"/>
      <c r="E14" s="40"/>
      <c r="F14" s="52"/>
      <c r="G14" s="40"/>
      <c r="H14" s="42"/>
      <c r="I14" s="42"/>
      <c r="J14" s="60"/>
      <c r="K14" s="60"/>
      <c r="L14" s="60"/>
      <c r="M14" s="60"/>
      <c r="N14" s="61"/>
      <c r="O14" s="53"/>
      <c r="P14" s="53"/>
    </row>
    <row r="15" spans="1:16" ht="15.75" x14ac:dyDescent="0.25">
      <c r="A15" s="59" t="s">
        <v>237</v>
      </c>
      <c r="B15" s="62"/>
      <c r="C15" s="59"/>
      <c r="D15" s="42"/>
      <c r="E15" s="42"/>
      <c r="F15" s="42"/>
      <c r="G15" s="42"/>
      <c r="H15" s="42"/>
      <c r="I15" s="42"/>
      <c r="J15" s="60"/>
      <c r="K15" s="60"/>
      <c r="L15" s="60"/>
      <c r="M15" s="60"/>
      <c r="N15" s="61"/>
      <c r="O15" s="53"/>
      <c r="P15" s="53"/>
    </row>
    <row r="16" spans="1:16" ht="15.75" x14ac:dyDescent="0.25">
      <c r="A16" s="42"/>
      <c r="B16" s="42"/>
      <c r="C16" s="59"/>
      <c r="D16" s="42"/>
      <c r="E16" s="42"/>
      <c r="F16" s="42"/>
      <c r="G16" s="42"/>
      <c r="H16" s="42"/>
      <c r="I16" s="42"/>
      <c r="J16" s="60"/>
      <c r="K16" s="60"/>
      <c r="L16" s="60"/>
      <c r="M16" s="60"/>
      <c r="N16" s="61"/>
      <c r="O16" s="53"/>
      <c r="P16" s="53"/>
    </row>
    <row r="17" spans="1:16" ht="15.75" x14ac:dyDescent="0.25">
      <c r="A17" s="42" t="s">
        <v>238</v>
      </c>
      <c r="B17" s="42"/>
      <c r="C17" s="40"/>
      <c r="D17" s="59"/>
      <c r="E17" s="149">
        <v>0.21</v>
      </c>
      <c r="F17" s="102" t="s">
        <v>347</v>
      </c>
      <c r="H17" s="96"/>
      <c r="I17" s="51"/>
      <c r="J17" s="60"/>
      <c r="K17" s="60"/>
      <c r="L17" s="60"/>
      <c r="M17" s="60"/>
      <c r="N17" s="61"/>
      <c r="O17" s="53"/>
      <c r="P17" s="53"/>
    </row>
    <row r="18" spans="1:16" ht="15.75" x14ac:dyDescent="0.25">
      <c r="A18" s="42"/>
      <c r="B18" s="42"/>
      <c r="C18" s="40"/>
      <c r="D18" s="59"/>
      <c r="E18" s="150">
        <v>0.05</v>
      </c>
      <c r="F18" s="102" t="s">
        <v>344</v>
      </c>
      <c r="G18" s="148"/>
      <c r="H18" s="96"/>
      <c r="I18" s="51"/>
      <c r="J18" s="60"/>
      <c r="K18" s="60"/>
      <c r="L18" s="60"/>
      <c r="M18" s="60"/>
      <c r="N18" s="61"/>
      <c r="O18" s="53"/>
      <c r="P18" s="53"/>
    </row>
    <row r="19" spans="1:16" ht="15.75" x14ac:dyDescent="0.25">
      <c r="A19" s="42"/>
      <c r="B19" s="42"/>
      <c r="C19" s="40"/>
      <c r="D19" s="59"/>
      <c r="E19" s="151">
        <v>-1.0500000000000001E-2</v>
      </c>
      <c r="F19" s="102" t="s">
        <v>345</v>
      </c>
      <c r="G19" s="148"/>
      <c r="H19" s="96"/>
      <c r="I19" s="51"/>
      <c r="J19" s="60"/>
      <c r="K19" s="60"/>
      <c r="L19" s="60"/>
      <c r="M19" s="60"/>
      <c r="N19" s="61"/>
      <c r="O19" s="53"/>
      <c r="P19" s="53"/>
    </row>
    <row r="20" spans="1:16" ht="15.75" x14ac:dyDescent="0.25">
      <c r="A20" s="42"/>
      <c r="B20" s="42"/>
      <c r="C20" s="40"/>
      <c r="D20" s="59"/>
      <c r="E20" s="152">
        <f>SUM(E17:E19)</f>
        <v>0.2495</v>
      </c>
      <c r="F20" s="102" t="s">
        <v>346</v>
      </c>
      <c r="H20" s="96"/>
      <c r="I20" s="51"/>
      <c r="J20" s="60"/>
      <c r="K20" s="60"/>
      <c r="L20" s="60"/>
      <c r="M20" s="60"/>
      <c r="N20" s="61"/>
      <c r="O20" s="53"/>
      <c r="P20" s="53"/>
    </row>
    <row r="21" spans="1:16" ht="15.75" x14ac:dyDescent="0.25">
      <c r="A21" s="42"/>
      <c r="B21" s="42"/>
      <c r="C21" s="40"/>
      <c r="D21" s="59"/>
      <c r="E21" s="152"/>
      <c r="F21" s="102"/>
      <c r="H21" s="96"/>
      <c r="I21" s="51"/>
      <c r="J21" s="60"/>
      <c r="K21" s="60"/>
      <c r="L21" s="60"/>
      <c r="M21" s="60"/>
      <c r="N21" s="61"/>
      <c r="O21" s="53"/>
      <c r="P21" s="53"/>
    </row>
    <row r="22" spans="1:16" x14ac:dyDescent="0.2">
      <c r="A22" s="42" t="s">
        <v>239</v>
      </c>
      <c r="B22" s="42"/>
      <c r="C22" s="40" t="s">
        <v>240</v>
      </c>
      <c r="D22" s="63"/>
      <c r="E22" s="63"/>
      <c r="F22" s="63"/>
      <c r="G22" s="40"/>
      <c r="H22" s="42"/>
      <c r="I22" s="40"/>
      <c r="J22" s="60"/>
      <c r="K22" s="60"/>
      <c r="L22" s="60"/>
      <c r="M22" s="60"/>
      <c r="N22" s="61"/>
      <c r="O22" s="53"/>
      <c r="P22" s="53"/>
    </row>
    <row r="23" spans="1:16" ht="15.75" x14ac:dyDescent="0.25">
      <c r="A23" s="42"/>
      <c r="B23" s="42"/>
      <c r="C23" s="64" t="s">
        <v>241</v>
      </c>
      <c r="D23" s="153">
        <f>E7</f>
        <v>5.5059279999999995E-2</v>
      </c>
      <c r="E23" s="65" t="s">
        <v>242</v>
      </c>
      <c r="F23" s="66">
        <f>E20</f>
        <v>0.2495</v>
      </c>
      <c r="G23" s="67" t="s">
        <v>243</v>
      </c>
      <c r="H23" s="66">
        <f>E20</f>
        <v>0.2495</v>
      </c>
      <c r="I23" s="45" t="str">
        <f>"="</f>
        <v>=</v>
      </c>
      <c r="J23" s="82">
        <f>(E7/(1-E20))*E20</f>
        <v>1.8304184357095271E-2</v>
      </c>
      <c r="K23" s="60"/>
      <c r="L23" s="60"/>
      <c r="M23" s="60"/>
      <c r="N23" s="61"/>
      <c r="O23" s="53"/>
      <c r="P23" s="53"/>
    </row>
    <row r="24" spans="1:16" x14ac:dyDescent="0.2">
      <c r="A24" s="42"/>
      <c r="B24" s="42"/>
      <c r="C24" s="42"/>
      <c r="D24" s="42"/>
      <c r="E24" s="42"/>
      <c r="F24" s="42"/>
      <c r="G24" s="42"/>
      <c r="H24" s="42"/>
      <c r="I24" s="42"/>
      <c r="J24" s="60"/>
      <c r="K24" s="60"/>
      <c r="L24" s="60"/>
      <c r="M24" s="60"/>
      <c r="N24" s="61"/>
      <c r="O24" s="53"/>
      <c r="P24" s="53"/>
    </row>
    <row r="25" spans="1:16" x14ac:dyDescent="0.2">
      <c r="A25" s="42"/>
      <c r="B25" s="42"/>
      <c r="C25" s="42"/>
      <c r="D25" s="42"/>
      <c r="E25" s="42"/>
      <c r="F25" s="42"/>
      <c r="G25" s="40"/>
      <c r="H25" s="42"/>
      <c r="I25" s="42"/>
      <c r="J25" s="60"/>
      <c r="K25" s="60"/>
      <c r="L25" s="60"/>
      <c r="M25" s="60"/>
      <c r="N25" s="61"/>
      <c r="O25" s="53"/>
      <c r="P25" s="53"/>
    </row>
    <row r="26" spans="1:16" ht="15.75" x14ac:dyDescent="0.25">
      <c r="A26" s="59" t="s">
        <v>502</v>
      </c>
      <c r="B26" s="68"/>
      <c r="C26" s="68"/>
      <c r="D26" s="69"/>
      <c r="E26" s="70"/>
      <c r="F26" s="71"/>
      <c r="G26" s="40"/>
      <c r="H26" s="42"/>
      <c r="I26" s="42"/>
      <c r="J26" s="60"/>
      <c r="K26" s="60"/>
      <c r="L26" s="60"/>
      <c r="M26" s="60"/>
      <c r="N26" s="61"/>
      <c r="O26" s="53"/>
      <c r="P26" s="53"/>
    </row>
    <row r="27" spans="1:16" ht="15.75" x14ac:dyDescent="0.25">
      <c r="A27" s="84"/>
      <c r="B27" s="69"/>
      <c r="C27" s="69"/>
      <c r="D27" s="69"/>
      <c r="E27" s="70"/>
      <c r="F27" s="71"/>
      <c r="G27" s="40"/>
      <c r="H27" s="42"/>
      <c r="I27" s="42"/>
      <c r="J27" s="60"/>
      <c r="K27" s="60"/>
      <c r="L27" s="60"/>
      <c r="M27" s="60"/>
      <c r="N27" s="61"/>
      <c r="O27" s="53"/>
      <c r="P27" s="53"/>
    </row>
    <row r="28" spans="1:16" x14ac:dyDescent="0.2">
      <c r="A28" s="40"/>
      <c r="B28" s="70" t="s">
        <v>244</v>
      </c>
      <c r="C28" s="70"/>
      <c r="D28" s="70"/>
      <c r="E28" s="70"/>
      <c r="F28" s="72">
        <f>E11</f>
        <v>7.558886229999999E-2</v>
      </c>
      <c r="G28" s="40"/>
      <c r="H28" s="42"/>
      <c r="I28" s="42"/>
      <c r="J28" s="60"/>
      <c r="K28" s="73"/>
      <c r="L28" s="60"/>
      <c r="M28" s="60"/>
      <c r="N28" s="61"/>
      <c r="O28" s="53"/>
      <c r="P28" s="53"/>
    </row>
    <row r="29" spans="1:16" x14ac:dyDescent="0.2">
      <c r="A29" s="40"/>
      <c r="B29" s="70" t="s">
        <v>245</v>
      </c>
      <c r="C29" s="70"/>
      <c r="D29" s="70"/>
      <c r="E29" s="70"/>
      <c r="F29" s="72"/>
      <c r="G29" s="40"/>
      <c r="H29" s="42"/>
      <c r="I29" s="42"/>
      <c r="J29" s="60"/>
      <c r="K29" s="60"/>
      <c r="L29" s="60"/>
      <c r="M29" s="60"/>
      <c r="N29" s="61"/>
      <c r="O29" s="53"/>
      <c r="P29" s="53"/>
    </row>
    <row r="30" spans="1:16" x14ac:dyDescent="0.2">
      <c r="A30" s="40"/>
      <c r="B30" s="76">
        <v>25</v>
      </c>
      <c r="C30" s="70" t="s">
        <v>246</v>
      </c>
      <c r="D30" s="70"/>
      <c r="E30" s="70"/>
      <c r="F30" s="72">
        <f>1/B30</f>
        <v>0.04</v>
      </c>
      <c r="G30" s="40"/>
      <c r="H30" s="42"/>
      <c r="I30" s="42"/>
      <c r="J30" s="60"/>
      <c r="K30" s="40"/>
      <c r="L30" s="60"/>
      <c r="M30" s="60"/>
      <c r="N30" s="61"/>
      <c r="O30" s="53"/>
      <c r="P30" s="53"/>
    </row>
    <row r="31" spans="1:16" x14ac:dyDescent="0.2">
      <c r="A31" s="40"/>
      <c r="B31" s="70" t="s">
        <v>247</v>
      </c>
      <c r="C31" s="70"/>
      <c r="D31" s="70"/>
      <c r="E31" s="70"/>
      <c r="F31" s="72">
        <f>J23</f>
        <v>1.8304184357095271E-2</v>
      </c>
      <c r="G31" s="40"/>
      <c r="H31" s="42"/>
      <c r="I31" s="42"/>
      <c r="J31" s="60"/>
      <c r="K31" s="60"/>
      <c r="L31" s="60"/>
      <c r="M31" s="60"/>
      <c r="N31" s="61"/>
      <c r="O31" s="53"/>
      <c r="P31" s="53"/>
    </row>
    <row r="32" spans="1:16" x14ac:dyDescent="0.2">
      <c r="A32" s="40"/>
      <c r="B32" s="70" t="s">
        <v>248</v>
      </c>
      <c r="C32" s="70"/>
      <c r="D32" s="70"/>
      <c r="E32" s="70"/>
      <c r="F32" s="147">
        <v>1.511E-2</v>
      </c>
      <c r="G32" s="51"/>
      <c r="H32" s="42"/>
      <c r="I32" s="42"/>
      <c r="J32" s="60"/>
      <c r="K32" s="60"/>
      <c r="L32" s="60"/>
      <c r="M32" s="60"/>
      <c r="N32" s="61"/>
      <c r="O32" s="53"/>
      <c r="P32" s="53"/>
    </row>
    <row r="33" spans="1:32" ht="15.75" x14ac:dyDescent="0.25">
      <c r="A33" s="40"/>
      <c r="B33" s="85" t="s">
        <v>249</v>
      </c>
      <c r="C33" s="85"/>
      <c r="D33" s="85"/>
      <c r="E33" s="70"/>
      <c r="F33" s="86">
        <f>SUM(F28:F32)</f>
        <v>0.14900304665709527</v>
      </c>
      <c r="G33" s="40"/>
      <c r="H33" s="42"/>
      <c r="I33" s="42"/>
      <c r="J33" s="60"/>
      <c r="K33" s="60"/>
      <c r="L33" s="60"/>
      <c r="M33" s="60"/>
      <c r="N33" s="61"/>
      <c r="O33" s="53"/>
      <c r="P33" s="53"/>
    </row>
    <row r="34" spans="1:32" ht="15.75" x14ac:dyDescent="0.25">
      <c r="A34" s="42"/>
      <c r="B34" s="59"/>
      <c r="C34" s="42"/>
      <c r="D34" s="49"/>
      <c r="E34" s="40"/>
      <c r="F34" s="52"/>
      <c r="G34" s="40"/>
      <c r="H34" s="42"/>
      <c r="I34" s="42"/>
      <c r="J34" s="60"/>
      <c r="K34" s="60"/>
      <c r="L34" s="60"/>
      <c r="M34" s="60"/>
      <c r="N34" s="61"/>
      <c r="O34" s="53"/>
      <c r="P34" s="53"/>
    </row>
    <row r="35" spans="1:32" ht="15.75" x14ac:dyDescent="0.25">
      <c r="A35" s="78" t="s">
        <v>574</v>
      </c>
      <c r="B35" s="69"/>
      <c r="C35" s="69"/>
      <c r="D35" s="69"/>
      <c r="E35" s="70"/>
      <c r="F35" s="69"/>
      <c r="G35" s="71"/>
      <c r="H35" s="42"/>
      <c r="I35" s="42"/>
      <c r="J35" s="60"/>
      <c r="K35" s="60"/>
      <c r="L35" s="60"/>
      <c r="M35" s="60"/>
      <c r="N35" s="61"/>
      <c r="O35" s="53"/>
      <c r="P35" s="53"/>
    </row>
    <row r="36" spans="1:32" ht="15.75" x14ac:dyDescent="0.25">
      <c r="A36" s="77"/>
      <c r="B36" s="69"/>
      <c r="C36" s="69"/>
      <c r="D36" s="69"/>
      <c r="E36" s="70"/>
      <c r="F36" s="69"/>
      <c r="G36" s="71"/>
      <c r="H36" s="42"/>
      <c r="I36" s="42"/>
      <c r="J36" s="40"/>
      <c r="K36" s="63"/>
      <c r="L36" s="63"/>
      <c r="M36" s="63"/>
      <c r="O36" s="53"/>
      <c r="P36" s="53"/>
    </row>
    <row r="37" spans="1:32" x14ac:dyDescent="0.2">
      <c r="A37" s="70"/>
      <c r="B37" s="70" t="s">
        <v>244</v>
      </c>
      <c r="C37" s="70"/>
      <c r="D37" s="70"/>
      <c r="E37" s="70"/>
      <c r="F37" s="72">
        <f>E11</f>
        <v>7.558886229999999E-2</v>
      </c>
      <c r="G37" s="69"/>
      <c r="H37" s="69"/>
      <c r="I37" s="70"/>
      <c r="J37" s="74"/>
      <c r="K37" s="74"/>
      <c r="L37" s="74"/>
      <c r="M37" s="70"/>
      <c r="N37" s="53"/>
      <c r="O37" s="53"/>
    </row>
    <row r="38" spans="1:32" ht="15.75" x14ac:dyDescent="0.25">
      <c r="A38" s="70"/>
      <c r="B38" s="70" t="s">
        <v>245</v>
      </c>
      <c r="C38" s="70"/>
      <c r="D38" s="70"/>
      <c r="E38" s="70"/>
      <c r="F38" s="72"/>
      <c r="G38" s="40"/>
      <c r="H38" s="40"/>
      <c r="I38" s="40"/>
      <c r="J38" s="40"/>
      <c r="K38" s="40"/>
      <c r="L38" s="40"/>
      <c r="M38" s="40"/>
      <c r="O38" s="75"/>
    </row>
    <row r="39" spans="1:32" ht="15.75" x14ac:dyDescent="0.25">
      <c r="A39" s="70"/>
      <c r="B39" s="76">
        <v>28</v>
      </c>
      <c r="C39" s="70" t="s">
        <v>246</v>
      </c>
      <c r="D39" s="70"/>
      <c r="E39" s="70"/>
      <c r="F39" s="72">
        <f>1/B39</f>
        <v>3.5714285714285712E-2</v>
      </c>
      <c r="G39" s="40"/>
      <c r="H39" s="40"/>
      <c r="I39" s="40"/>
      <c r="J39" s="40"/>
      <c r="K39" s="40"/>
      <c r="L39" s="40"/>
      <c r="M39" s="40"/>
      <c r="O39" s="77"/>
    </row>
    <row r="40" spans="1:32" x14ac:dyDescent="0.2">
      <c r="A40" s="70"/>
      <c r="B40" s="70" t="s">
        <v>247</v>
      </c>
      <c r="C40" s="70"/>
      <c r="D40" s="70"/>
      <c r="E40" s="70"/>
      <c r="F40" s="72">
        <f>J23</f>
        <v>1.8304184357095271E-2</v>
      </c>
      <c r="G40" s="40"/>
      <c r="H40" s="40"/>
      <c r="I40" s="40"/>
      <c r="J40" s="40"/>
      <c r="K40" s="40"/>
      <c r="L40" s="40"/>
      <c r="M40" s="40"/>
      <c r="O40" s="70"/>
    </row>
    <row r="41" spans="1:32" x14ac:dyDescent="0.2">
      <c r="A41" s="70"/>
      <c r="B41" s="70" t="s">
        <v>248</v>
      </c>
      <c r="C41" s="70"/>
      <c r="D41" s="70"/>
      <c r="E41" s="70"/>
      <c r="F41" s="147">
        <v>1.511E-2</v>
      </c>
      <c r="G41" s="51"/>
      <c r="H41" s="40"/>
      <c r="I41" s="40"/>
      <c r="J41" s="40"/>
      <c r="K41" s="40"/>
      <c r="L41" s="40"/>
      <c r="M41" s="40"/>
      <c r="O41" s="70"/>
    </row>
    <row r="42" spans="1:32" ht="15.75" x14ac:dyDescent="0.25">
      <c r="A42" s="70"/>
      <c r="B42" s="85" t="s">
        <v>249</v>
      </c>
      <c r="C42" s="85"/>
      <c r="D42" s="85"/>
      <c r="E42" s="70"/>
      <c r="F42" s="86">
        <f>SUM(F37:F41)</f>
        <v>0.14471733237138099</v>
      </c>
      <c r="G42" s="40"/>
      <c r="H42" s="40"/>
      <c r="I42" s="40"/>
      <c r="J42" s="40"/>
      <c r="K42" s="40"/>
      <c r="L42" s="40"/>
      <c r="M42" s="40"/>
      <c r="O42" s="70"/>
    </row>
    <row r="43" spans="1:32" ht="15.75" x14ac:dyDescent="0.25">
      <c r="A43" s="70"/>
      <c r="B43" s="85"/>
      <c r="C43" s="85"/>
      <c r="D43" s="85"/>
      <c r="E43" s="70"/>
      <c r="F43" s="86"/>
      <c r="G43" s="40"/>
      <c r="H43" s="40"/>
      <c r="I43" s="40"/>
      <c r="J43" s="40"/>
      <c r="K43" s="40"/>
      <c r="L43" s="40"/>
      <c r="M43" s="40"/>
      <c r="O43" s="70"/>
    </row>
    <row r="44" spans="1:32" ht="15.75" x14ac:dyDescent="0.25">
      <c r="A44" s="78" t="s">
        <v>575</v>
      </c>
      <c r="B44" s="69"/>
      <c r="C44" s="69"/>
      <c r="D44" s="69"/>
      <c r="E44" s="70"/>
      <c r="F44" s="69"/>
      <c r="G44" s="40"/>
      <c r="H44" s="40"/>
      <c r="I44" s="40"/>
      <c r="J44" s="40"/>
      <c r="K44" s="40"/>
      <c r="L44" s="40"/>
      <c r="M44" s="40"/>
      <c r="O44" s="70"/>
      <c r="AF44" s="367"/>
    </row>
    <row r="45" spans="1:32" ht="15.75" x14ac:dyDescent="0.25">
      <c r="A45" s="77"/>
      <c r="B45" s="69"/>
      <c r="C45" s="69"/>
      <c r="D45" s="69"/>
      <c r="E45" s="70"/>
      <c r="F45" s="69"/>
      <c r="G45" s="40"/>
      <c r="H45" s="40"/>
      <c r="I45" s="40"/>
      <c r="J45" s="40"/>
      <c r="K45" s="40"/>
      <c r="L45" s="40"/>
      <c r="M45" s="40"/>
      <c r="O45" s="70"/>
    </row>
    <row r="46" spans="1:32" x14ac:dyDescent="0.2">
      <c r="A46" s="70"/>
      <c r="B46" s="70" t="s">
        <v>244</v>
      </c>
      <c r="C46" s="70"/>
      <c r="D46" s="70"/>
      <c r="E46" s="70"/>
      <c r="F46" s="72">
        <f>E11</f>
        <v>7.558886229999999E-2</v>
      </c>
      <c r="G46" s="40"/>
      <c r="H46" s="40"/>
      <c r="I46" s="40"/>
      <c r="J46" s="40"/>
      <c r="K46" s="40"/>
      <c r="L46" s="40"/>
      <c r="M46" s="40"/>
      <c r="O46" s="70"/>
    </row>
    <row r="47" spans="1:32" x14ac:dyDescent="0.2">
      <c r="A47" s="70"/>
      <c r="B47" s="70" t="s">
        <v>245</v>
      </c>
      <c r="C47" s="70"/>
      <c r="D47" s="70"/>
      <c r="E47" s="70"/>
      <c r="F47" s="72"/>
      <c r="G47" s="40"/>
      <c r="H47" s="40"/>
      <c r="I47" s="40"/>
      <c r="J47" s="40"/>
      <c r="K47" s="40"/>
      <c r="L47" s="40"/>
      <c r="M47" s="40"/>
      <c r="O47" s="70"/>
    </row>
    <row r="48" spans="1:32" x14ac:dyDescent="0.2">
      <c r="A48" s="70"/>
      <c r="B48" s="76">
        <f>28*0.647332</f>
        <v>18.125295999999999</v>
      </c>
      <c r="C48" s="70" t="s">
        <v>246</v>
      </c>
      <c r="D48" s="70"/>
      <c r="E48" s="70"/>
      <c r="F48" s="72">
        <f>1/B48</f>
        <v>5.5171512785225689E-2</v>
      </c>
      <c r="G48" s="40"/>
      <c r="H48" s="40"/>
      <c r="I48" s="40"/>
      <c r="J48" s="40"/>
      <c r="K48" s="40"/>
      <c r="L48" s="40"/>
      <c r="M48" s="40"/>
      <c r="O48" s="70"/>
    </row>
    <row r="49" spans="1:15" x14ac:dyDescent="0.2">
      <c r="A49" s="70"/>
      <c r="B49" s="70" t="s">
        <v>247</v>
      </c>
      <c r="C49" s="70"/>
      <c r="D49" s="70"/>
      <c r="E49" s="70"/>
      <c r="F49" s="72">
        <f>F40</f>
        <v>1.8304184357095271E-2</v>
      </c>
      <c r="G49" s="40"/>
      <c r="H49" s="40"/>
      <c r="I49" s="40"/>
      <c r="J49" s="40"/>
      <c r="K49" s="40"/>
      <c r="L49" s="40"/>
      <c r="M49" s="40"/>
      <c r="O49" s="70"/>
    </row>
    <row r="50" spans="1:15" x14ac:dyDescent="0.2">
      <c r="A50" s="70"/>
      <c r="B50" s="70" t="s">
        <v>248</v>
      </c>
      <c r="C50" s="70"/>
      <c r="D50" s="70"/>
      <c r="E50" s="70"/>
      <c r="F50" s="147">
        <v>1.511E-2</v>
      </c>
      <c r="G50" s="40"/>
      <c r="H50" s="40"/>
      <c r="I50" s="40"/>
      <c r="J50" s="40"/>
      <c r="K50" s="40"/>
      <c r="L50" s="40"/>
      <c r="M50" s="40"/>
      <c r="O50" s="70"/>
    </row>
    <row r="51" spans="1:15" ht="15.75" x14ac:dyDescent="0.25">
      <c r="A51" s="70"/>
      <c r="B51" s="85" t="s">
        <v>249</v>
      </c>
      <c r="C51" s="85"/>
      <c r="D51" s="85"/>
      <c r="E51" s="70"/>
      <c r="F51" s="86">
        <f>SUM(F46:F50)</f>
        <v>0.16417455944232096</v>
      </c>
      <c r="G51" s="40"/>
      <c r="H51" s="40"/>
      <c r="I51" s="40"/>
      <c r="J51" s="40"/>
      <c r="K51" s="40"/>
      <c r="L51" s="40"/>
      <c r="M51" s="40"/>
      <c r="O51" s="70"/>
    </row>
    <row r="52" spans="1:15" ht="15.75" x14ac:dyDescent="0.25">
      <c r="A52" s="70"/>
      <c r="B52" s="85"/>
      <c r="C52" s="85"/>
      <c r="D52" s="85"/>
      <c r="E52" s="70"/>
      <c r="F52" s="86"/>
      <c r="G52" s="40"/>
      <c r="H52" s="40"/>
      <c r="I52" s="40"/>
      <c r="J52" s="40"/>
      <c r="K52" s="40"/>
      <c r="L52" s="40"/>
      <c r="M52" s="40"/>
      <c r="O52" s="70"/>
    </row>
    <row r="53" spans="1:15" ht="15.75" x14ac:dyDescent="0.25">
      <c r="A53" s="78" t="s">
        <v>576</v>
      </c>
      <c r="B53" s="69"/>
      <c r="C53" s="69"/>
      <c r="D53" s="69"/>
      <c r="E53" s="70"/>
      <c r="F53" s="69"/>
      <c r="G53" s="40"/>
      <c r="H53" s="40"/>
      <c r="I53" s="40"/>
      <c r="J53" s="40"/>
      <c r="K53" s="40"/>
      <c r="L53" s="40"/>
      <c r="M53" s="40"/>
      <c r="O53" s="70"/>
    </row>
    <row r="54" spans="1:15" ht="15.75" x14ac:dyDescent="0.25">
      <c r="A54" s="77"/>
      <c r="B54" s="69"/>
      <c r="C54" s="69"/>
      <c r="D54" s="69"/>
      <c r="E54" s="70"/>
      <c r="F54" s="69"/>
      <c r="G54" s="40"/>
      <c r="H54" s="40"/>
      <c r="I54" s="40"/>
      <c r="J54" s="40"/>
      <c r="K54" s="40"/>
      <c r="L54" s="40"/>
      <c r="M54" s="40"/>
      <c r="O54" s="70"/>
    </row>
    <row r="55" spans="1:15" ht="15.75" x14ac:dyDescent="0.25">
      <c r="A55" s="70"/>
      <c r="B55" s="85" t="s">
        <v>249</v>
      </c>
      <c r="C55" s="85"/>
      <c r="D55" s="85"/>
      <c r="E55" s="70"/>
      <c r="F55" s="86">
        <f>((F51*'Maintenance &amp; NBV'!D48)+('Fixed Carrying Cost'!F42*'Maintenance &amp; NBV'!H53))/('Maintenance &amp; NBV'!H53+'Maintenance &amp; NBV'!D48)</f>
        <v>0.16392527775058691</v>
      </c>
      <c r="G55" s="40"/>
      <c r="H55" s="40"/>
      <c r="I55" s="40"/>
      <c r="J55" s="40"/>
      <c r="K55" s="40"/>
      <c r="L55" s="40"/>
      <c r="M55" s="40"/>
      <c r="O55" s="70"/>
    </row>
    <row r="56" spans="1:15" x14ac:dyDescent="0.2">
      <c r="A56" s="70"/>
      <c r="B56" s="70"/>
      <c r="C56" s="70"/>
      <c r="D56" s="70"/>
      <c r="E56" s="70"/>
      <c r="F56" s="72"/>
      <c r="G56" s="40"/>
      <c r="H56" s="40"/>
      <c r="I56" s="40"/>
      <c r="J56" s="40"/>
      <c r="K56" s="40"/>
      <c r="L56" s="40"/>
      <c r="M56" s="40"/>
      <c r="O56" s="70"/>
    </row>
    <row r="57" spans="1:15" x14ac:dyDescent="0.2">
      <c r="A57" s="70"/>
      <c r="B57" s="76"/>
      <c r="C57" s="70"/>
      <c r="D57" s="70"/>
      <c r="E57" s="70"/>
      <c r="F57" s="72"/>
      <c r="G57" s="40"/>
      <c r="H57" s="40"/>
      <c r="I57" s="40"/>
      <c r="J57" s="40"/>
      <c r="K57" s="40"/>
      <c r="L57" s="40"/>
      <c r="M57" s="40"/>
      <c r="O57" s="70"/>
    </row>
    <row r="58" spans="1:15" x14ac:dyDescent="0.2">
      <c r="A58" s="70"/>
      <c r="B58" s="70"/>
      <c r="C58" s="70"/>
      <c r="D58" s="70"/>
      <c r="E58" s="70"/>
      <c r="F58" s="72"/>
      <c r="G58" s="40"/>
      <c r="H58" s="40"/>
      <c r="I58" s="40"/>
      <c r="J58" s="40"/>
      <c r="K58" s="40"/>
      <c r="L58" s="40"/>
      <c r="M58" s="40"/>
      <c r="O58" s="70"/>
    </row>
    <row r="59" spans="1:15" x14ac:dyDescent="0.2">
      <c r="A59" s="70"/>
      <c r="B59" s="70"/>
      <c r="C59" s="70"/>
      <c r="D59" s="70"/>
      <c r="E59" s="70"/>
      <c r="F59" s="147"/>
      <c r="G59" s="40"/>
      <c r="H59" s="40"/>
      <c r="I59" s="40"/>
      <c r="J59" s="40"/>
      <c r="K59" s="40"/>
      <c r="L59" s="40"/>
      <c r="M59" s="40"/>
      <c r="O59" s="70"/>
    </row>
    <row r="60" spans="1:15" x14ac:dyDescent="0.2">
      <c r="A60" s="70"/>
      <c r="G60" s="40"/>
      <c r="H60" s="40"/>
      <c r="I60" s="40"/>
      <c r="J60" s="40"/>
      <c r="K60" s="40"/>
      <c r="L60" s="40"/>
      <c r="M60" s="40"/>
      <c r="O60" s="70"/>
    </row>
    <row r="61" spans="1:15" ht="15.75" x14ac:dyDescent="0.25">
      <c r="A61" s="70"/>
      <c r="B61" s="85"/>
      <c r="C61" s="85"/>
      <c r="D61" s="85"/>
      <c r="E61" s="70"/>
      <c r="F61" s="86"/>
      <c r="G61" s="40"/>
      <c r="H61" s="40"/>
      <c r="I61" s="40"/>
      <c r="J61" s="40"/>
      <c r="K61" s="40"/>
      <c r="L61" s="40"/>
      <c r="M61" s="40"/>
      <c r="O61" s="70"/>
    </row>
    <row r="62" spans="1:15" ht="15.75" x14ac:dyDescent="0.25">
      <c r="A62" s="59" t="s">
        <v>577</v>
      </c>
      <c r="B62" s="69"/>
      <c r="C62" s="69"/>
      <c r="D62" s="69"/>
      <c r="E62" s="70"/>
      <c r="F62" s="69"/>
      <c r="G62" s="71"/>
      <c r="H62" s="40"/>
      <c r="I62" s="40"/>
      <c r="J62" s="40"/>
      <c r="K62" s="40"/>
      <c r="L62" s="40"/>
      <c r="M62" s="40"/>
      <c r="O62" s="70"/>
    </row>
    <row r="63" spans="1:15" ht="15.75" x14ac:dyDescent="0.25">
      <c r="A63" s="77"/>
      <c r="B63" s="69"/>
      <c r="C63" s="69"/>
      <c r="D63" s="69"/>
      <c r="E63" s="70"/>
      <c r="F63" s="69"/>
      <c r="G63" s="71"/>
      <c r="H63" s="40"/>
      <c r="I63" s="40"/>
      <c r="J63" s="40"/>
      <c r="K63" s="40"/>
      <c r="L63" s="40"/>
      <c r="M63" s="40"/>
      <c r="O63" s="70"/>
    </row>
    <row r="64" spans="1:15" x14ac:dyDescent="0.2">
      <c r="A64" s="70"/>
      <c r="B64" s="70" t="s">
        <v>244</v>
      </c>
      <c r="C64" s="70"/>
      <c r="D64" s="70"/>
      <c r="E64" s="70"/>
      <c r="F64" s="72">
        <f>E11</f>
        <v>7.558886229999999E-2</v>
      </c>
      <c r="G64" s="69"/>
      <c r="H64" s="40"/>
      <c r="I64" s="40"/>
      <c r="J64" s="40"/>
      <c r="K64" s="40"/>
      <c r="L64" s="40"/>
      <c r="M64" s="40"/>
      <c r="O64" s="70"/>
    </row>
    <row r="65" spans="1:15" x14ac:dyDescent="0.2">
      <c r="A65" s="70"/>
      <c r="B65" s="70" t="s">
        <v>245</v>
      </c>
      <c r="C65" s="70"/>
      <c r="D65" s="70"/>
      <c r="E65" s="70"/>
      <c r="F65" s="72"/>
      <c r="G65" s="40"/>
      <c r="H65" s="40"/>
      <c r="I65" s="40"/>
      <c r="J65" s="40"/>
      <c r="K65" s="40"/>
      <c r="L65" s="40"/>
      <c r="M65" s="40"/>
      <c r="O65" s="70"/>
    </row>
    <row r="66" spans="1:15" x14ac:dyDescent="0.2">
      <c r="A66" s="70"/>
      <c r="B66" s="76">
        <v>25</v>
      </c>
      <c r="C66" s="70" t="s">
        <v>246</v>
      </c>
      <c r="D66" s="70"/>
      <c r="E66" s="70"/>
      <c r="F66" s="72">
        <f>1/B66</f>
        <v>0.04</v>
      </c>
      <c r="G66" s="40"/>
      <c r="H66" s="40"/>
      <c r="I66" s="40"/>
      <c r="J66" s="40"/>
      <c r="K66" s="40"/>
      <c r="L66" s="40"/>
      <c r="M66" s="40"/>
      <c r="O66" s="70"/>
    </row>
    <row r="67" spans="1:15" x14ac:dyDescent="0.2">
      <c r="A67" s="70"/>
      <c r="B67" s="70" t="s">
        <v>247</v>
      </c>
      <c r="C67" s="70"/>
      <c r="D67" s="70"/>
      <c r="E67" s="70"/>
      <c r="F67" s="72">
        <f>J23</f>
        <v>1.8304184357095271E-2</v>
      </c>
      <c r="G67" s="40"/>
      <c r="H67" s="40"/>
      <c r="I67" s="40"/>
      <c r="J67" s="40"/>
      <c r="K67" s="40"/>
      <c r="L67" s="40"/>
      <c r="M67" s="40"/>
      <c r="O67" s="70"/>
    </row>
    <row r="68" spans="1:15" x14ac:dyDescent="0.2">
      <c r="A68" s="70"/>
      <c r="B68" s="70" t="s">
        <v>248</v>
      </c>
      <c r="C68" s="70"/>
      <c r="D68" s="70"/>
      <c r="E68" s="70"/>
      <c r="F68" s="147">
        <v>1.511E-2</v>
      </c>
      <c r="G68" s="51"/>
      <c r="H68" s="40"/>
      <c r="I68" s="40"/>
      <c r="J68" s="40"/>
      <c r="K68" s="40"/>
      <c r="L68" s="40"/>
      <c r="M68" s="40"/>
      <c r="O68" s="70"/>
    </row>
    <row r="69" spans="1:15" ht="15.75" x14ac:dyDescent="0.25">
      <c r="A69" s="70"/>
      <c r="B69" s="85" t="s">
        <v>249</v>
      </c>
      <c r="C69" s="85"/>
      <c r="D69" s="85"/>
      <c r="E69" s="70"/>
      <c r="F69" s="86">
        <f>SUM(F64:F68)</f>
        <v>0.14900304665709527</v>
      </c>
      <c r="G69" s="40"/>
      <c r="H69" s="40"/>
      <c r="I69" s="40"/>
      <c r="J69" s="40"/>
      <c r="K69" s="40"/>
      <c r="L69" s="40"/>
      <c r="M69" s="40"/>
      <c r="O69" s="70"/>
    </row>
    <row r="70" spans="1:15" ht="15.75" x14ac:dyDescent="0.25">
      <c r="A70" s="70"/>
      <c r="B70" s="85"/>
      <c r="C70" s="85"/>
      <c r="D70" s="85"/>
      <c r="E70" s="70"/>
      <c r="F70" s="86"/>
      <c r="G70" s="40"/>
      <c r="H70" s="40"/>
      <c r="I70" s="40"/>
      <c r="J70" s="40"/>
      <c r="K70" s="40"/>
      <c r="L70" s="40"/>
      <c r="M70" s="40"/>
      <c r="O70" s="70"/>
    </row>
    <row r="71" spans="1:15" ht="15.75" x14ac:dyDescent="0.25">
      <c r="A71" s="59" t="s">
        <v>504</v>
      </c>
      <c r="B71" s="69"/>
      <c r="C71" s="69"/>
      <c r="D71" s="69"/>
      <c r="E71" s="70"/>
      <c r="F71" s="69"/>
      <c r="G71" s="71"/>
      <c r="H71" s="40"/>
      <c r="I71" s="40"/>
      <c r="J71" s="40"/>
      <c r="K71" s="40"/>
      <c r="L71" s="40"/>
      <c r="M71" s="40"/>
      <c r="O71" s="70"/>
    </row>
    <row r="72" spans="1:15" ht="15.75" x14ac:dyDescent="0.25">
      <c r="A72" s="77"/>
      <c r="B72" s="69"/>
      <c r="C72" s="69"/>
      <c r="D72" s="69"/>
      <c r="E72" s="70"/>
      <c r="F72" s="69"/>
      <c r="G72" s="71"/>
      <c r="H72" s="40"/>
      <c r="I72" s="40"/>
      <c r="J72" s="40"/>
      <c r="K72" s="40"/>
      <c r="L72" s="40"/>
      <c r="M72" s="40"/>
      <c r="O72" s="70"/>
    </row>
    <row r="73" spans="1:15" x14ac:dyDescent="0.2">
      <c r="A73" s="70"/>
      <c r="B73" s="70" t="s">
        <v>244</v>
      </c>
      <c r="C73" s="70"/>
      <c r="D73" s="70"/>
      <c r="E73" s="70"/>
      <c r="F73" s="72">
        <f>$E$11</f>
        <v>7.558886229999999E-2</v>
      </c>
      <c r="G73" s="69"/>
      <c r="H73" s="40"/>
      <c r="I73" s="40"/>
      <c r="J73" s="40"/>
      <c r="K73" s="40"/>
      <c r="L73" s="40"/>
      <c r="M73" s="40"/>
      <c r="O73" s="70"/>
    </row>
    <row r="74" spans="1:15" x14ac:dyDescent="0.2">
      <c r="A74" s="70"/>
      <c r="B74" s="70" t="s">
        <v>245</v>
      </c>
      <c r="C74" s="70"/>
      <c r="D74" s="70"/>
      <c r="E74" s="70"/>
      <c r="F74" s="72"/>
      <c r="G74" s="40"/>
      <c r="H74" s="40"/>
      <c r="I74" s="40"/>
      <c r="J74" s="40"/>
      <c r="K74" s="40"/>
      <c r="L74" s="40"/>
      <c r="M74" s="40"/>
      <c r="O74" s="70"/>
    </row>
    <row r="75" spans="1:15" x14ac:dyDescent="0.2">
      <c r="A75" s="70"/>
      <c r="B75" s="76">
        <v>15</v>
      </c>
      <c r="C75" s="70" t="s">
        <v>246</v>
      </c>
      <c r="D75" s="70"/>
      <c r="E75" s="70"/>
      <c r="F75" s="72">
        <f>1/B75</f>
        <v>6.6666666666666666E-2</v>
      </c>
      <c r="G75" s="40"/>
      <c r="H75" s="40"/>
      <c r="I75" s="40"/>
      <c r="J75" s="40"/>
      <c r="K75" s="40"/>
      <c r="L75" s="40"/>
      <c r="M75" s="40"/>
      <c r="O75" s="70"/>
    </row>
    <row r="76" spans="1:15" x14ac:dyDescent="0.2">
      <c r="A76" s="70"/>
      <c r="B76" s="70" t="s">
        <v>247</v>
      </c>
      <c r="C76" s="70"/>
      <c r="D76" s="70"/>
      <c r="E76" s="70"/>
      <c r="F76" s="72">
        <f>J23</f>
        <v>1.8304184357095271E-2</v>
      </c>
      <c r="G76" s="40"/>
      <c r="H76" s="40"/>
      <c r="I76" s="40"/>
      <c r="J76" s="40"/>
      <c r="K76" s="40"/>
      <c r="L76" s="40"/>
      <c r="M76" s="40"/>
      <c r="O76" s="70"/>
    </row>
    <row r="77" spans="1:15" x14ac:dyDescent="0.2">
      <c r="A77" s="70"/>
      <c r="B77" s="70" t="s">
        <v>248</v>
      </c>
      <c r="C77" s="70"/>
      <c r="D77" s="70"/>
      <c r="E77" s="70"/>
      <c r="F77" s="147">
        <v>1.511E-2</v>
      </c>
      <c r="G77" s="51"/>
      <c r="H77" s="40"/>
      <c r="I77" s="40"/>
      <c r="J77" s="40"/>
      <c r="K77" s="40"/>
      <c r="L77" s="40"/>
      <c r="M77" s="40"/>
      <c r="O77" s="70"/>
    </row>
    <row r="78" spans="1:15" ht="15.75" x14ac:dyDescent="0.25">
      <c r="A78" s="70"/>
      <c r="B78" s="85" t="s">
        <v>249</v>
      </c>
      <c r="C78" s="85"/>
      <c r="D78" s="85"/>
      <c r="E78" s="70"/>
      <c r="F78" s="86">
        <f>SUM(F73:F77)</f>
        <v>0.17566971332376194</v>
      </c>
      <c r="G78" s="40"/>
      <c r="H78" s="40"/>
      <c r="I78" s="40"/>
      <c r="J78" s="40"/>
      <c r="K78" s="40"/>
      <c r="L78" s="40"/>
      <c r="M78" s="40"/>
      <c r="O78" s="70"/>
    </row>
    <row r="79" spans="1:15" ht="15.75" x14ac:dyDescent="0.25">
      <c r="A79" s="70"/>
      <c r="B79" s="85"/>
      <c r="C79" s="85"/>
      <c r="D79" s="85"/>
      <c r="E79" s="70"/>
      <c r="F79" s="86"/>
      <c r="G79" s="40"/>
      <c r="H79" s="40"/>
      <c r="I79" s="40"/>
      <c r="J79" s="40"/>
      <c r="K79" s="40"/>
      <c r="L79" s="40"/>
      <c r="M79" s="40"/>
      <c r="O79" s="70"/>
    </row>
    <row r="80" spans="1:15" ht="15.75" x14ac:dyDescent="0.25">
      <c r="A80" s="59" t="s">
        <v>564</v>
      </c>
      <c r="B80" s="69"/>
      <c r="C80" s="69"/>
      <c r="D80" s="69"/>
      <c r="E80" s="70"/>
      <c r="F80" s="69"/>
      <c r="G80" s="71"/>
      <c r="H80" s="40"/>
      <c r="I80" s="40"/>
      <c r="J80" s="40"/>
      <c r="K80" s="40"/>
      <c r="L80" s="40"/>
      <c r="M80" s="40"/>
      <c r="O80" s="70"/>
    </row>
    <row r="81" spans="1:16" ht="15.75" x14ac:dyDescent="0.25">
      <c r="A81" s="77"/>
      <c r="B81" s="69"/>
      <c r="C81" s="69"/>
      <c r="D81" s="69"/>
      <c r="E81" s="70"/>
      <c r="F81" s="69"/>
      <c r="G81" s="71"/>
      <c r="H81" s="40"/>
      <c r="I81" s="40"/>
      <c r="J81" s="40"/>
      <c r="K81" s="40"/>
      <c r="L81" s="40"/>
      <c r="M81" s="40"/>
      <c r="O81" s="70"/>
    </row>
    <row r="82" spans="1:16" x14ac:dyDescent="0.2">
      <c r="A82" s="70"/>
      <c r="B82" s="70" t="s">
        <v>244</v>
      </c>
      <c r="C82" s="70"/>
      <c r="D82" s="70"/>
      <c r="E82" s="70"/>
      <c r="F82" s="72">
        <f>$E$11</f>
        <v>7.558886229999999E-2</v>
      </c>
      <c r="G82" s="69"/>
      <c r="H82" s="40"/>
      <c r="I82" s="40"/>
      <c r="J82" s="40"/>
      <c r="K82" s="40"/>
      <c r="L82" s="40"/>
      <c r="M82" s="40"/>
      <c r="O82" s="70"/>
    </row>
    <row r="83" spans="1:16" x14ac:dyDescent="0.2">
      <c r="A83" s="70"/>
      <c r="B83" s="70" t="s">
        <v>245</v>
      </c>
      <c r="C83" s="70"/>
      <c r="D83" s="70"/>
      <c r="E83" s="70"/>
      <c r="F83" s="72"/>
      <c r="G83" s="40"/>
      <c r="H83" s="40"/>
      <c r="I83" s="40"/>
      <c r="J83" s="40"/>
      <c r="K83" s="40"/>
      <c r="L83" s="40"/>
      <c r="M83" s="40"/>
      <c r="O83" s="70"/>
    </row>
    <row r="84" spans="1:16" x14ac:dyDescent="0.2">
      <c r="A84" s="70"/>
      <c r="B84" s="76">
        <v>5</v>
      </c>
      <c r="C84" s="70" t="s">
        <v>246</v>
      </c>
      <c r="D84" s="70"/>
      <c r="E84" s="70"/>
      <c r="F84" s="72">
        <f>1/B84</f>
        <v>0.2</v>
      </c>
      <c r="G84" s="40"/>
      <c r="H84" s="40"/>
      <c r="I84" s="40"/>
      <c r="J84" s="40"/>
      <c r="K84" s="40"/>
      <c r="L84" s="40"/>
      <c r="M84" s="40"/>
      <c r="O84" s="70"/>
    </row>
    <row r="85" spans="1:16" x14ac:dyDescent="0.2">
      <c r="A85" s="70"/>
      <c r="B85" s="70" t="s">
        <v>247</v>
      </c>
      <c r="C85" s="70"/>
      <c r="D85" s="70"/>
      <c r="E85" s="70"/>
      <c r="F85" s="72">
        <f>J23</f>
        <v>1.8304184357095271E-2</v>
      </c>
      <c r="G85" s="40"/>
      <c r="H85" s="40"/>
      <c r="I85" s="40"/>
      <c r="J85" s="40"/>
      <c r="K85" s="40"/>
      <c r="L85" s="40"/>
      <c r="M85" s="40"/>
      <c r="O85" s="70"/>
    </row>
    <row r="86" spans="1:16" x14ac:dyDescent="0.2">
      <c r="A86" s="70"/>
      <c r="B86" s="70" t="s">
        <v>248</v>
      </c>
      <c r="C86" s="70"/>
      <c r="D86" s="70"/>
      <c r="E86" s="70"/>
      <c r="F86" s="147">
        <v>1.511E-2</v>
      </c>
      <c r="G86" s="51"/>
      <c r="H86" s="40"/>
      <c r="I86" s="40"/>
      <c r="J86" s="40"/>
      <c r="K86" s="40"/>
      <c r="L86" s="40"/>
      <c r="M86" s="40"/>
      <c r="O86" s="70"/>
    </row>
    <row r="87" spans="1:16" ht="15.75" x14ac:dyDescent="0.25">
      <c r="A87" s="70"/>
      <c r="B87" s="85" t="s">
        <v>249</v>
      </c>
      <c r="C87" s="85"/>
      <c r="D87" s="85"/>
      <c r="E87" s="70"/>
      <c r="F87" s="86">
        <f>SUM(F82:F86)</f>
        <v>0.30900304665709527</v>
      </c>
      <c r="G87" s="40"/>
      <c r="H87" s="40"/>
      <c r="I87" s="40"/>
      <c r="J87" s="40"/>
      <c r="K87" s="40"/>
      <c r="L87" s="40"/>
      <c r="M87" s="40"/>
      <c r="O87" s="70"/>
    </row>
    <row r="88" spans="1:16" ht="15.75" x14ac:dyDescent="0.25">
      <c r="A88" s="70"/>
      <c r="B88" s="85"/>
      <c r="C88" s="85"/>
      <c r="D88" s="85"/>
      <c r="E88" s="70"/>
      <c r="F88" s="86"/>
      <c r="G88" s="40"/>
      <c r="H88" s="40"/>
      <c r="I88" s="40"/>
      <c r="J88" s="40"/>
      <c r="K88" s="40"/>
      <c r="L88" s="40"/>
      <c r="M88" s="40"/>
      <c r="O88" s="70"/>
    </row>
    <row r="89" spans="1:16" x14ac:dyDescent="0.2">
      <c r="P89" s="70"/>
    </row>
    <row r="90" spans="1:16" ht="15.75" x14ac:dyDescent="0.25">
      <c r="A90" s="78" t="s">
        <v>250</v>
      </c>
      <c r="P90" s="70"/>
    </row>
    <row r="91" spans="1:16" ht="15.75" x14ac:dyDescent="0.25">
      <c r="A91" s="78"/>
      <c r="P91" s="70"/>
    </row>
    <row r="92" spans="1:16" x14ac:dyDescent="0.2">
      <c r="B92" s="39" t="s">
        <v>251</v>
      </c>
      <c r="C92" s="79">
        <v>7.3279999999999998E-2</v>
      </c>
      <c r="D92" s="80" t="s">
        <v>252</v>
      </c>
      <c r="P92" s="70"/>
    </row>
  </sheetData>
  <pageMargins left="1" right="1" top="1" bottom="1.75" header="0.5" footer="0.5"/>
  <pageSetup scale="53" fitToHeight="0" orientation="landscape" r:id="rId1"/>
  <headerFooter scaleWithDoc="0">
    <oddFooter>&amp;R&amp;"Times New Roman,Bold"&amp;12 Case No. 2018-00294
Attachment to Response to PSC-2 Question No. 21a-b
Page &amp;P of &amp;N
Seelye</oddFooter>
  </headerFooter>
  <ignoredErrors>
    <ignoredError sqref="B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43"/>
  <sheetViews>
    <sheetView showGridLines="0" zoomScale="80" zoomScaleNormal="80" workbookViewId="0"/>
  </sheetViews>
  <sheetFormatPr defaultRowHeight="15" x14ac:dyDescent="0.25"/>
  <cols>
    <col min="1" max="1" width="4" customWidth="1"/>
    <col min="3" max="3" width="12.7109375" bestFit="1" customWidth="1"/>
    <col min="4" max="7" width="13.85546875" customWidth="1"/>
    <col min="8" max="8" width="16.5703125" customWidth="1"/>
  </cols>
  <sheetData>
    <row r="2" spans="2:8" x14ac:dyDescent="0.25">
      <c r="B2" s="359"/>
      <c r="C2" s="358" t="s">
        <v>542</v>
      </c>
      <c r="D2" s="357" t="s">
        <v>541</v>
      </c>
      <c r="E2" s="357"/>
      <c r="F2" s="357"/>
      <c r="G2" s="357"/>
      <c r="H2" s="358" t="s">
        <v>547</v>
      </c>
    </row>
    <row r="3" spans="2:8" x14ac:dyDescent="0.25">
      <c r="B3" s="360"/>
      <c r="C3" s="358"/>
      <c r="D3" s="300" t="s">
        <v>543</v>
      </c>
      <c r="E3" s="300" t="s">
        <v>544</v>
      </c>
      <c r="F3" s="300" t="s">
        <v>545</v>
      </c>
      <c r="G3" s="300" t="s">
        <v>546</v>
      </c>
      <c r="H3" s="358"/>
    </row>
    <row r="4" spans="2:8" x14ac:dyDescent="0.25">
      <c r="B4" s="296">
        <f>'LS - Summary'!B22</f>
        <v>396</v>
      </c>
      <c r="C4" s="297">
        <f>'LS - Summary'!AA22</f>
        <v>5.4029688562429206</v>
      </c>
      <c r="D4" s="298">
        <f>IFERROR(IF(VLOOKUP($B4,'LS - Summary'!$B$13:$AK$32,38,FALSE)=D$16,VLOOKUP(D$16,'LS - Summary'!$E$37:$AB$40,26,FALSE),0),0)</f>
        <v>0</v>
      </c>
      <c r="E4" s="298">
        <f>IFERROR(IF(VLOOKUP($B4,'LS - Summary'!$B$13:$AK$32,38,FALSE)=E$16,VLOOKUP(E$16,'LS - Summary'!$E$37:$AB$40,26,FALSE),0),0)</f>
        <v>0</v>
      </c>
      <c r="F4" s="298">
        <f>IFERROR(IF(VLOOKUP($B4,'LS - Summary'!$B$13:$AK$32,38,FALSE)=F$16,VLOOKUP(F$16,'LS - Summary'!$E$37:$AB$40,26,FALSE),0),0)</f>
        <v>0</v>
      </c>
      <c r="G4" s="298">
        <f>IFERROR(IF(VLOOKUP($B4,'LS - Summary'!$B$13:$AK$32,38,FALSE)=G$16,VLOOKUP(G$16,'LS - Summary'!$E$37:$AB$40,26,FALSE),0),0)</f>
        <v>0</v>
      </c>
      <c r="H4" s="299">
        <f>SUM(C4:G4)</f>
        <v>5.4029688562429206</v>
      </c>
    </row>
    <row r="5" spans="2:8" x14ac:dyDescent="0.25">
      <c r="B5" s="296">
        <f>'LS - Summary'!B23</f>
        <v>397</v>
      </c>
      <c r="C5" s="297">
        <f>'LS - Summary'!AA23</f>
        <v>7.5178732667202794</v>
      </c>
      <c r="D5" s="298">
        <f>IFERROR(IF(VLOOKUP($B5,'LS - Summary'!$B$13:$AK$32,38,FALSE)=D$16,VLOOKUP(D$16,'LS - Summary'!$E$37:$AB$40,26,FALSE),0),0)</f>
        <v>0</v>
      </c>
      <c r="E5" s="298">
        <f>IFERROR(IF(VLOOKUP($B5,'LS - Summary'!$B$13:$AK$32,38,FALSE)=E$16,VLOOKUP(E$16,'LS - Summary'!$E$37:$AB$40,26,FALSE),0),0)</f>
        <v>0</v>
      </c>
      <c r="F5" s="298">
        <f>IFERROR(IF(VLOOKUP($B5,'LS - Summary'!$B$13:$AK$32,38,FALSE)=F$16,VLOOKUP(F$16,'LS - Summary'!$E$37:$AB$40,26,FALSE),0),0)</f>
        <v>0</v>
      </c>
      <c r="G5" s="298">
        <f>IFERROR(IF(VLOOKUP($B5,'LS - Summary'!$B$13:$AK$32,38,FALSE)=G$16,VLOOKUP(G$16,'LS - Summary'!$E$37:$AB$40,26,FALSE),0),0)</f>
        <v>0</v>
      </c>
      <c r="H5" s="299">
        <f t="shared" ref="H5:H14" si="0">SUM(C5:G5)</f>
        <v>7.5178732667202794</v>
      </c>
    </row>
    <row r="6" spans="2:8" x14ac:dyDescent="0.25">
      <c r="B6" s="296">
        <f>'LS - Summary'!B24</f>
        <v>398</v>
      </c>
      <c r="C6" s="297">
        <f>'LS - Summary'!AA24</f>
        <v>10.845277205579526</v>
      </c>
      <c r="D6" s="298">
        <f>IFERROR(IF(VLOOKUP($B6,'LS - Summary'!$B$13:$AK$32,38,FALSE)=D$16,VLOOKUP(D$16,'LS - Summary'!$E$37:$AB$40,26,FALSE),0),0)</f>
        <v>0</v>
      </c>
      <c r="E6" s="298">
        <f>IFERROR(IF(VLOOKUP($B6,'LS - Summary'!$B$13:$AK$32,38,FALSE)=E$16,VLOOKUP(E$16,'LS - Summary'!$E$37:$AB$40,26,FALSE),0),0)</f>
        <v>0</v>
      </c>
      <c r="F6" s="298">
        <f>IFERROR(IF(VLOOKUP($B6,'LS - Summary'!$B$13:$AK$32,38,FALSE)=F$16,VLOOKUP(F$16,'LS - Summary'!$E$37:$AB$40,26,FALSE),0),0)</f>
        <v>0</v>
      </c>
      <c r="G6" s="298">
        <f>IFERROR(IF(VLOOKUP($B6,'LS - Summary'!$B$13:$AK$32,38,FALSE)=G$16,VLOOKUP(G$16,'LS - Summary'!$E$37:$AB$40,26,FALSE),0),0)</f>
        <v>0</v>
      </c>
      <c r="H6" s="299">
        <f t="shared" si="0"/>
        <v>10.845277205579526</v>
      </c>
    </row>
    <row r="7" spans="2:8" x14ac:dyDescent="0.25">
      <c r="B7" s="296">
        <f>'LS - Summary'!B25</f>
        <v>399</v>
      </c>
      <c r="C7" s="297">
        <f>'LS - Summary'!AA25</f>
        <v>7.6532894108182052</v>
      </c>
      <c r="D7" s="298">
        <f>IFERROR(IF(VLOOKUP($B7,'LS - Summary'!$B$13:$AK$32,38,FALSE)=D$16,VLOOKUP(D$16,'LS - Summary'!$E$37:$AB$40,26,FALSE),0),0)</f>
        <v>0</v>
      </c>
      <c r="E7" s="298">
        <f>IFERROR(IF(VLOOKUP($B7,'LS - Summary'!$B$13:$AK$32,38,FALSE)=E$16,VLOOKUP(E$16,'LS - Summary'!$E$37:$AB$40,26,FALSE),0),0)</f>
        <v>0</v>
      </c>
      <c r="F7" s="298">
        <f>IFERROR(IF(VLOOKUP($B7,'LS - Summary'!$B$13:$AK$32,38,FALSE)=F$16,VLOOKUP(F$16,'LS - Summary'!$E$37:$AB$40,26,FALSE),0),0)</f>
        <v>0</v>
      </c>
      <c r="G7" s="298">
        <f>IFERROR(IF(VLOOKUP($B7,'LS - Summary'!$B$13:$AK$32,38,FALSE)=G$16,VLOOKUP(G$16,'LS - Summary'!$E$37:$AB$40,26,FALSE),0),0)</f>
        <v>0</v>
      </c>
      <c r="H7" s="299">
        <f t="shared" si="0"/>
        <v>7.6532894108182052</v>
      </c>
    </row>
    <row r="8" spans="2:8" x14ac:dyDescent="0.25">
      <c r="B8" s="296" t="str">
        <f>'LS - Summary'!B26</f>
        <v>KA1</v>
      </c>
      <c r="C8" s="297">
        <f>'LS - Summary'!AA26</f>
        <v>9.1228795281345736</v>
      </c>
      <c r="D8" s="298">
        <f>IFERROR(IF(VLOOKUP($B8,'LS - Summary'!$B$13:$AK$32,38,FALSE)=D$16,VLOOKUP(D$16,'LS - Summary'!$E$37:$AB$40,26,FALSE),0),0)</f>
        <v>0</v>
      </c>
      <c r="E8" s="298">
        <f>IFERROR(IF(VLOOKUP($B8,'LS - Summary'!$B$13:$AK$32,38,FALSE)=E$16,VLOOKUP(E$16,'LS - Summary'!$E$37:$AB$40,26,FALSE),0),0)</f>
        <v>0</v>
      </c>
      <c r="F8" s="298">
        <f>IFERROR(IF(VLOOKUP($B8,'LS - Summary'!$B$13:$AK$32,38,FALSE)=F$16,VLOOKUP(F$16,'LS - Summary'!$E$37:$AB$40,26,FALSE),0),0)</f>
        <v>0</v>
      </c>
      <c r="G8" s="298">
        <f>IFERROR(IF(VLOOKUP($B8,'LS - Summary'!$B$13:$AK$32,38,FALSE)=G$16,VLOOKUP(G$16,'LS - Summary'!$E$37:$AB$40,26,FALSE),0),0)</f>
        <v>0</v>
      </c>
      <c r="H8" s="299">
        <f t="shared" si="0"/>
        <v>9.1228795281345736</v>
      </c>
    </row>
    <row r="9" spans="2:8" x14ac:dyDescent="0.25">
      <c r="B9" s="296" t="str">
        <f>'LS - Summary'!B27</f>
        <v>KN1</v>
      </c>
      <c r="C9" s="297">
        <f>'LS - Summary'!AA27</f>
        <v>7.0880383336741808</v>
      </c>
      <c r="D9" s="298">
        <f>IFERROR(IF(VLOOKUP($B9,'LS - Summary'!$B$13:$AK$32,38,FALSE)=D$16,VLOOKUP(D$16,'LS - Summary'!$E$37:$AB$40,26,FALSE),0),0)</f>
        <v>0</v>
      </c>
      <c r="E9" s="298">
        <f>IFERROR(IF(VLOOKUP($B9,'LS - Summary'!$B$13:$AK$32,38,FALSE)=E$16,VLOOKUP(E$16,'LS - Summary'!$E$37:$AB$40,26,FALSE),0),0)</f>
        <v>0</v>
      </c>
      <c r="F9" s="298">
        <f>IFERROR(IF(VLOOKUP($B9,'LS - Summary'!$B$13:$AK$32,38,FALSE)=F$16,VLOOKUP(F$16,'LS - Summary'!$E$37:$AB$40,26,FALSE),0),0)</f>
        <v>0</v>
      </c>
      <c r="G9" s="298">
        <f>IFERROR(IF(VLOOKUP($B9,'LS - Summary'!$B$13:$AK$32,38,FALSE)=G$16,VLOOKUP(G$16,'LS - Summary'!$E$37:$AB$40,26,FALSE),0),0)</f>
        <v>0</v>
      </c>
      <c r="H9" s="299">
        <f t="shared" si="0"/>
        <v>7.0880383336741808</v>
      </c>
    </row>
    <row r="10" spans="2:8" x14ac:dyDescent="0.25">
      <c r="B10" s="296" t="str">
        <f>'LS - Summary'!B28</f>
        <v>KN2</v>
      </c>
      <c r="C10" s="297">
        <f>'LS - Summary'!AA28</f>
        <v>8.2544505389128595</v>
      </c>
      <c r="D10" s="298">
        <f>IFERROR(IF(VLOOKUP($B10,'LS - Summary'!$B$13:$AK$32,38,FALSE)=D$16,VLOOKUP(D$16,'LS - Summary'!$E$37:$AB$40,26,FALSE),0),0)</f>
        <v>0</v>
      </c>
      <c r="E10" s="298">
        <f>IFERROR(IF(VLOOKUP($B10,'LS - Summary'!$B$13:$AK$32,38,FALSE)=E$16,VLOOKUP(E$16,'LS - Summary'!$E$37:$AB$40,26,FALSE),0),0)</f>
        <v>0</v>
      </c>
      <c r="F10" s="298">
        <f>IFERROR(IF(VLOOKUP($B10,'LS - Summary'!$B$13:$AK$32,38,FALSE)=F$16,VLOOKUP(F$16,'LS - Summary'!$E$37:$AB$40,26,FALSE),0),0)</f>
        <v>0</v>
      </c>
      <c r="G10" s="298">
        <f>IFERROR(IF(VLOOKUP($B10,'LS - Summary'!$B$13:$AK$32,38,FALSE)=G$16,VLOOKUP(G$16,'LS - Summary'!$E$37:$AB$40,26,FALSE),0),0)</f>
        <v>0</v>
      </c>
      <c r="H10" s="299">
        <f t="shared" si="0"/>
        <v>8.2544505389128595</v>
      </c>
    </row>
    <row r="11" spans="2:8" x14ac:dyDescent="0.25">
      <c r="B11" s="296" t="str">
        <f>'LS - Summary'!B29</f>
        <v>KN3</v>
      </c>
      <c r="C11" s="297">
        <f>'LS - Summary'!AA29</f>
        <v>10.032808922608661</v>
      </c>
      <c r="D11" s="298">
        <f>IFERROR(IF(VLOOKUP($B11,'LS - Summary'!$B$13:$AK$32,38,FALSE)=D$16,VLOOKUP(D$16,'LS - Summary'!$E$37:$AB$40,26,FALSE),0),0)</f>
        <v>0</v>
      </c>
      <c r="E11" s="298">
        <f>IFERROR(IF(VLOOKUP($B11,'LS - Summary'!$B$13:$AK$32,38,FALSE)=E$16,VLOOKUP(E$16,'LS - Summary'!$E$37:$AB$40,26,FALSE),0),0)</f>
        <v>0</v>
      </c>
      <c r="F11" s="298">
        <f>IFERROR(IF(VLOOKUP($B11,'LS - Summary'!$B$13:$AK$32,38,FALSE)=F$16,VLOOKUP(F$16,'LS - Summary'!$E$37:$AB$40,26,FALSE),0),0)</f>
        <v>0</v>
      </c>
      <c r="G11" s="298">
        <f>IFERROR(IF(VLOOKUP($B11,'LS - Summary'!$B$13:$AK$32,38,FALSE)=G$16,VLOOKUP(G$16,'LS - Summary'!$E$37:$AB$40,26,FALSE),0),0)</f>
        <v>0</v>
      </c>
      <c r="H11" s="299">
        <f t="shared" si="0"/>
        <v>10.032808922608661</v>
      </c>
    </row>
    <row r="12" spans="2:8" x14ac:dyDescent="0.25">
      <c r="B12" s="296" t="str">
        <f>'LS - Summary'!B30</f>
        <v>KN4</v>
      </c>
      <c r="C12" s="297">
        <f>'LS - Summary'!AA30</f>
        <v>14.554909308916953</v>
      </c>
      <c r="D12" s="298">
        <f>IFERROR(IF(VLOOKUP($B12,'LS - Summary'!$B$13:$AK$32,38,FALSE)=D$16,VLOOKUP(D$16,'LS - Summary'!$E$37:$AB$40,26,FALSE),0),0)</f>
        <v>0</v>
      </c>
      <c r="E12" s="298">
        <f>IFERROR(IF(VLOOKUP($B12,'LS - Summary'!$B$13:$AK$32,38,FALSE)=E$16,VLOOKUP(E$16,'LS - Summary'!$E$37:$AB$40,26,FALSE),0),0)</f>
        <v>0</v>
      </c>
      <c r="F12" s="298">
        <f>IFERROR(IF(VLOOKUP($B12,'LS - Summary'!$B$13:$AK$32,38,FALSE)=F$16,VLOOKUP(F$16,'LS - Summary'!$E$37:$AB$40,26,FALSE),0),0)</f>
        <v>0</v>
      </c>
      <c r="G12" s="298">
        <f>IFERROR(IF(VLOOKUP($B12,'LS - Summary'!$B$13:$AK$32,38,FALSE)=G$16,VLOOKUP(G$16,'LS - Summary'!$E$37:$AB$40,26,FALSE),0),0)</f>
        <v>0</v>
      </c>
      <c r="H12" s="299">
        <f t="shared" si="0"/>
        <v>14.554909308916953</v>
      </c>
    </row>
    <row r="13" spans="2:8" x14ac:dyDescent="0.25">
      <c r="B13" s="296" t="str">
        <f>'LS - Summary'!B31</f>
        <v>KN5</v>
      </c>
      <c r="C13" s="297">
        <f>'LS - Summary'!AA31</f>
        <v>21.949140284159725</v>
      </c>
      <c r="D13" s="298">
        <f>IFERROR(IF(VLOOKUP($B13,'LS - Summary'!$B$13:$AK$32,38,FALSE)=D$16,VLOOKUP(D$16,'LS - Summary'!$E$37:$AB$40,26,FALSE),0),0)</f>
        <v>0</v>
      </c>
      <c r="E13" s="298">
        <f>IFERROR(IF(VLOOKUP($B13,'LS - Summary'!$B$13:$AK$32,38,FALSE)=E$16,VLOOKUP(E$16,'LS - Summary'!$E$37:$AB$40,26,FALSE),0),0)</f>
        <v>0</v>
      </c>
      <c r="F13" s="298">
        <f>IFERROR(IF(VLOOKUP($B13,'LS - Summary'!$B$13:$AK$32,38,FALSE)=F$16,VLOOKUP(F$16,'LS - Summary'!$E$37:$AB$40,26,FALSE),0),0)</f>
        <v>0</v>
      </c>
      <c r="G13" s="298">
        <f>IFERROR(IF(VLOOKUP($B13,'LS - Summary'!$B$13:$AK$32,38,FALSE)=G$16,VLOOKUP(G$16,'LS - Summary'!$E$37:$AB$40,26,FALSE),0),0)</f>
        <v>0</v>
      </c>
      <c r="H13" s="299">
        <f t="shared" si="0"/>
        <v>21.949140284159725</v>
      </c>
    </row>
    <row r="14" spans="2:8" x14ac:dyDescent="0.25">
      <c r="B14" s="296" t="str">
        <f>'LS - Summary'!B32</f>
        <v>KC2</v>
      </c>
      <c r="C14" s="297">
        <f>'LS - Summary'!AA32</f>
        <v>4.1285130818618505</v>
      </c>
      <c r="D14" s="298">
        <f>IFERROR(IF(VLOOKUP($B14,'LS - Summary'!$B$13:$AK$32,38,FALSE)=D$16,VLOOKUP(D$16,'LS - Summary'!$E$37:$AB$40,26,FALSE),0),0)</f>
        <v>0</v>
      </c>
      <c r="E14" s="298">
        <f>IFERROR(IF(VLOOKUP($B14,'LS - Summary'!$B$13:$AK$32,38,FALSE)=E$16,VLOOKUP(E$16,'LS - Summary'!$E$37:$AB$40,26,FALSE),0),0)</f>
        <v>0</v>
      </c>
      <c r="F14" s="298">
        <f>IFERROR(IF(VLOOKUP($B14,'LS - Summary'!$B$13:$AK$32,38,FALSE)=F$16,VLOOKUP(F$16,'LS - Summary'!$E$37:$AB$40,26,FALSE),0),0)</f>
        <v>0</v>
      </c>
      <c r="G14" s="298">
        <f>IFERROR(IF(VLOOKUP($B14,'LS - Summary'!$B$13:$AK$32,38,FALSE)=G$16,VLOOKUP(G$16,'LS - Summary'!$E$37:$AB$40,26,FALSE),0),0)</f>
        <v>0</v>
      </c>
      <c r="H14" s="299">
        <f t="shared" si="0"/>
        <v>4.1285130818618505</v>
      </c>
    </row>
    <row r="16" spans="2:8" x14ac:dyDescent="0.25">
      <c r="D16" t="s">
        <v>496</v>
      </c>
      <c r="E16" t="s">
        <v>510</v>
      </c>
      <c r="F16" t="s">
        <v>58</v>
      </c>
      <c r="G16" t="s">
        <v>511</v>
      </c>
    </row>
    <row r="43" spans="32:32" x14ac:dyDescent="0.25">
      <c r="AF43" s="366"/>
    </row>
  </sheetData>
  <mergeCells count="4">
    <mergeCell ref="D2:G2"/>
    <mergeCell ref="H2:H3"/>
    <mergeCell ref="C2:C3"/>
    <mergeCell ref="B2:B3"/>
  </mergeCells>
  <pageMargins left="1" right="1" top="1" bottom="1.75" header="0.5" footer="0.5"/>
  <pageSetup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2:AF99"/>
  <sheetViews>
    <sheetView zoomScale="70" zoomScaleNormal="70" workbookViewId="0"/>
  </sheetViews>
  <sheetFormatPr defaultRowHeight="15.75" x14ac:dyDescent="0.25"/>
  <cols>
    <col min="1" max="1" width="11" style="101" bestFit="1" customWidth="1"/>
    <col min="2" max="2" width="15.85546875" style="101" customWidth="1"/>
    <col min="3" max="3" width="22.5703125" style="101" bestFit="1" customWidth="1"/>
    <col min="4" max="4" width="16.42578125" style="101" customWidth="1"/>
    <col min="5" max="5" width="48.85546875" style="101" customWidth="1"/>
    <col min="6" max="6" width="17.7109375" style="157" customWidth="1"/>
    <col min="7" max="7" width="8.140625" style="101" hidden="1" customWidth="1"/>
    <col min="8" max="8" width="10.7109375" style="101" bestFit="1" customWidth="1"/>
    <col min="9" max="248" width="9.140625" style="101"/>
    <col min="249" max="249" width="12.28515625" style="101" bestFit="1" customWidth="1"/>
    <col min="250" max="250" width="12.42578125" style="101" bestFit="1" customWidth="1"/>
    <col min="251" max="251" width="16.28515625" style="101" bestFit="1" customWidth="1"/>
    <col min="252" max="252" width="21.5703125" style="101" customWidth="1"/>
    <col min="253" max="254" width="15.5703125" style="101" bestFit="1" customWidth="1"/>
    <col min="255" max="255" width="13.140625" style="101" bestFit="1" customWidth="1"/>
    <col min="256" max="504" width="9.140625" style="101"/>
    <col min="505" max="505" width="12.28515625" style="101" bestFit="1" customWidth="1"/>
    <col min="506" max="506" width="12.42578125" style="101" bestFit="1" customWidth="1"/>
    <col min="507" max="507" width="16.28515625" style="101" bestFit="1" customWidth="1"/>
    <col min="508" max="508" width="21.5703125" style="101" customWidth="1"/>
    <col min="509" max="510" width="15.5703125" style="101" bestFit="1" customWidth="1"/>
    <col min="511" max="511" width="13.140625" style="101" bestFit="1" customWidth="1"/>
    <col min="512" max="760" width="9.140625" style="101"/>
    <col min="761" max="761" width="12.28515625" style="101" bestFit="1" customWidth="1"/>
    <col min="762" max="762" width="12.42578125" style="101" bestFit="1" customWidth="1"/>
    <col min="763" max="763" width="16.28515625" style="101" bestFit="1" customWidth="1"/>
    <col min="764" max="764" width="21.5703125" style="101" customWidth="1"/>
    <col min="765" max="766" width="15.5703125" style="101" bestFit="1" customWidth="1"/>
    <col min="767" max="767" width="13.140625" style="101" bestFit="1" customWidth="1"/>
    <col min="768" max="1016" width="9.140625" style="101"/>
    <col min="1017" max="1017" width="12.28515625" style="101" bestFit="1" customWidth="1"/>
    <col min="1018" max="1018" width="12.42578125" style="101" bestFit="1" customWidth="1"/>
    <col min="1019" max="1019" width="16.28515625" style="101" bestFit="1" customWidth="1"/>
    <col min="1020" max="1020" width="21.5703125" style="101" customWidth="1"/>
    <col min="1021" max="1022" width="15.5703125" style="101" bestFit="1" customWidth="1"/>
    <col min="1023" max="1023" width="13.140625" style="101" bestFit="1" customWidth="1"/>
    <col min="1024" max="1272" width="9.140625" style="101"/>
    <col min="1273" max="1273" width="12.28515625" style="101" bestFit="1" customWidth="1"/>
    <col min="1274" max="1274" width="12.42578125" style="101" bestFit="1" customWidth="1"/>
    <col min="1275" max="1275" width="16.28515625" style="101" bestFit="1" customWidth="1"/>
    <col min="1276" max="1276" width="21.5703125" style="101" customWidth="1"/>
    <col min="1277" max="1278" width="15.5703125" style="101" bestFit="1" customWidth="1"/>
    <col min="1279" max="1279" width="13.140625" style="101" bestFit="1" customWidth="1"/>
    <col min="1280" max="1528" width="9.140625" style="101"/>
    <col min="1529" max="1529" width="12.28515625" style="101" bestFit="1" customWidth="1"/>
    <col min="1530" max="1530" width="12.42578125" style="101" bestFit="1" customWidth="1"/>
    <col min="1531" max="1531" width="16.28515625" style="101" bestFit="1" customWidth="1"/>
    <col min="1532" max="1532" width="21.5703125" style="101" customWidth="1"/>
    <col min="1533" max="1534" width="15.5703125" style="101" bestFit="1" customWidth="1"/>
    <col min="1535" max="1535" width="13.140625" style="101" bestFit="1" customWidth="1"/>
    <col min="1536" max="1784" width="9.140625" style="101"/>
    <col min="1785" max="1785" width="12.28515625" style="101" bestFit="1" customWidth="1"/>
    <col min="1786" max="1786" width="12.42578125" style="101" bestFit="1" customWidth="1"/>
    <col min="1787" max="1787" width="16.28515625" style="101" bestFit="1" customWidth="1"/>
    <col min="1788" max="1788" width="21.5703125" style="101" customWidth="1"/>
    <col min="1789" max="1790" width="15.5703125" style="101" bestFit="1" customWidth="1"/>
    <col min="1791" max="1791" width="13.140625" style="101" bestFit="1" customWidth="1"/>
    <col min="1792" max="2040" width="9.140625" style="101"/>
    <col min="2041" max="2041" width="12.28515625" style="101" bestFit="1" customWidth="1"/>
    <col min="2042" max="2042" width="12.42578125" style="101" bestFit="1" customWidth="1"/>
    <col min="2043" max="2043" width="16.28515625" style="101" bestFit="1" customWidth="1"/>
    <col min="2044" max="2044" width="21.5703125" style="101" customWidth="1"/>
    <col min="2045" max="2046" width="15.5703125" style="101" bestFit="1" customWidth="1"/>
    <col min="2047" max="2047" width="13.140625" style="101" bestFit="1" customWidth="1"/>
    <col min="2048" max="2296" width="9.140625" style="101"/>
    <col min="2297" max="2297" width="12.28515625" style="101" bestFit="1" customWidth="1"/>
    <col min="2298" max="2298" width="12.42578125" style="101" bestFit="1" customWidth="1"/>
    <col min="2299" max="2299" width="16.28515625" style="101" bestFit="1" customWidth="1"/>
    <col min="2300" max="2300" width="21.5703125" style="101" customWidth="1"/>
    <col min="2301" max="2302" width="15.5703125" style="101" bestFit="1" customWidth="1"/>
    <col min="2303" max="2303" width="13.140625" style="101" bestFit="1" customWidth="1"/>
    <col min="2304" max="2552" width="9.140625" style="101"/>
    <col min="2553" max="2553" width="12.28515625" style="101" bestFit="1" customWidth="1"/>
    <col min="2554" max="2554" width="12.42578125" style="101" bestFit="1" customWidth="1"/>
    <col min="2555" max="2555" width="16.28515625" style="101" bestFit="1" customWidth="1"/>
    <col min="2556" max="2556" width="21.5703125" style="101" customWidth="1"/>
    <col min="2557" max="2558" width="15.5703125" style="101" bestFit="1" customWidth="1"/>
    <col min="2559" max="2559" width="13.140625" style="101" bestFit="1" customWidth="1"/>
    <col min="2560" max="2808" width="9.140625" style="101"/>
    <col min="2809" max="2809" width="12.28515625" style="101" bestFit="1" customWidth="1"/>
    <col min="2810" max="2810" width="12.42578125" style="101" bestFit="1" customWidth="1"/>
    <col min="2811" max="2811" width="16.28515625" style="101" bestFit="1" customWidth="1"/>
    <col min="2812" max="2812" width="21.5703125" style="101" customWidth="1"/>
    <col min="2813" max="2814" width="15.5703125" style="101" bestFit="1" customWidth="1"/>
    <col min="2815" max="2815" width="13.140625" style="101" bestFit="1" customWidth="1"/>
    <col min="2816" max="3064" width="9.140625" style="101"/>
    <col min="3065" max="3065" width="12.28515625" style="101" bestFit="1" customWidth="1"/>
    <col min="3066" max="3066" width="12.42578125" style="101" bestFit="1" customWidth="1"/>
    <col min="3067" max="3067" width="16.28515625" style="101" bestFit="1" customWidth="1"/>
    <col min="3068" max="3068" width="21.5703125" style="101" customWidth="1"/>
    <col min="3069" max="3070" width="15.5703125" style="101" bestFit="1" customWidth="1"/>
    <col min="3071" max="3071" width="13.140625" style="101" bestFit="1" customWidth="1"/>
    <col min="3072" max="3320" width="9.140625" style="101"/>
    <col min="3321" max="3321" width="12.28515625" style="101" bestFit="1" customWidth="1"/>
    <col min="3322" max="3322" width="12.42578125" style="101" bestFit="1" customWidth="1"/>
    <col min="3323" max="3323" width="16.28515625" style="101" bestFit="1" customWidth="1"/>
    <col min="3324" max="3324" width="21.5703125" style="101" customWidth="1"/>
    <col min="3325" max="3326" width="15.5703125" style="101" bestFit="1" customWidth="1"/>
    <col min="3327" max="3327" width="13.140625" style="101" bestFit="1" customWidth="1"/>
    <col min="3328" max="3576" width="9.140625" style="101"/>
    <col min="3577" max="3577" width="12.28515625" style="101" bestFit="1" customWidth="1"/>
    <col min="3578" max="3578" width="12.42578125" style="101" bestFit="1" customWidth="1"/>
    <col min="3579" max="3579" width="16.28515625" style="101" bestFit="1" customWidth="1"/>
    <col min="3580" max="3580" width="21.5703125" style="101" customWidth="1"/>
    <col min="3581" max="3582" width="15.5703125" style="101" bestFit="1" customWidth="1"/>
    <col min="3583" max="3583" width="13.140625" style="101" bestFit="1" customWidth="1"/>
    <col min="3584" max="3832" width="9.140625" style="101"/>
    <col min="3833" max="3833" width="12.28515625" style="101" bestFit="1" customWidth="1"/>
    <col min="3834" max="3834" width="12.42578125" style="101" bestFit="1" customWidth="1"/>
    <col min="3835" max="3835" width="16.28515625" style="101" bestFit="1" customWidth="1"/>
    <col min="3836" max="3836" width="21.5703125" style="101" customWidth="1"/>
    <col min="3837" max="3838" width="15.5703125" style="101" bestFit="1" customWidth="1"/>
    <col min="3839" max="3839" width="13.140625" style="101" bestFit="1" customWidth="1"/>
    <col min="3840" max="4088" width="9.140625" style="101"/>
    <col min="4089" max="4089" width="12.28515625" style="101" bestFit="1" customWidth="1"/>
    <col min="4090" max="4090" width="12.42578125" style="101" bestFit="1" customWidth="1"/>
    <col min="4091" max="4091" width="16.28515625" style="101" bestFit="1" customWidth="1"/>
    <col min="4092" max="4092" width="21.5703125" style="101" customWidth="1"/>
    <col min="4093" max="4094" width="15.5703125" style="101" bestFit="1" customWidth="1"/>
    <col min="4095" max="4095" width="13.140625" style="101" bestFit="1" customWidth="1"/>
    <col min="4096" max="4344" width="9.140625" style="101"/>
    <col min="4345" max="4345" width="12.28515625" style="101" bestFit="1" customWidth="1"/>
    <col min="4346" max="4346" width="12.42578125" style="101" bestFit="1" customWidth="1"/>
    <col min="4347" max="4347" width="16.28515625" style="101" bestFit="1" customWidth="1"/>
    <col min="4348" max="4348" width="21.5703125" style="101" customWidth="1"/>
    <col min="4349" max="4350" width="15.5703125" style="101" bestFit="1" customWidth="1"/>
    <col min="4351" max="4351" width="13.140625" style="101" bestFit="1" customWidth="1"/>
    <col min="4352" max="4600" width="9.140625" style="101"/>
    <col min="4601" max="4601" width="12.28515625" style="101" bestFit="1" customWidth="1"/>
    <col min="4602" max="4602" width="12.42578125" style="101" bestFit="1" customWidth="1"/>
    <col min="4603" max="4603" width="16.28515625" style="101" bestFit="1" customWidth="1"/>
    <col min="4604" max="4604" width="21.5703125" style="101" customWidth="1"/>
    <col min="4605" max="4606" width="15.5703125" style="101" bestFit="1" customWidth="1"/>
    <col min="4607" max="4607" width="13.140625" style="101" bestFit="1" customWidth="1"/>
    <col min="4608" max="4856" width="9.140625" style="101"/>
    <col min="4857" max="4857" width="12.28515625" style="101" bestFit="1" customWidth="1"/>
    <col min="4858" max="4858" width="12.42578125" style="101" bestFit="1" customWidth="1"/>
    <col min="4859" max="4859" width="16.28515625" style="101" bestFit="1" customWidth="1"/>
    <col min="4860" max="4860" width="21.5703125" style="101" customWidth="1"/>
    <col min="4861" max="4862" width="15.5703125" style="101" bestFit="1" customWidth="1"/>
    <col min="4863" max="4863" width="13.140625" style="101" bestFit="1" customWidth="1"/>
    <col min="4864" max="5112" width="9.140625" style="101"/>
    <col min="5113" max="5113" width="12.28515625" style="101" bestFit="1" customWidth="1"/>
    <col min="5114" max="5114" width="12.42578125" style="101" bestFit="1" customWidth="1"/>
    <col min="5115" max="5115" width="16.28515625" style="101" bestFit="1" customWidth="1"/>
    <col min="5116" max="5116" width="21.5703125" style="101" customWidth="1"/>
    <col min="5117" max="5118" width="15.5703125" style="101" bestFit="1" customWidth="1"/>
    <col min="5119" max="5119" width="13.140625" style="101" bestFit="1" customWidth="1"/>
    <col min="5120" max="5368" width="9.140625" style="101"/>
    <col min="5369" max="5369" width="12.28515625" style="101" bestFit="1" customWidth="1"/>
    <col min="5370" max="5370" width="12.42578125" style="101" bestFit="1" customWidth="1"/>
    <col min="5371" max="5371" width="16.28515625" style="101" bestFit="1" customWidth="1"/>
    <col min="5372" max="5372" width="21.5703125" style="101" customWidth="1"/>
    <col min="5373" max="5374" width="15.5703125" style="101" bestFit="1" customWidth="1"/>
    <col min="5375" max="5375" width="13.140625" style="101" bestFit="1" customWidth="1"/>
    <col min="5376" max="5624" width="9.140625" style="101"/>
    <col min="5625" max="5625" width="12.28515625" style="101" bestFit="1" customWidth="1"/>
    <col min="5626" max="5626" width="12.42578125" style="101" bestFit="1" customWidth="1"/>
    <col min="5627" max="5627" width="16.28515625" style="101" bestFit="1" customWidth="1"/>
    <col min="5628" max="5628" width="21.5703125" style="101" customWidth="1"/>
    <col min="5629" max="5630" width="15.5703125" style="101" bestFit="1" customWidth="1"/>
    <col min="5631" max="5631" width="13.140625" style="101" bestFit="1" customWidth="1"/>
    <col min="5632" max="5880" width="9.140625" style="101"/>
    <col min="5881" max="5881" width="12.28515625" style="101" bestFit="1" customWidth="1"/>
    <col min="5882" max="5882" width="12.42578125" style="101" bestFit="1" customWidth="1"/>
    <col min="5883" max="5883" width="16.28515625" style="101" bestFit="1" customWidth="1"/>
    <col min="5884" max="5884" width="21.5703125" style="101" customWidth="1"/>
    <col min="5885" max="5886" width="15.5703125" style="101" bestFit="1" customWidth="1"/>
    <col min="5887" max="5887" width="13.140625" style="101" bestFit="1" customWidth="1"/>
    <col min="5888" max="6136" width="9.140625" style="101"/>
    <col min="6137" max="6137" width="12.28515625" style="101" bestFit="1" customWidth="1"/>
    <col min="6138" max="6138" width="12.42578125" style="101" bestFit="1" customWidth="1"/>
    <col min="6139" max="6139" width="16.28515625" style="101" bestFit="1" customWidth="1"/>
    <col min="6140" max="6140" width="21.5703125" style="101" customWidth="1"/>
    <col min="6141" max="6142" width="15.5703125" style="101" bestFit="1" customWidth="1"/>
    <col min="6143" max="6143" width="13.140625" style="101" bestFit="1" customWidth="1"/>
    <col min="6144" max="6392" width="9.140625" style="101"/>
    <col min="6393" max="6393" width="12.28515625" style="101" bestFit="1" customWidth="1"/>
    <col min="6394" max="6394" width="12.42578125" style="101" bestFit="1" customWidth="1"/>
    <col min="6395" max="6395" width="16.28515625" style="101" bestFit="1" customWidth="1"/>
    <col min="6396" max="6396" width="21.5703125" style="101" customWidth="1"/>
    <col min="6397" max="6398" width="15.5703125" style="101" bestFit="1" customWidth="1"/>
    <col min="6399" max="6399" width="13.140625" style="101" bestFit="1" customWidth="1"/>
    <col min="6400" max="6648" width="9.140625" style="101"/>
    <col min="6649" max="6649" width="12.28515625" style="101" bestFit="1" customWidth="1"/>
    <col min="6650" max="6650" width="12.42578125" style="101" bestFit="1" customWidth="1"/>
    <col min="6651" max="6651" width="16.28515625" style="101" bestFit="1" customWidth="1"/>
    <col min="6652" max="6652" width="21.5703125" style="101" customWidth="1"/>
    <col min="6653" max="6654" width="15.5703125" style="101" bestFit="1" customWidth="1"/>
    <col min="6655" max="6655" width="13.140625" style="101" bestFit="1" customWidth="1"/>
    <col min="6656" max="6904" width="9.140625" style="101"/>
    <col min="6905" max="6905" width="12.28515625" style="101" bestFit="1" customWidth="1"/>
    <col min="6906" max="6906" width="12.42578125" style="101" bestFit="1" customWidth="1"/>
    <col min="6907" max="6907" width="16.28515625" style="101" bestFit="1" customWidth="1"/>
    <col min="6908" max="6908" width="21.5703125" style="101" customWidth="1"/>
    <col min="6909" max="6910" width="15.5703125" style="101" bestFit="1" customWidth="1"/>
    <col min="6911" max="6911" width="13.140625" style="101" bestFit="1" customWidth="1"/>
    <col min="6912" max="7160" width="9.140625" style="101"/>
    <col min="7161" max="7161" width="12.28515625" style="101" bestFit="1" customWidth="1"/>
    <col min="7162" max="7162" width="12.42578125" style="101" bestFit="1" customWidth="1"/>
    <col min="7163" max="7163" width="16.28515625" style="101" bestFit="1" customWidth="1"/>
    <col min="7164" max="7164" width="21.5703125" style="101" customWidth="1"/>
    <col min="7165" max="7166" width="15.5703125" style="101" bestFit="1" customWidth="1"/>
    <col min="7167" max="7167" width="13.140625" style="101" bestFit="1" customWidth="1"/>
    <col min="7168" max="7416" width="9.140625" style="101"/>
    <col min="7417" max="7417" width="12.28515625" style="101" bestFit="1" customWidth="1"/>
    <col min="7418" max="7418" width="12.42578125" style="101" bestFit="1" customWidth="1"/>
    <col min="7419" max="7419" width="16.28515625" style="101" bestFit="1" customWidth="1"/>
    <col min="7420" max="7420" width="21.5703125" style="101" customWidth="1"/>
    <col min="7421" max="7422" width="15.5703125" style="101" bestFit="1" customWidth="1"/>
    <col min="7423" max="7423" width="13.140625" style="101" bestFit="1" customWidth="1"/>
    <col min="7424" max="7672" width="9.140625" style="101"/>
    <col min="7673" max="7673" width="12.28515625" style="101" bestFit="1" customWidth="1"/>
    <col min="7674" max="7674" width="12.42578125" style="101" bestFit="1" customWidth="1"/>
    <col min="7675" max="7675" width="16.28515625" style="101" bestFit="1" customWidth="1"/>
    <col min="7676" max="7676" width="21.5703125" style="101" customWidth="1"/>
    <col min="7677" max="7678" width="15.5703125" style="101" bestFit="1" customWidth="1"/>
    <col min="7679" max="7679" width="13.140625" style="101" bestFit="1" customWidth="1"/>
    <col min="7680" max="7928" width="9.140625" style="101"/>
    <col min="7929" max="7929" width="12.28515625" style="101" bestFit="1" customWidth="1"/>
    <col min="7930" max="7930" width="12.42578125" style="101" bestFit="1" customWidth="1"/>
    <col min="7931" max="7931" width="16.28515625" style="101" bestFit="1" customWidth="1"/>
    <col min="7932" max="7932" width="21.5703125" style="101" customWidth="1"/>
    <col min="7933" max="7934" width="15.5703125" style="101" bestFit="1" customWidth="1"/>
    <col min="7935" max="7935" width="13.140625" style="101" bestFit="1" customWidth="1"/>
    <col min="7936" max="8184" width="9.140625" style="101"/>
    <col min="8185" max="8185" width="12.28515625" style="101" bestFit="1" customWidth="1"/>
    <col min="8186" max="8186" width="12.42578125" style="101" bestFit="1" customWidth="1"/>
    <col min="8187" max="8187" width="16.28515625" style="101" bestFit="1" customWidth="1"/>
    <col min="8188" max="8188" width="21.5703125" style="101" customWidth="1"/>
    <col min="8189" max="8190" width="15.5703125" style="101" bestFit="1" customWidth="1"/>
    <col min="8191" max="8191" width="13.140625" style="101" bestFit="1" customWidth="1"/>
    <col min="8192" max="8440" width="9.140625" style="101"/>
    <col min="8441" max="8441" width="12.28515625" style="101" bestFit="1" customWidth="1"/>
    <col min="8442" max="8442" width="12.42578125" style="101" bestFit="1" customWidth="1"/>
    <col min="8443" max="8443" width="16.28515625" style="101" bestFit="1" customWidth="1"/>
    <col min="8444" max="8444" width="21.5703125" style="101" customWidth="1"/>
    <col min="8445" max="8446" width="15.5703125" style="101" bestFit="1" customWidth="1"/>
    <col min="8447" max="8447" width="13.140625" style="101" bestFit="1" customWidth="1"/>
    <col min="8448" max="8696" width="9.140625" style="101"/>
    <col min="8697" max="8697" width="12.28515625" style="101" bestFit="1" customWidth="1"/>
    <col min="8698" max="8698" width="12.42578125" style="101" bestFit="1" customWidth="1"/>
    <col min="8699" max="8699" width="16.28515625" style="101" bestFit="1" customWidth="1"/>
    <col min="8700" max="8700" width="21.5703125" style="101" customWidth="1"/>
    <col min="8701" max="8702" width="15.5703125" style="101" bestFit="1" customWidth="1"/>
    <col min="8703" max="8703" width="13.140625" style="101" bestFit="1" customWidth="1"/>
    <col min="8704" max="8952" width="9.140625" style="101"/>
    <col min="8953" max="8953" width="12.28515625" style="101" bestFit="1" customWidth="1"/>
    <col min="8954" max="8954" width="12.42578125" style="101" bestFit="1" customWidth="1"/>
    <col min="8955" max="8955" width="16.28515625" style="101" bestFit="1" customWidth="1"/>
    <col min="8956" max="8956" width="21.5703125" style="101" customWidth="1"/>
    <col min="8957" max="8958" width="15.5703125" style="101" bestFit="1" customWidth="1"/>
    <col min="8959" max="8959" width="13.140625" style="101" bestFit="1" customWidth="1"/>
    <col min="8960" max="9208" width="9.140625" style="101"/>
    <col min="9209" max="9209" width="12.28515625" style="101" bestFit="1" customWidth="1"/>
    <col min="9210" max="9210" width="12.42578125" style="101" bestFit="1" customWidth="1"/>
    <col min="9211" max="9211" width="16.28515625" style="101" bestFit="1" customWidth="1"/>
    <col min="9212" max="9212" width="21.5703125" style="101" customWidth="1"/>
    <col min="9213" max="9214" width="15.5703125" style="101" bestFit="1" customWidth="1"/>
    <col min="9215" max="9215" width="13.140625" style="101" bestFit="1" customWidth="1"/>
    <col min="9216" max="9464" width="9.140625" style="101"/>
    <col min="9465" max="9465" width="12.28515625" style="101" bestFit="1" customWidth="1"/>
    <col min="9466" max="9466" width="12.42578125" style="101" bestFit="1" customWidth="1"/>
    <col min="9467" max="9467" width="16.28515625" style="101" bestFit="1" customWidth="1"/>
    <col min="9468" max="9468" width="21.5703125" style="101" customWidth="1"/>
    <col min="9469" max="9470" width="15.5703125" style="101" bestFit="1" customWidth="1"/>
    <col min="9471" max="9471" width="13.140625" style="101" bestFit="1" customWidth="1"/>
    <col min="9472" max="9720" width="9.140625" style="101"/>
    <col min="9721" max="9721" width="12.28515625" style="101" bestFit="1" customWidth="1"/>
    <col min="9722" max="9722" width="12.42578125" style="101" bestFit="1" customWidth="1"/>
    <col min="9723" max="9723" width="16.28515625" style="101" bestFit="1" customWidth="1"/>
    <col min="9724" max="9724" width="21.5703125" style="101" customWidth="1"/>
    <col min="9725" max="9726" width="15.5703125" style="101" bestFit="1" customWidth="1"/>
    <col min="9727" max="9727" width="13.140625" style="101" bestFit="1" customWidth="1"/>
    <col min="9728" max="9976" width="9.140625" style="101"/>
    <col min="9977" max="9977" width="12.28515625" style="101" bestFit="1" customWidth="1"/>
    <col min="9978" max="9978" width="12.42578125" style="101" bestFit="1" customWidth="1"/>
    <col min="9979" max="9979" width="16.28515625" style="101" bestFit="1" customWidth="1"/>
    <col min="9980" max="9980" width="21.5703125" style="101" customWidth="1"/>
    <col min="9981" max="9982" width="15.5703125" style="101" bestFit="1" customWidth="1"/>
    <col min="9983" max="9983" width="13.140625" style="101" bestFit="1" customWidth="1"/>
    <col min="9984" max="10232" width="9.140625" style="101"/>
    <col min="10233" max="10233" width="12.28515625" style="101" bestFit="1" customWidth="1"/>
    <col min="10234" max="10234" width="12.42578125" style="101" bestFit="1" customWidth="1"/>
    <col min="10235" max="10235" width="16.28515625" style="101" bestFit="1" customWidth="1"/>
    <col min="10236" max="10236" width="21.5703125" style="101" customWidth="1"/>
    <col min="10237" max="10238" width="15.5703125" style="101" bestFit="1" customWidth="1"/>
    <col min="10239" max="10239" width="13.140625" style="101" bestFit="1" customWidth="1"/>
    <col min="10240" max="10488" width="9.140625" style="101"/>
    <col min="10489" max="10489" width="12.28515625" style="101" bestFit="1" customWidth="1"/>
    <col min="10490" max="10490" width="12.42578125" style="101" bestFit="1" customWidth="1"/>
    <col min="10491" max="10491" width="16.28515625" style="101" bestFit="1" customWidth="1"/>
    <col min="10492" max="10492" width="21.5703125" style="101" customWidth="1"/>
    <col min="10493" max="10494" width="15.5703125" style="101" bestFit="1" customWidth="1"/>
    <col min="10495" max="10495" width="13.140625" style="101" bestFit="1" customWidth="1"/>
    <col min="10496" max="10744" width="9.140625" style="101"/>
    <col min="10745" max="10745" width="12.28515625" style="101" bestFit="1" customWidth="1"/>
    <col min="10746" max="10746" width="12.42578125" style="101" bestFit="1" customWidth="1"/>
    <col min="10747" max="10747" width="16.28515625" style="101" bestFit="1" customWidth="1"/>
    <col min="10748" max="10748" width="21.5703125" style="101" customWidth="1"/>
    <col min="10749" max="10750" width="15.5703125" style="101" bestFit="1" customWidth="1"/>
    <col min="10751" max="10751" width="13.140625" style="101" bestFit="1" customWidth="1"/>
    <col min="10752" max="11000" width="9.140625" style="101"/>
    <col min="11001" max="11001" width="12.28515625" style="101" bestFit="1" customWidth="1"/>
    <col min="11002" max="11002" width="12.42578125" style="101" bestFit="1" customWidth="1"/>
    <col min="11003" max="11003" width="16.28515625" style="101" bestFit="1" customWidth="1"/>
    <col min="11004" max="11004" width="21.5703125" style="101" customWidth="1"/>
    <col min="11005" max="11006" width="15.5703125" style="101" bestFit="1" customWidth="1"/>
    <col min="11007" max="11007" width="13.140625" style="101" bestFit="1" customWidth="1"/>
    <col min="11008" max="11256" width="9.140625" style="101"/>
    <col min="11257" max="11257" width="12.28515625" style="101" bestFit="1" customWidth="1"/>
    <col min="11258" max="11258" width="12.42578125" style="101" bestFit="1" customWidth="1"/>
    <col min="11259" max="11259" width="16.28515625" style="101" bestFit="1" customWidth="1"/>
    <col min="11260" max="11260" width="21.5703125" style="101" customWidth="1"/>
    <col min="11261" max="11262" width="15.5703125" style="101" bestFit="1" customWidth="1"/>
    <col min="11263" max="11263" width="13.140625" style="101" bestFit="1" customWidth="1"/>
    <col min="11264" max="11512" width="9.140625" style="101"/>
    <col min="11513" max="11513" width="12.28515625" style="101" bestFit="1" customWidth="1"/>
    <col min="11514" max="11514" width="12.42578125" style="101" bestFit="1" customWidth="1"/>
    <col min="11515" max="11515" width="16.28515625" style="101" bestFit="1" customWidth="1"/>
    <col min="11516" max="11516" width="21.5703125" style="101" customWidth="1"/>
    <col min="11517" max="11518" width="15.5703125" style="101" bestFit="1" customWidth="1"/>
    <col min="11519" max="11519" width="13.140625" style="101" bestFit="1" customWidth="1"/>
    <col min="11520" max="11768" width="9.140625" style="101"/>
    <col min="11769" max="11769" width="12.28515625" style="101" bestFit="1" customWidth="1"/>
    <col min="11770" max="11770" width="12.42578125" style="101" bestFit="1" customWidth="1"/>
    <col min="11771" max="11771" width="16.28515625" style="101" bestFit="1" customWidth="1"/>
    <col min="11772" max="11772" width="21.5703125" style="101" customWidth="1"/>
    <col min="11773" max="11774" width="15.5703125" style="101" bestFit="1" customWidth="1"/>
    <col min="11775" max="11775" width="13.140625" style="101" bestFit="1" customWidth="1"/>
    <col min="11776" max="12024" width="9.140625" style="101"/>
    <col min="12025" max="12025" width="12.28515625" style="101" bestFit="1" customWidth="1"/>
    <col min="12026" max="12026" width="12.42578125" style="101" bestFit="1" customWidth="1"/>
    <col min="12027" max="12027" width="16.28515625" style="101" bestFit="1" customWidth="1"/>
    <col min="12028" max="12028" width="21.5703125" style="101" customWidth="1"/>
    <col min="12029" max="12030" width="15.5703125" style="101" bestFit="1" customWidth="1"/>
    <col min="12031" max="12031" width="13.140625" style="101" bestFit="1" customWidth="1"/>
    <col min="12032" max="12280" width="9.140625" style="101"/>
    <col min="12281" max="12281" width="12.28515625" style="101" bestFit="1" customWidth="1"/>
    <col min="12282" max="12282" width="12.42578125" style="101" bestFit="1" customWidth="1"/>
    <col min="12283" max="12283" width="16.28515625" style="101" bestFit="1" customWidth="1"/>
    <col min="12284" max="12284" width="21.5703125" style="101" customWidth="1"/>
    <col min="12285" max="12286" width="15.5703125" style="101" bestFit="1" customWidth="1"/>
    <col min="12287" max="12287" width="13.140625" style="101" bestFit="1" customWidth="1"/>
    <col min="12288" max="12536" width="9.140625" style="101"/>
    <col min="12537" max="12537" width="12.28515625" style="101" bestFit="1" customWidth="1"/>
    <col min="12538" max="12538" width="12.42578125" style="101" bestFit="1" customWidth="1"/>
    <col min="12539" max="12539" width="16.28515625" style="101" bestFit="1" customWidth="1"/>
    <col min="12540" max="12540" width="21.5703125" style="101" customWidth="1"/>
    <col min="12541" max="12542" width="15.5703125" style="101" bestFit="1" customWidth="1"/>
    <col min="12543" max="12543" width="13.140625" style="101" bestFit="1" customWidth="1"/>
    <col min="12544" max="12792" width="9.140625" style="101"/>
    <col min="12793" max="12793" width="12.28515625" style="101" bestFit="1" customWidth="1"/>
    <col min="12794" max="12794" width="12.42578125" style="101" bestFit="1" customWidth="1"/>
    <col min="12795" max="12795" width="16.28515625" style="101" bestFit="1" customWidth="1"/>
    <col min="12796" max="12796" width="21.5703125" style="101" customWidth="1"/>
    <col min="12797" max="12798" width="15.5703125" style="101" bestFit="1" customWidth="1"/>
    <col min="12799" max="12799" width="13.140625" style="101" bestFit="1" customWidth="1"/>
    <col min="12800" max="13048" width="9.140625" style="101"/>
    <col min="13049" max="13049" width="12.28515625" style="101" bestFit="1" customWidth="1"/>
    <col min="13050" max="13050" width="12.42578125" style="101" bestFit="1" customWidth="1"/>
    <col min="13051" max="13051" width="16.28515625" style="101" bestFit="1" customWidth="1"/>
    <col min="13052" max="13052" width="21.5703125" style="101" customWidth="1"/>
    <col min="13053" max="13054" width="15.5703125" style="101" bestFit="1" customWidth="1"/>
    <col min="13055" max="13055" width="13.140625" style="101" bestFit="1" customWidth="1"/>
    <col min="13056" max="13304" width="9.140625" style="101"/>
    <col min="13305" max="13305" width="12.28515625" style="101" bestFit="1" customWidth="1"/>
    <col min="13306" max="13306" width="12.42578125" style="101" bestFit="1" customWidth="1"/>
    <col min="13307" max="13307" width="16.28515625" style="101" bestFit="1" customWidth="1"/>
    <col min="13308" max="13308" width="21.5703125" style="101" customWidth="1"/>
    <col min="13309" max="13310" width="15.5703125" style="101" bestFit="1" customWidth="1"/>
    <col min="13311" max="13311" width="13.140625" style="101" bestFit="1" customWidth="1"/>
    <col min="13312" max="13560" width="9.140625" style="101"/>
    <col min="13561" max="13561" width="12.28515625" style="101" bestFit="1" customWidth="1"/>
    <col min="13562" max="13562" width="12.42578125" style="101" bestFit="1" customWidth="1"/>
    <col min="13563" max="13563" width="16.28515625" style="101" bestFit="1" customWidth="1"/>
    <col min="13564" max="13564" width="21.5703125" style="101" customWidth="1"/>
    <col min="13565" max="13566" width="15.5703125" style="101" bestFit="1" customWidth="1"/>
    <col min="13567" max="13567" width="13.140625" style="101" bestFit="1" customWidth="1"/>
    <col min="13568" max="13816" width="9.140625" style="101"/>
    <col min="13817" max="13817" width="12.28515625" style="101" bestFit="1" customWidth="1"/>
    <col min="13818" max="13818" width="12.42578125" style="101" bestFit="1" customWidth="1"/>
    <col min="13819" max="13819" width="16.28515625" style="101" bestFit="1" customWidth="1"/>
    <col min="13820" max="13820" width="21.5703125" style="101" customWidth="1"/>
    <col min="13821" max="13822" width="15.5703125" style="101" bestFit="1" customWidth="1"/>
    <col min="13823" max="13823" width="13.140625" style="101" bestFit="1" customWidth="1"/>
    <col min="13824" max="14072" width="9.140625" style="101"/>
    <col min="14073" max="14073" width="12.28515625" style="101" bestFit="1" customWidth="1"/>
    <col min="14074" max="14074" width="12.42578125" style="101" bestFit="1" customWidth="1"/>
    <col min="14075" max="14075" width="16.28515625" style="101" bestFit="1" customWidth="1"/>
    <col min="14076" max="14076" width="21.5703125" style="101" customWidth="1"/>
    <col min="14077" max="14078" width="15.5703125" style="101" bestFit="1" customWidth="1"/>
    <col min="14079" max="14079" width="13.140625" style="101" bestFit="1" customWidth="1"/>
    <col min="14080" max="14328" width="9.140625" style="101"/>
    <col min="14329" max="14329" width="12.28515625" style="101" bestFit="1" customWidth="1"/>
    <col min="14330" max="14330" width="12.42578125" style="101" bestFit="1" customWidth="1"/>
    <col min="14331" max="14331" width="16.28515625" style="101" bestFit="1" customWidth="1"/>
    <col min="14332" max="14332" width="21.5703125" style="101" customWidth="1"/>
    <col min="14333" max="14334" width="15.5703125" style="101" bestFit="1" customWidth="1"/>
    <col min="14335" max="14335" width="13.140625" style="101" bestFit="1" customWidth="1"/>
    <col min="14336" max="14584" width="9.140625" style="101"/>
    <col min="14585" max="14585" width="12.28515625" style="101" bestFit="1" customWidth="1"/>
    <col min="14586" max="14586" width="12.42578125" style="101" bestFit="1" customWidth="1"/>
    <col min="14587" max="14587" width="16.28515625" style="101" bestFit="1" customWidth="1"/>
    <col min="14588" max="14588" width="21.5703125" style="101" customWidth="1"/>
    <col min="14589" max="14590" width="15.5703125" style="101" bestFit="1" customWidth="1"/>
    <col min="14591" max="14591" width="13.140625" style="101" bestFit="1" customWidth="1"/>
    <col min="14592" max="14840" width="9.140625" style="101"/>
    <col min="14841" max="14841" width="12.28515625" style="101" bestFit="1" customWidth="1"/>
    <col min="14842" max="14842" width="12.42578125" style="101" bestFit="1" customWidth="1"/>
    <col min="14843" max="14843" width="16.28515625" style="101" bestFit="1" customWidth="1"/>
    <col min="14844" max="14844" width="21.5703125" style="101" customWidth="1"/>
    <col min="14845" max="14846" width="15.5703125" style="101" bestFit="1" customWidth="1"/>
    <col min="14847" max="14847" width="13.140625" style="101" bestFit="1" customWidth="1"/>
    <col min="14848" max="15096" width="9.140625" style="101"/>
    <col min="15097" max="15097" width="12.28515625" style="101" bestFit="1" customWidth="1"/>
    <col min="15098" max="15098" width="12.42578125" style="101" bestFit="1" customWidth="1"/>
    <col min="15099" max="15099" width="16.28515625" style="101" bestFit="1" customWidth="1"/>
    <col min="15100" max="15100" width="21.5703125" style="101" customWidth="1"/>
    <col min="15101" max="15102" width="15.5703125" style="101" bestFit="1" customWidth="1"/>
    <col min="15103" max="15103" width="13.140625" style="101" bestFit="1" customWidth="1"/>
    <col min="15104" max="15352" width="9.140625" style="101"/>
    <col min="15353" max="15353" width="12.28515625" style="101" bestFit="1" customWidth="1"/>
    <col min="15354" max="15354" width="12.42578125" style="101" bestFit="1" customWidth="1"/>
    <col min="15355" max="15355" width="16.28515625" style="101" bestFit="1" customWidth="1"/>
    <col min="15356" max="15356" width="21.5703125" style="101" customWidth="1"/>
    <col min="15357" max="15358" width="15.5703125" style="101" bestFit="1" customWidth="1"/>
    <col min="15359" max="15359" width="13.140625" style="101" bestFit="1" customWidth="1"/>
    <col min="15360" max="15608" width="9.140625" style="101"/>
    <col min="15609" max="15609" width="12.28515625" style="101" bestFit="1" customWidth="1"/>
    <col min="15610" max="15610" width="12.42578125" style="101" bestFit="1" customWidth="1"/>
    <col min="15611" max="15611" width="16.28515625" style="101" bestFit="1" customWidth="1"/>
    <col min="15612" max="15612" width="21.5703125" style="101" customWidth="1"/>
    <col min="15613" max="15614" width="15.5703125" style="101" bestFit="1" customWidth="1"/>
    <col min="15615" max="15615" width="13.140625" style="101" bestFit="1" customWidth="1"/>
    <col min="15616" max="15864" width="9.140625" style="101"/>
    <col min="15865" max="15865" width="12.28515625" style="101" bestFit="1" customWidth="1"/>
    <col min="15866" max="15866" width="12.42578125" style="101" bestFit="1" customWidth="1"/>
    <col min="15867" max="15867" width="16.28515625" style="101" bestFit="1" customWidth="1"/>
    <col min="15868" max="15868" width="21.5703125" style="101" customWidth="1"/>
    <col min="15869" max="15870" width="15.5703125" style="101" bestFit="1" customWidth="1"/>
    <col min="15871" max="15871" width="13.140625" style="101" bestFit="1" customWidth="1"/>
    <col min="15872" max="16120" width="9.140625" style="101"/>
    <col min="16121" max="16121" width="12.28515625" style="101" bestFit="1" customWidth="1"/>
    <col min="16122" max="16122" width="12.42578125" style="101" bestFit="1" customWidth="1"/>
    <col min="16123" max="16123" width="16.28515625" style="101" bestFit="1" customWidth="1"/>
    <col min="16124" max="16124" width="21.5703125" style="101" customWidth="1"/>
    <col min="16125" max="16126" width="15.5703125" style="101" bestFit="1" customWidth="1"/>
    <col min="16127" max="16127" width="13.140625" style="101" bestFit="1" customWidth="1"/>
    <col min="16128" max="16384" width="9.140625" style="101"/>
  </cols>
  <sheetData>
    <row r="2" spans="1:7" x14ac:dyDescent="0.25">
      <c r="B2" s="154" t="s">
        <v>483</v>
      </c>
    </row>
    <row r="3" spans="1:7" ht="31.5" x14ac:dyDescent="0.25">
      <c r="A3" s="101" t="s">
        <v>185</v>
      </c>
      <c r="B3" s="101" t="s">
        <v>478</v>
      </c>
      <c r="C3" s="101" t="s">
        <v>479</v>
      </c>
      <c r="D3" s="101" t="s">
        <v>480</v>
      </c>
      <c r="E3" s="101" t="s">
        <v>481</v>
      </c>
      <c r="F3" s="158" t="s">
        <v>482</v>
      </c>
    </row>
    <row r="4" spans="1:7" x14ac:dyDescent="0.25">
      <c r="A4" s="156">
        <f t="shared" ref="A4:A35" si="0">IF(RIGHT(D4,2)="CU","N/A",_xlfn.NUMBERVALUE(RIGHT(D4,3)))</f>
        <v>390</v>
      </c>
      <c r="B4" s="155" t="s">
        <v>348</v>
      </c>
      <c r="C4" s="155" t="s">
        <v>189</v>
      </c>
      <c r="D4" s="155" t="s">
        <v>470</v>
      </c>
      <c r="E4" s="155" t="s">
        <v>471</v>
      </c>
      <c r="F4" s="156">
        <v>1</v>
      </c>
      <c r="G4" s="159">
        <v>3</v>
      </c>
    </row>
    <row r="5" spans="1:7" x14ac:dyDescent="0.25">
      <c r="A5" s="156">
        <f t="shared" si="0"/>
        <v>391</v>
      </c>
      <c r="B5" s="155" t="s">
        <v>348</v>
      </c>
      <c r="C5" s="155" t="s">
        <v>189</v>
      </c>
      <c r="D5" s="155" t="s">
        <v>472</v>
      </c>
      <c r="E5" s="155" t="s">
        <v>473</v>
      </c>
      <c r="F5" s="156">
        <v>8</v>
      </c>
      <c r="G5" s="159">
        <v>18</v>
      </c>
    </row>
    <row r="6" spans="1:7" x14ac:dyDescent="0.25">
      <c r="A6" s="156">
        <f t="shared" si="0"/>
        <v>392</v>
      </c>
      <c r="B6" s="155" t="s">
        <v>348</v>
      </c>
      <c r="C6" s="155" t="s">
        <v>189</v>
      </c>
      <c r="D6" s="155" t="s">
        <v>474</v>
      </c>
      <c r="E6" s="155" t="s">
        <v>475</v>
      </c>
      <c r="F6" s="156">
        <v>12</v>
      </c>
      <c r="G6" s="159">
        <v>19</v>
      </c>
    </row>
    <row r="7" spans="1:7" x14ac:dyDescent="0.25">
      <c r="A7" s="156">
        <f t="shared" si="0"/>
        <v>393</v>
      </c>
      <c r="B7" s="155" t="s">
        <v>348</v>
      </c>
      <c r="C7" s="155" t="s">
        <v>189</v>
      </c>
      <c r="D7" s="155" t="s">
        <v>476</v>
      </c>
      <c r="E7" s="155" t="s">
        <v>477</v>
      </c>
      <c r="F7" s="156">
        <v>32</v>
      </c>
      <c r="G7" s="159">
        <v>107</v>
      </c>
    </row>
    <row r="8" spans="1:7" x14ac:dyDescent="0.25">
      <c r="A8" s="156">
        <f t="shared" si="0"/>
        <v>401</v>
      </c>
      <c r="B8" s="155" t="s">
        <v>348</v>
      </c>
      <c r="C8" s="155" t="s">
        <v>189</v>
      </c>
      <c r="D8" s="155" t="s">
        <v>261</v>
      </c>
      <c r="E8" s="155" t="s">
        <v>351</v>
      </c>
      <c r="F8" s="156">
        <v>65</v>
      </c>
      <c r="G8" s="159">
        <v>65</v>
      </c>
    </row>
    <row r="9" spans="1:7" x14ac:dyDescent="0.25">
      <c r="A9" s="156">
        <f t="shared" si="0"/>
        <v>404</v>
      </c>
      <c r="B9" s="155" t="s">
        <v>348</v>
      </c>
      <c r="C9" s="155" t="s">
        <v>189</v>
      </c>
      <c r="D9" s="155" t="s">
        <v>262</v>
      </c>
      <c r="E9" s="155" t="s">
        <v>352</v>
      </c>
      <c r="F9" s="156">
        <v>5583</v>
      </c>
      <c r="G9" s="159">
        <v>5450</v>
      </c>
    </row>
    <row r="10" spans="1:7" x14ac:dyDescent="0.25">
      <c r="A10" s="156">
        <f t="shared" si="0"/>
        <v>409</v>
      </c>
      <c r="B10" s="155" t="s">
        <v>348</v>
      </c>
      <c r="C10" s="155" t="s">
        <v>189</v>
      </c>
      <c r="D10" s="155" t="s">
        <v>263</v>
      </c>
      <c r="E10" s="155" t="s">
        <v>361</v>
      </c>
      <c r="F10" s="156">
        <v>131</v>
      </c>
      <c r="G10" s="159">
        <v>131</v>
      </c>
    </row>
    <row r="11" spans="1:7" x14ac:dyDescent="0.25">
      <c r="A11" s="156">
        <f t="shared" si="0"/>
        <v>410</v>
      </c>
      <c r="B11" s="155" t="s">
        <v>348</v>
      </c>
      <c r="C11" s="155" t="s">
        <v>189</v>
      </c>
      <c r="D11" s="155" t="s">
        <v>264</v>
      </c>
      <c r="E11" s="155" t="s">
        <v>364</v>
      </c>
      <c r="F11" s="156">
        <v>240</v>
      </c>
      <c r="G11" s="159">
        <v>221</v>
      </c>
    </row>
    <row r="12" spans="1:7" x14ac:dyDescent="0.25">
      <c r="A12" s="156">
        <f t="shared" si="0"/>
        <v>411</v>
      </c>
      <c r="B12" s="155" t="s">
        <v>348</v>
      </c>
      <c r="C12" s="155" t="s">
        <v>189</v>
      </c>
      <c r="D12" s="155" t="s">
        <v>265</v>
      </c>
      <c r="E12" s="155" t="s">
        <v>365</v>
      </c>
      <c r="F12" s="156">
        <v>132</v>
      </c>
      <c r="G12" s="159">
        <v>132</v>
      </c>
    </row>
    <row r="13" spans="1:7" x14ac:dyDescent="0.25">
      <c r="A13" s="156">
        <f t="shared" si="0"/>
        <v>412</v>
      </c>
      <c r="B13" s="155" t="s">
        <v>348</v>
      </c>
      <c r="C13" s="155" t="s">
        <v>189</v>
      </c>
      <c r="D13" s="155" t="s">
        <v>266</v>
      </c>
      <c r="E13" s="155" t="s">
        <v>366</v>
      </c>
      <c r="F13" s="156">
        <v>29</v>
      </c>
      <c r="G13" s="159">
        <v>29</v>
      </c>
    </row>
    <row r="14" spans="1:7" x14ac:dyDescent="0.25">
      <c r="A14" s="156">
        <f t="shared" si="0"/>
        <v>413</v>
      </c>
      <c r="B14" s="155" t="s">
        <v>348</v>
      </c>
      <c r="C14" s="155" t="s">
        <v>189</v>
      </c>
      <c r="D14" s="155" t="s">
        <v>267</v>
      </c>
      <c r="E14" s="155" t="s">
        <v>367</v>
      </c>
      <c r="F14" s="156">
        <v>98</v>
      </c>
      <c r="G14" s="159">
        <v>98</v>
      </c>
    </row>
    <row r="15" spans="1:7" x14ac:dyDescent="0.25">
      <c r="A15" s="156">
        <f t="shared" si="0"/>
        <v>414</v>
      </c>
      <c r="B15" s="155" t="s">
        <v>348</v>
      </c>
      <c r="C15" s="155" t="s">
        <v>189</v>
      </c>
      <c r="D15" s="155" t="s">
        <v>268</v>
      </c>
      <c r="E15" s="155" t="s">
        <v>368</v>
      </c>
      <c r="F15" s="156">
        <v>13</v>
      </c>
      <c r="G15" s="159">
        <v>13</v>
      </c>
    </row>
    <row r="16" spans="1:7" x14ac:dyDescent="0.25">
      <c r="A16" s="156">
        <f t="shared" si="0"/>
        <v>415</v>
      </c>
      <c r="B16" s="155" t="s">
        <v>348</v>
      </c>
      <c r="C16" s="155" t="s">
        <v>189</v>
      </c>
      <c r="D16" s="155" t="s">
        <v>269</v>
      </c>
      <c r="E16" s="155" t="s">
        <v>369</v>
      </c>
      <c r="F16" s="156">
        <v>24</v>
      </c>
      <c r="G16" s="159">
        <v>24</v>
      </c>
    </row>
    <row r="17" spans="1:7" x14ac:dyDescent="0.25">
      <c r="A17" s="156">
        <f t="shared" si="0"/>
        <v>420</v>
      </c>
      <c r="B17" s="155" t="s">
        <v>348</v>
      </c>
      <c r="C17" s="155" t="s">
        <v>189</v>
      </c>
      <c r="D17" s="155" t="s">
        <v>270</v>
      </c>
      <c r="E17" s="155" t="s">
        <v>370</v>
      </c>
      <c r="F17" s="156">
        <v>526</v>
      </c>
      <c r="G17" s="159">
        <v>526</v>
      </c>
    </row>
    <row r="18" spans="1:7" x14ac:dyDescent="0.25">
      <c r="A18" s="156">
        <f t="shared" si="0"/>
        <v>421</v>
      </c>
      <c r="B18" s="155" t="s">
        <v>348</v>
      </c>
      <c r="C18" s="155" t="s">
        <v>189</v>
      </c>
      <c r="D18" s="155" t="s">
        <v>271</v>
      </c>
      <c r="E18" s="155" t="s">
        <v>371</v>
      </c>
      <c r="F18" s="156">
        <v>1</v>
      </c>
      <c r="G18" s="159">
        <v>1</v>
      </c>
    </row>
    <row r="19" spans="1:7" x14ac:dyDescent="0.25">
      <c r="A19" s="156">
        <f t="shared" si="0"/>
        <v>422</v>
      </c>
      <c r="B19" s="155" t="s">
        <v>348</v>
      </c>
      <c r="C19" s="155" t="s">
        <v>189</v>
      </c>
      <c r="D19" s="155" t="s">
        <v>272</v>
      </c>
      <c r="E19" s="155" t="s">
        <v>372</v>
      </c>
      <c r="F19" s="156">
        <v>207</v>
      </c>
      <c r="G19" s="159">
        <v>120</v>
      </c>
    </row>
    <row r="20" spans="1:7" x14ac:dyDescent="0.25">
      <c r="A20" s="156">
        <f t="shared" si="0"/>
        <v>424</v>
      </c>
      <c r="B20" s="155" t="s">
        <v>348</v>
      </c>
      <c r="C20" s="155" t="s">
        <v>189</v>
      </c>
      <c r="D20" s="155" t="s">
        <v>273</v>
      </c>
      <c r="E20" s="155" t="s">
        <v>373</v>
      </c>
      <c r="F20" s="156">
        <v>23</v>
      </c>
      <c r="G20" s="159">
        <v>14</v>
      </c>
    </row>
    <row r="21" spans="1:7" x14ac:dyDescent="0.25">
      <c r="A21" s="156">
        <f t="shared" si="0"/>
        <v>425</v>
      </c>
      <c r="B21" s="155" t="s">
        <v>348</v>
      </c>
      <c r="C21" s="155" t="s">
        <v>189</v>
      </c>
      <c r="D21" s="155" t="s">
        <v>274</v>
      </c>
      <c r="E21" s="155" t="s">
        <v>374</v>
      </c>
      <c r="F21" s="156">
        <v>2</v>
      </c>
      <c r="G21" s="159">
        <v>1</v>
      </c>
    </row>
    <row r="22" spans="1:7" x14ac:dyDescent="0.25">
      <c r="A22" s="156">
        <f t="shared" si="0"/>
        <v>426</v>
      </c>
      <c r="B22" s="155" t="s">
        <v>348</v>
      </c>
      <c r="C22" s="155" t="s">
        <v>189</v>
      </c>
      <c r="D22" s="155" t="s">
        <v>275</v>
      </c>
      <c r="E22" s="155" t="s">
        <v>375</v>
      </c>
      <c r="F22" s="156">
        <v>151</v>
      </c>
      <c r="G22" s="159">
        <v>149</v>
      </c>
    </row>
    <row r="23" spans="1:7" x14ac:dyDescent="0.25">
      <c r="A23" s="156">
        <f t="shared" si="0"/>
        <v>428</v>
      </c>
      <c r="B23" s="155" t="s">
        <v>348</v>
      </c>
      <c r="C23" s="155" t="s">
        <v>189</v>
      </c>
      <c r="D23" s="155" t="s">
        <v>276</v>
      </c>
      <c r="E23" s="155" t="s">
        <v>376</v>
      </c>
      <c r="F23" s="156">
        <v>37239</v>
      </c>
      <c r="G23" s="159">
        <v>37076</v>
      </c>
    </row>
    <row r="24" spans="1:7" x14ac:dyDescent="0.25">
      <c r="A24" s="156">
        <f t="shared" si="0"/>
        <v>430</v>
      </c>
      <c r="B24" s="155" t="s">
        <v>348</v>
      </c>
      <c r="C24" s="155" t="s">
        <v>189</v>
      </c>
      <c r="D24" s="155" t="s">
        <v>277</v>
      </c>
      <c r="E24" s="155" t="s">
        <v>381</v>
      </c>
      <c r="F24" s="156">
        <v>1242</v>
      </c>
      <c r="G24" s="159">
        <v>1231</v>
      </c>
    </row>
    <row r="25" spans="1:7" x14ac:dyDescent="0.25">
      <c r="A25" s="156">
        <f t="shared" si="0"/>
        <v>440</v>
      </c>
      <c r="B25" s="155" t="s">
        <v>348</v>
      </c>
      <c r="C25" s="155" t="s">
        <v>189</v>
      </c>
      <c r="D25" s="155" t="s">
        <v>278</v>
      </c>
      <c r="E25" s="155" t="s">
        <v>382</v>
      </c>
      <c r="F25" s="156">
        <v>2</v>
      </c>
      <c r="G25" s="159">
        <v>2</v>
      </c>
    </row>
    <row r="26" spans="1:7" x14ac:dyDescent="0.25">
      <c r="A26" s="156">
        <f t="shared" si="0"/>
        <v>446</v>
      </c>
      <c r="B26" s="155" t="s">
        <v>348</v>
      </c>
      <c r="C26" s="155" t="s">
        <v>189</v>
      </c>
      <c r="D26" s="155" t="s">
        <v>279</v>
      </c>
      <c r="E26" s="155" t="s">
        <v>383</v>
      </c>
      <c r="F26" s="156">
        <v>817</v>
      </c>
      <c r="G26" s="159">
        <v>811</v>
      </c>
    </row>
    <row r="27" spans="1:7" x14ac:dyDescent="0.25">
      <c r="A27" s="156">
        <f t="shared" si="0"/>
        <v>447</v>
      </c>
      <c r="B27" s="155" t="s">
        <v>348</v>
      </c>
      <c r="C27" s="155" t="s">
        <v>189</v>
      </c>
      <c r="D27" s="155" t="s">
        <v>280</v>
      </c>
      <c r="E27" s="155" t="s">
        <v>384</v>
      </c>
      <c r="F27" s="156">
        <v>595</v>
      </c>
      <c r="G27" s="159">
        <v>591</v>
      </c>
    </row>
    <row r="28" spans="1:7" x14ac:dyDescent="0.25">
      <c r="A28" s="156">
        <f t="shared" si="0"/>
        <v>448</v>
      </c>
      <c r="B28" s="155" t="s">
        <v>348</v>
      </c>
      <c r="C28" s="155" t="s">
        <v>189</v>
      </c>
      <c r="D28" s="155" t="s">
        <v>281</v>
      </c>
      <c r="E28" s="155" t="s">
        <v>385</v>
      </c>
      <c r="F28" s="156">
        <v>1190</v>
      </c>
      <c r="G28" s="159">
        <v>1174</v>
      </c>
    </row>
    <row r="29" spans="1:7" x14ac:dyDescent="0.25">
      <c r="A29" s="156">
        <f t="shared" si="0"/>
        <v>450</v>
      </c>
      <c r="B29" s="155" t="s">
        <v>348</v>
      </c>
      <c r="C29" s="155" t="s">
        <v>189</v>
      </c>
      <c r="D29" s="155" t="s">
        <v>282</v>
      </c>
      <c r="E29" s="155" t="s">
        <v>388</v>
      </c>
      <c r="F29" s="156">
        <v>716</v>
      </c>
      <c r="G29" s="159">
        <v>707</v>
      </c>
    </row>
    <row r="30" spans="1:7" x14ac:dyDescent="0.25">
      <c r="A30" s="156">
        <f t="shared" si="0"/>
        <v>451</v>
      </c>
      <c r="B30" s="155" t="s">
        <v>348</v>
      </c>
      <c r="C30" s="155" t="s">
        <v>189</v>
      </c>
      <c r="D30" s="155" t="s">
        <v>283</v>
      </c>
      <c r="E30" s="155" t="s">
        <v>391</v>
      </c>
      <c r="F30" s="156">
        <v>5961</v>
      </c>
      <c r="G30" s="159">
        <v>5998</v>
      </c>
    </row>
    <row r="31" spans="1:7" x14ac:dyDescent="0.25">
      <c r="A31" s="156">
        <f t="shared" si="0"/>
        <v>452</v>
      </c>
      <c r="B31" s="155" t="s">
        <v>348</v>
      </c>
      <c r="C31" s="155" t="s">
        <v>189</v>
      </c>
      <c r="D31" s="155" t="s">
        <v>284</v>
      </c>
      <c r="E31" s="155" t="s">
        <v>394</v>
      </c>
      <c r="F31" s="156">
        <v>891</v>
      </c>
      <c r="G31" s="159">
        <v>873</v>
      </c>
    </row>
    <row r="32" spans="1:7" x14ac:dyDescent="0.25">
      <c r="A32" s="156">
        <f t="shared" si="0"/>
        <v>454</v>
      </c>
      <c r="B32" s="155" t="s">
        <v>348</v>
      </c>
      <c r="C32" s="155" t="s">
        <v>189</v>
      </c>
      <c r="D32" s="155" t="s">
        <v>285</v>
      </c>
      <c r="E32" s="155" t="s">
        <v>397</v>
      </c>
      <c r="F32" s="156">
        <v>155</v>
      </c>
      <c r="G32" s="159">
        <v>158</v>
      </c>
    </row>
    <row r="33" spans="1:32" x14ac:dyDescent="0.25">
      <c r="A33" s="156">
        <f t="shared" si="0"/>
        <v>455</v>
      </c>
      <c r="B33" s="155" t="s">
        <v>348</v>
      </c>
      <c r="C33" s="155" t="s">
        <v>189</v>
      </c>
      <c r="D33" s="155" t="s">
        <v>286</v>
      </c>
      <c r="E33" s="155" t="s">
        <v>400</v>
      </c>
      <c r="F33" s="156">
        <v>962</v>
      </c>
      <c r="G33" s="159">
        <v>950</v>
      </c>
    </row>
    <row r="34" spans="1:32" x14ac:dyDescent="0.25">
      <c r="A34" s="156">
        <f t="shared" si="0"/>
        <v>456</v>
      </c>
      <c r="B34" s="155" t="s">
        <v>348</v>
      </c>
      <c r="C34" s="155" t="s">
        <v>189</v>
      </c>
      <c r="D34" s="155" t="s">
        <v>287</v>
      </c>
      <c r="E34" s="155" t="s">
        <v>401</v>
      </c>
      <c r="F34" s="156">
        <v>107</v>
      </c>
      <c r="G34" s="159">
        <v>94</v>
      </c>
    </row>
    <row r="35" spans="1:32" x14ac:dyDescent="0.25">
      <c r="A35" s="156">
        <f t="shared" si="0"/>
        <v>457</v>
      </c>
      <c r="B35" s="155" t="s">
        <v>348</v>
      </c>
      <c r="C35" s="155" t="s">
        <v>189</v>
      </c>
      <c r="D35" s="155" t="s">
        <v>288</v>
      </c>
      <c r="E35" s="155" t="s">
        <v>402</v>
      </c>
      <c r="F35" s="156">
        <v>354</v>
      </c>
      <c r="G35" s="159">
        <v>354</v>
      </c>
    </row>
    <row r="36" spans="1:32" x14ac:dyDescent="0.25">
      <c r="A36" s="156">
        <f t="shared" ref="A36:A67" si="1">IF(RIGHT(D36,2)="CU","N/A",_xlfn.NUMBERVALUE(RIGHT(D36,3)))</f>
        <v>458</v>
      </c>
      <c r="B36" s="155" t="s">
        <v>348</v>
      </c>
      <c r="C36" s="155" t="s">
        <v>189</v>
      </c>
      <c r="D36" s="155" t="s">
        <v>289</v>
      </c>
      <c r="E36" s="155" t="s">
        <v>403</v>
      </c>
      <c r="F36" s="156">
        <v>1153</v>
      </c>
      <c r="G36" s="159">
        <v>1136</v>
      </c>
    </row>
    <row r="37" spans="1:32" x14ac:dyDescent="0.25">
      <c r="A37" s="156">
        <f t="shared" si="1"/>
        <v>459</v>
      </c>
      <c r="B37" s="155" t="s">
        <v>348</v>
      </c>
      <c r="C37" s="155" t="s">
        <v>189</v>
      </c>
      <c r="D37" s="155" t="s">
        <v>290</v>
      </c>
      <c r="E37" s="155" t="s">
        <v>404</v>
      </c>
      <c r="F37" s="156">
        <v>161</v>
      </c>
      <c r="G37" s="159">
        <v>156</v>
      </c>
    </row>
    <row r="38" spans="1:32" x14ac:dyDescent="0.25">
      <c r="A38" s="156">
        <f t="shared" si="1"/>
        <v>460</v>
      </c>
      <c r="B38" s="155" t="s">
        <v>348</v>
      </c>
      <c r="C38" s="155" t="s">
        <v>189</v>
      </c>
      <c r="D38" s="155" t="s">
        <v>291</v>
      </c>
      <c r="E38" s="155" t="s">
        <v>407</v>
      </c>
      <c r="F38" s="156">
        <v>20</v>
      </c>
      <c r="G38" s="159">
        <v>20</v>
      </c>
    </row>
    <row r="39" spans="1:32" x14ac:dyDescent="0.25">
      <c r="A39" s="156">
        <f t="shared" si="1"/>
        <v>461</v>
      </c>
      <c r="B39" s="155" t="s">
        <v>348</v>
      </c>
      <c r="C39" s="155" t="s">
        <v>189</v>
      </c>
      <c r="D39" s="155" t="s">
        <v>292</v>
      </c>
      <c r="E39" s="155" t="s">
        <v>408</v>
      </c>
      <c r="F39" s="156">
        <v>6812</v>
      </c>
      <c r="G39" s="159">
        <v>6839</v>
      </c>
    </row>
    <row r="40" spans="1:32" x14ac:dyDescent="0.25">
      <c r="A40" s="156">
        <f t="shared" si="1"/>
        <v>462</v>
      </c>
      <c r="B40" s="155" t="s">
        <v>348</v>
      </c>
      <c r="C40" s="155" t="s">
        <v>189</v>
      </c>
      <c r="D40" s="155" t="s">
        <v>293</v>
      </c>
      <c r="E40" s="155" t="s">
        <v>409</v>
      </c>
      <c r="F40" s="156">
        <v>8889</v>
      </c>
      <c r="G40" s="159">
        <v>8894</v>
      </c>
    </row>
    <row r="41" spans="1:32" x14ac:dyDescent="0.25">
      <c r="A41" s="156">
        <f t="shared" si="1"/>
        <v>463</v>
      </c>
      <c r="B41" s="155" t="s">
        <v>348</v>
      </c>
      <c r="C41" s="155" t="s">
        <v>189</v>
      </c>
      <c r="D41" s="155" t="s">
        <v>294</v>
      </c>
      <c r="E41" s="155" t="s">
        <v>410</v>
      </c>
      <c r="F41" s="156">
        <v>21310</v>
      </c>
      <c r="G41" s="159">
        <v>21252</v>
      </c>
    </row>
    <row r="42" spans="1:32" x14ac:dyDescent="0.25">
      <c r="A42" s="156">
        <f t="shared" si="1"/>
        <v>464</v>
      </c>
      <c r="B42" s="155" t="s">
        <v>348</v>
      </c>
      <c r="C42" s="155" t="s">
        <v>189</v>
      </c>
      <c r="D42" s="155" t="s">
        <v>295</v>
      </c>
      <c r="E42" s="155" t="s">
        <v>413</v>
      </c>
      <c r="F42" s="156">
        <v>7852</v>
      </c>
      <c r="G42" s="159">
        <v>7857</v>
      </c>
    </row>
    <row r="43" spans="1:32" x14ac:dyDescent="0.25">
      <c r="A43" s="156">
        <f t="shared" si="1"/>
        <v>465</v>
      </c>
      <c r="B43" s="155" t="s">
        <v>348</v>
      </c>
      <c r="C43" s="155" t="s">
        <v>189</v>
      </c>
      <c r="D43" s="155" t="s">
        <v>296</v>
      </c>
      <c r="E43" s="155" t="s">
        <v>416</v>
      </c>
      <c r="F43" s="156">
        <v>2791</v>
      </c>
      <c r="G43" s="159">
        <v>2793</v>
      </c>
    </row>
    <row r="44" spans="1:32" x14ac:dyDescent="0.25">
      <c r="A44" s="156">
        <f t="shared" si="1"/>
        <v>466</v>
      </c>
      <c r="B44" s="155" t="s">
        <v>348</v>
      </c>
      <c r="C44" s="155" t="s">
        <v>189</v>
      </c>
      <c r="D44" s="155" t="s">
        <v>297</v>
      </c>
      <c r="E44" s="155" t="s">
        <v>419</v>
      </c>
      <c r="F44" s="156">
        <v>853</v>
      </c>
      <c r="G44" s="159">
        <v>853</v>
      </c>
      <c r="AF44" s="367"/>
    </row>
    <row r="45" spans="1:32" x14ac:dyDescent="0.25">
      <c r="A45" s="156">
        <f t="shared" si="1"/>
        <v>467</v>
      </c>
      <c r="B45" s="155" t="s">
        <v>348</v>
      </c>
      <c r="C45" s="155" t="s">
        <v>189</v>
      </c>
      <c r="D45" s="155" t="s">
        <v>298</v>
      </c>
      <c r="E45" s="155" t="s">
        <v>420</v>
      </c>
      <c r="F45" s="156">
        <v>1584</v>
      </c>
      <c r="G45" s="159">
        <v>1583</v>
      </c>
    </row>
    <row r="46" spans="1:32" x14ac:dyDescent="0.25">
      <c r="A46" s="156">
        <f t="shared" si="1"/>
        <v>468</v>
      </c>
      <c r="B46" s="155" t="s">
        <v>348</v>
      </c>
      <c r="C46" s="155" t="s">
        <v>189</v>
      </c>
      <c r="D46" s="155" t="s">
        <v>299</v>
      </c>
      <c r="E46" s="155" t="s">
        <v>421</v>
      </c>
      <c r="F46" s="156">
        <v>4402</v>
      </c>
      <c r="G46" s="159">
        <v>4416</v>
      </c>
    </row>
    <row r="47" spans="1:32" x14ac:dyDescent="0.25">
      <c r="A47" s="156">
        <f t="shared" si="1"/>
        <v>469</v>
      </c>
      <c r="B47" s="155" t="s">
        <v>348</v>
      </c>
      <c r="C47" s="155" t="s">
        <v>189</v>
      </c>
      <c r="D47" s="155" t="s">
        <v>300</v>
      </c>
      <c r="E47" s="155" t="s">
        <v>424</v>
      </c>
      <c r="F47" s="156">
        <v>281</v>
      </c>
      <c r="G47" s="159">
        <v>279</v>
      </c>
    </row>
    <row r="48" spans="1:32" x14ac:dyDescent="0.25">
      <c r="A48" s="156">
        <f t="shared" si="1"/>
        <v>470</v>
      </c>
      <c r="B48" s="155" t="s">
        <v>348</v>
      </c>
      <c r="C48" s="155" t="s">
        <v>189</v>
      </c>
      <c r="D48" s="155" t="s">
        <v>301</v>
      </c>
      <c r="E48" s="155" t="s">
        <v>425</v>
      </c>
      <c r="F48" s="156">
        <v>42</v>
      </c>
      <c r="G48" s="159">
        <v>45</v>
      </c>
    </row>
    <row r="49" spans="1:7" x14ac:dyDescent="0.25">
      <c r="A49" s="156">
        <f t="shared" si="1"/>
        <v>471</v>
      </c>
      <c r="B49" s="155" t="s">
        <v>348</v>
      </c>
      <c r="C49" s="155" t="s">
        <v>189</v>
      </c>
      <c r="D49" s="155" t="s">
        <v>302</v>
      </c>
      <c r="E49" s="155" t="s">
        <v>426</v>
      </c>
      <c r="F49" s="156">
        <v>3425</v>
      </c>
      <c r="G49" s="159">
        <v>3423</v>
      </c>
    </row>
    <row r="50" spans="1:7" x14ac:dyDescent="0.25">
      <c r="A50" s="156">
        <f t="shared" si="1"/>
        <v>472</v>
      </c>
      <c r="B50" s="155" t="s">
        <v>348</v>
      </c>
      <c r="C50" s="155" t="s">
        <v>189</v>
      </c>
      <c r="D50" s="155" t="s">
        <v>303</v>
      </c>
      <c r="E50" s="155" t="s">
        <v>427</v>
      </c>
      <c r="F50" s="156">
        <v>9354</v>
      </c>
      <c r="G50" s="159">
        <v>9362</v>
      </c>
    </row>
    <row r="51" spans="1:7" x14ac:dyDescent="0.25">
      <c r="A51" s="156">
        <f t="shared" si="1"/>
        <v>473</v>
      </c>
      <c r="B51" s="155" t="s">
        <v>348</v>
      </c>
      <c r="C51" s="155" t="s">
        <v>189</v>
      </c>
      <c r="D51" s="155" t="s">
        <v>304</v>
      </c>
      <c r="E51" s="155" t="s">
        <v>428</v>
      </c>
      <c r="F51" s="156">
        <v>3399</v>
      </c>
      <c r="G51" s="159">
        <v>3401</v>
      </c>
    </row>
    <row r="52" spans="1:7" x14ac:dyDescent="0.25">
      <c r="A52" s="156">
        <f t="shared" si="1"/>
        <v>474</v>
      </c>
      <c r="B52" s="155" t="s">
        <v>348</v>
      </c>
      <c r="C52" s="155" t="s">
        <v>189</v>
      </c>
      <c r="D52" s="155" t="s">
        <v>305</v>
      </c>
      <c r="E52" s="155" t="s">
        <v>429</v>
      </c>
      <c r="F52" s="156">
        <v>5732</v>
      </c>
      <c r="G52" s="159">
        <v>5776</v>
      </c>
    </row>
    <row r="53" spans="1:7" x14ac:dyDescent="0.25">
      <c r="A53" s="156">
        <f t="shared" si="1"/>
        <v>475</v>
      </c>
      <c r="B53" s="155" t="s">
        <v>348</v>
      </c>
      <c r="C53" s="155" t="s">
        <v>189</v>
      </c>
      <c r="D53" s="155" t="s">
        <v>306</v>
      </c>
      <c r="E53" s="155" t="s">
        <v>430</v>
      </c>
      <c r="F53" s="156">
        <v>568</v>
      </c>
      <c r="G53" s="159">
        <v>572</v>
      </c>
    </row>
    <row r="54" spans="1:7" x14ac:dyDescent="0.25">
      <c r="A54" s="156">
        <f t="shared" si="1"/>
        <v>476</v>
      </c>
      <c r="B54" s="155" t="s">
        <v>348</v>
      </c>
      <c r="C54" s="155" t="s">
        <v>189</v>
      </c>
      <c r="D54" s="155" t="s">
        <v>307</v>
      </c>
      <c r="E54" s="155" t="s">
        <v>433</v>
      </c>
      <c r="F54" s="156">
        <v>4912</v>
      </c>
      <c r="G54" s="159">
        <v>4912</v>
      </c>
    </row>
    <row r="55" spans="1:7" x14ac:dyDescent="0.25">
      <c r="A55" s="156">
        <f t="shared" si="1"/>
        <v>477</v>
      </c>
      <c r="B55" s="155" t="s">
        <v>348</v>
      </c>
      <c r="C55" s="155" t="s">
        <v>189</v>
      </c>
      <c r="D55" s="155" t="s">
        <v>308</v>
      </c>
      <c r="E55" s="155" t="s">
        <v>434</v>
      </c>
      <c r="F55" s="156">
        <v>1092</v>
      </c>
      <c r="G55" s="159">
        <v>1112</v>
      </c>
    </row>
    <row r="56" spans="1:7" x14ac:dyDescent="0.25">
      <c r="A56" s="156">
        <f t="shared" si="1"/>
        <v>478</v>
      </c>
      <c r="B56" s="155" t="s">
        <v>348</v>
      </c>
      <c r="C56" s="155" t="s">
        <v>189</v>
      </c>
      <c r="D56" s="155" t="s">
        <v>309</v>
      </c>
      <c r="E56" s="155" t="s">
        <v>435</v>
      </c>
      <c r="F56" s="156">
        <v>1509</v>
      </c>
      <c r="G56" s="159">
        <v>1513</v>
      </c>
    </row>
    <row r="57" spans="1:7" x14ac:dyDescent="0.25">
      <c r="A57" s="156">
        <f t="shared" si="1"/>
        <v>479</v>
      </c>
      <c r="B57" s="155" t="s">
        <v>348</v>
      </c>
      <c r="C57" s="155" t="s">
        <v>189</v>
      </c>
      <c r="D57" s="155" t="s">
        <v>310</v>
      </c>
      <c r="E57" s="155" t="s">
        <v>436</v>
      </c>
      <c r="F57" s="156">
        <v>944</v>
      </c>
      <c r="G57" s="159">
        <v>947</v>
      </c>
    </row>
    <row r="58" spans="1:7" x14ac:dyDescent="0.25">
      <c r="A58" s="156">
        <f t="shared" si="1"/>
        <v>487</v>
      </c>
      <c r="B58" s="155" t="s">
        <v>348</v>
      </c>
      <c r="C58" s="155" t="s">
        <v>189</v>
      </c>
      <c r="D58" s="155" t="s">
        <v>311</v>
      </c>
      <c r="E58" s="155" t="s">
        <v>441</v>
      </c>
      <c r="F58" s="156">
        <v>11268</v>
      </c>
      <c r="G58" s="159">
        <v>11222</v>
      </c>
    </row>
    <row r="59" spans="1:7" x14ac:dyDescent="0.25">
      <c r="A59" s="156">
        <f t="shared" si="1"/>
        <v>488</v>
      </c>
      <c r="B59" s="155" t="s">
        <v>348</v>
      </c>
      <c r="C59" s="155" t="s">
        <v>189</v>
      </c>
      <c r="D59" s="155" t="s">
        <v>312</v>
      </c>
      <c r="E59" s="155" t="s">
        <v>444</v>
      </c>
      <c r="F59" s="156">
        <v>6752</v>
      </c>
      <c r="G59" s="159">
        <v>6724</v>
      </c>
    </row>
    <row r="60" spans="1:7" x14ac:dyDescent="0.25">
      <c r="A60" s="156">
        <f t="shared" si="1"/>
        <v>489</v>
      </c>
      <c r="B60" s="155" t="s">
        <v>348</v>
      </c>
      <c r="C60" s="155" t="s">
        <v>189</v>
      </c>
      <c r="D60" s="155" t="s">
        <v>313</v>
      </c>
      <c r="E60" s="155" t="s">
        <v>447</v>
      </c>
      <c r="F60" s="156">
        <v>8724</v>
      </c>
      <c r="G60" s="159">
        <v>8791</v>
      </c>
    </row>
    <row r="61" spans="1:7" x14ac:dyDescent="0.25">
      <c r="A61" s="156">
        <f t="shared" si="1"/>
        <v>490</v>
      </c>
      <c r="B61" s="155" t="s">
        <v>348</v>
      </c>
      <c r="C61" s="155" t="s">
        <v>189</v>
      </c>
      <c r="D61" s="155" t="s">
        <v>314</v>
      </c>
      <c r="E61" s="155" t="s">
        <v>450</v>
      </c>
      <c r="F61" s="156">
        <v>59</v>
      </c>
      <c r="G61" s="159">
        <v>59</v>
      </c>
    </row>
    <row r="62" spans="1:7" x14ac:dyDescent="0.25">
      <c r="A62" s="156">
        <f t="shared" si="1"/>
        <v>491</v>
      </c>
      <c r="B62" s="155" t="s">
        <v>348</v>
      </c>
      <c r="C62" s="155" t="s">
        <v>189</v>
      </c>
      <c r="D62" s="155" t="s">
        <v>315</v>
      </c>
      <c r="E62" s="155" t="s">
        <v>451</v>
      </c>
      <c r="F62" s="156">
        <v>311</v>
      </c>
      <c r="G62" s="159">
        <v>313</v>
      </c>
    </row>
    <row r="63" spans="1:7" x14ac:dyDescent="0.25">
      <c r="A63" s="156">
        <f t="shared" si="1"/>
        <v>492</v>
      </c>
      <c r="B63" s="155" t="s">
        <v>348</v>
      </c>
      <c r="C63" s="155" t="s">
        <v>189</v>
      </c>
      <c r="D63" s="155" t="s">
        <v>316</v>
      </c>
      <c r="E63" s="155" t="s">
        <v>452</v>
      </c>
      <c r="F63" s="156">
        <v>4</v>
      </c>
      <c r="G63" s="159">
        <v>4</v>
      </c>
    </row>
    <row r="64" spans="1:7" x14ac:dyDescent="0.25">
      <c r="A64" s="156">
        <f t="shared" si="1"/>
        <v>493</v>
      </c>
      <c r="B64" s="155" t="s">
        <v>348</v>
      </c>
      <c r="C64" s="155" t="s">
        <v>189</v>
      </c>
      <c r="D64" s="155" t="s">
        <v>317</v>
      </c>
      <c r="E64" s="155" t="s">
        <v>453</v>
      </c>
      <c r="F64" s="156">
        <v>40</v>
      </c>
      <c r="G64" s="159">
        <v>35</v>
      </c>
    </row>
    <row r="65" spans="1:7" x14ac:dyDescent="0.25">
      <c r="A65" s="156">
        <f t="shared" si="1"/>
        <v>494</v>
      </c>
      <c r="B65" s="155" t="s">
        <v>348</v>
      </c>
      <c r="C65" s="155" t="s">
        <v>189</v>
      </c>
      <c r="D65" s="155" t="s">
        <v>318</v>
      </c>
      <c r="E65" s="155" t="s">
        <v>454</v>
      </c>
      <c r="F65" s="156">
        <v>192</v>
      </c>
      <c r="G65" s="159">
        <v>192</v>
      </c>
    </row>
    <row r="66" spans="1:7" x14ac:dyDescent="0.25">
      <c r="A66" s="156">
        <f t="shared" si="1"/>
        <v>495</v>
      </c>
      <c r="B66" s="155" t="s">
        <v>348</v>
      </c>
      <c r="C66" s="155" t="s">
        <v>189</v>
      </c>
      <c r="D66" s="155" t="s">
        <v>319</v>
      </c>
      <c r="E66" s="155" t="s">
        <v>455</v>
      </c>
      <c r="F66" s="156">
        <v>717</v>
      </c>
      <c r="G66" s="159">
        <v>725</v>
      </c>
    </row>
    <row r="67" spans="1:7" x14ac:dyDescent="0.25">
      <c r="A67" s="156">
        <f t="shared" si="1"/>
        <v>496</v>
      </c>
      <c r="B67" s="155" t="s">
        <v>348</v>
      </c>
      <c r="C67" s="155" t="s">
        <v>189</v>
      </c>
      <c r="D67" s="155" t="s">
        <v>320</v>
      </c>
      <c r="E67" s="155" t="s">
        <v>456</v>
      </c>
      <c r="F67" s="156">
        <v>131</v>
      </c>
      <c r="G67" s="159">
        <v>124</v>
      </c>
    </row>
    <row r="68" spans="1:7" x14ac:dyDescent="0.25">
      <c r="A68" s="156">
        <f t="shared" ref="A68:A75" si="2">IF(RIGHT(D68,2)="CU","N/A",_xlfn.NUMBERVALUE(RIGHT(D68,3)))</f>
        <v>497</v>
      </c>
      <c r="B68" s="155" t="s">
        <v>348</v>
      </c>
      <c r="C68" s="155" t="s">
        <v>189</v>
      </c>
      <c r="D68" s="155" t="s">
        <v>321</v>
      </c>
      <c r="E68" s="155" t="s">
        <v>457</v>
      </c>
      <c r="F68" s="156">
        <v>18</v>
      </c>
      <c r="G68" s="159">
        <v>18</v>
      </c>
    </row>
    <row r="69" spans="1:7" x14ac:dyDescent="0.25">
      <c r="A69" s="156">
        <f t="shared" si="2"/>
        <v>498</v>
      </c>
      <c r="B69" s="155" t="s">
        <v>348</v>
      </c>
      <c r="C69" s="155" t="s">
        <v>189</v>
      </c>
      <c r="D69" s="155" t="s">
        <v>322</v>
      </c>
      <c r="E69" s="155" t="s">
        <v>458</v>
      </c>
      <c r="F69" s="156">
        <v>32</v>
      </c>
      <c r="G69" s="159">
        <v>32</v>
      </c>
    </row>
    <row r="70" spans="1:7" x14ac:dyDescent="0.25">
      <c r="A70" s="156">
        <f t="shared" si="2"/>
        <v>499</v>
      </c>
      <c r="B70" s="155" t="s">
        <v>348</v>
      </c>
      <c r="C70" s="155" t="s">
        <v>189</v>
      </c>
      <c r="D70" s="155" t="s">
        <v>323</v>
      </c>
      <c r="E70" s="155" t="s">
        <v>459</v>
      </c>
      <c r="F70" s="156">
        <v>38</v>
      </c>
      <c r="G70" s="159">
        <v>38</v>
      </c>
    </row>
    <row r="71" spans="1:7" x14ac:dyDescent="0.25">
      <c r="A71" s="156">
        <f t="shared" si="2"/>
        <v>820</v>
      </c>
      <c r="B71" s="155" t="s">
        <v>348</v>
      </c>
      <c r="C71" s="155" t="s">
        <v>189</v>
      </c>
      <c r="D71" s="155" t="s">
        <v>460</v>
      </c>
      <c r="E71" s="155" t="s">
        <v>461</v>
      </c>
      <c r="F71" s="159">
        <v>0</v>
      </c>
      <c r="G71" s="156"/>
    </row>
    <row r="72" spans="1:7" x14ac:dyDescent="0.25">
      <c r="A72" s="156">
        <f t="shared" si="2"/>
        <v>825</v>
      </c>
      <c r="B72" s="155" t="s">
        <v>348</v>
      </c>
      <c r="C72" s="155" t="s">
        <v>189</v>
      </c>
      <c r="D72" s="155" t="s">
        <v>462</v>
      </c>
      <c r="E72" s="155" t="s">
        <v>463</v>
      </c>
      <c r="F72" s="159">
        <v>0</v>
      </c>
      <c r="G72" s="156"/>
    </row>
    <row r="73" spans="1:7" x14ac:dyDescent="0.25">
      <c r="A73" s="156">
        <f t="shared" si="2"/>
        <v>826</v>
      </c>
      <c r="B73" s="155" t="s">
        <v>348</v>
      </c>
      <c r="C73" s="155" t="s">
        <v>189</v>
      </c>
      <c r="D73" s="155" t="s">
        <v>464</v>
      </c>
      <c r="E73" s="155" t="s">
        <v>465</v>
      </c>
      <c r="F73" s="159">
        <v>0</v>
      </c>
      <c r="G73" s="156"/>
    </row>
    <row r="74" spans="1:7" x14ac:dyDescent="0.25">
      <c r="A74" s="156">
        <f t="shared" si="2"/>
        <v>827</v>
      </c>
      <c r="B74" s="155" t="s">
        <v>348</v>
      </c>
      <c r="C74" s="155" t="s">
        <v>189</v>
      </c>
      <c r="D74" s="155" t="s">
        <v>466</v>
      </c>
      <c r="E74" s="155" t="s">
        <v>467</v>
      </c>
      <c r="F74" s="159">
        <v>0</v>
      </c>
      <c r="G74" s="156"/>
    </row>
    <row r="75" spans="1:7" x14ac:dyDescent="0.25">
      <c r="A75" s="156">
        <f t="shared" si="2"/>
        <v>828</v>
      </c>
      <c r="B75" s="155" t="s">
        <v>348</v>
      </c>
      <c r="C75" s="155" t="s">
        <v>189</v>
      </c>
      <c r="D75" s="155" t="s">
        <v>468</v>
      </c>
      <c r="E75" s="155" t="s">
        <v>469</v>
      </c>
      <c r="F75" s="159">
        <v>0</v>
      </c>
      <c r="G75" s="156"/>
    </row>
    <row r="76" spans="1:7" x14ac:dyDescent="0.25">
      <c r="A76" s="156" t="s">
        <v>32</v>
      </c>
      <c r="B76" s="155" t="s">
        <v>348</v>
      </c>
      <c r="C76" s="155" t="s">
        <v>189</v>
      </c>
      <c r="D76" s="155" t="s">
        <v>349</v>
      </c>
      <c r="E76" s="155" t="s">
        <v>350</v>
      </c>
      <c r="F76" s="159">
        <v>2</v>
      </c>
      <c r="G76" s="156"/>
    </row>
    <row r="77" spans="1:7" x14ac:dyDescent="0.25">
      <c r="A77" s="156" t="str">
        <f t="shared" ref="A77:A99" si="3">IF(RIGHT(D77,2)="CU","N/A",_xlfn.NUMBERVALUE(RIGHT(D77,3)))</f>
        <v>N/A</v>
      </c>
      <c r="B77" s="155" t="s">
        <v>348</v>
      </c>
      <c r="C77" s="155" t="s">
        <v>189</v>
      </c>
      <c r="D77" s="155" t="s">
        <v>353</v>
      </c>
      <c r="E77" s="155" t="s">
        <v>354</v>
      </c>
      <c r="F77" s="159">
        <v>0</v>
      </c>
      <c r="G77" s="156"/>
    </row>
    <row r="78" spans="1:7" x14ac:dyDescent="0.25">
      <c r="A78" s="156" t="str">
        <f t="shared" si="3"/>
        <v>N/A</v>
      </c>
      <c r="B78" s="155" t="s">
        <v>348</v>
      </c>
      <c r="C78" s="155" t="s">
        <v>189</v>
      </c>
      <c r="D78" s="155" t="s">
        <v>355</v>
      </c>
      <c r="E78" s="155" t="s">
        <v>356</v>
      </c>
      <c r="F78" s="159">
        <v>0</v>
      </c>
      <c r="G78" s="156"/>
    </row>
    <row r="79" spans="1:7" x14ac:dyDescent="0.25">
      <c r="A79" s="156" t="str">
        <f t="shared" si="3"/>
        <v>N/A</v>
      </c>
      <c r="B79" s="155" t="s">
        <v>348</v>
      </c>
      <c r="C79" s="155" t="s">
        <v>189</v>
      </c>
      <c r="D79" s="155" t="s">
        <v>357</v>
      </c>
      <c r="E79" s="155" t="s">
        <v>358</v>
      </c>
      <c r="F79" s="159">
        <v>0</v>
      </c>
      <c r="G79" s="156"/>
    </row>
    <row r="80" spans="1:7" x14ac:dyDescent="0.25">
      <c r="A80" s="156" t="str">
        <f t="shared" si="3"/>
        <v>N/A</v>
      </c>
      <c r="B80" s="155" t="s">
        <v>348</v>
      </c>
      <c r="C80" s="155" t="s">
        <v>189</v>
      </c>
      <c r="D80" s="155" t="s">
        <v>359</v>
      </c>
      <c r="E80" s="155" t="s">
        <v>360</v>
      </c>
      <c r="F80" s="159">
        <v>0</v>
      </c>
      <c r="G80" s="156"/>
    </row>
    <row r="81" spans="1:7" x14ac:dyDescent="0.25">
      <c r="A81" s="156" t="str">
        <f t="shared" si="3"/>
        <v>N/A</v>
      </c>
      <c r="B81" s="155" t="s">
        <v>348</v>
      </c>
      <c r="C81" s="155" t="s">
        <v>189</v>
      </c>
      <c r="D81" s="155" t="s">
        <v>362</v>
      </c>
      <c r="E81" s="155" t="s">
        <v>363</v>
      </c>
      <c r="F81" s="159">
        <v>0</v>
      </c>
      <c r="G81" s="156"/>
    </row>
    <row r="82" spans="1:7" x14ac:dyDescent="0.25">
      <c r="A82" s="156" t="str">
        <f t="shared" si="3"/>
        <v>N/A</v>
      </c>
      <c r="B82" s="155" t="s">
        <v>348</v>
      </c>
      <c r="C82" s="155" t="s">
        <v>189</v>
      </c>
      <c r="D82" s="155" t="s">
        <v>377</v>
      </c>
      <c r="E82" s="155" t="s">
        <v>378</v>
      </c>
      <c r="F82" s="159">
        <v>0</v>
      </c>
      <c r="G82" s="156"/>
    </row>
    <row r="83" spans="1:7" x14ac:dyDescent="0.25">
      <c r="A83" s="156" t="str">
        <f t="shared" si="3"/>
        <v>N/A</v>
      </c>
      <c r="B83" s="155" t="s">
        <v>348</v>
      </c>
      <c r="C83" s="155" t="s">
        <v>189</v>
      </c>
      <c r="D83" s="155" t="s">
        <v>379</v>
      </c>
      <c r="E83" s="155" t="s">
        <v>380</v>
      </c>
      <c r="F83" s="159">
        <v>0</v>
      </c>
      <c r="G83" s="156"/>
    </row>
    <row r="84" spans="1:7" x14ac:dyDescent="0.25">
      <c r="A84" s="156" t="str">
        <f t="shared" si="3"/>
        <v>N/A</v>
      </c>
      <c r="B84" s="155" t="s">
        <v>348</v>
      </c>
      <c r="C84" s="155" t="s">
        <v>189</v>
      </c>
      <c r="D84" s="155" t="s">
        <v>386</v>
      </c>
      <c r="E84" s="155" t="s">
        <v>387</v>
      </c>
      <c r="F84" s="159">
        <v>0</v>
      </c>
      <c r="G84" s="156"/>
    </row>
    <row r="85" spans="1:7" x14ac:dyDescent="0.25">
      <c r="A85" s="156" t="str">
        <f t="shared" si="3"/>
        <v>N/A</v>
      </c>
      <c r="B85" s="155" t="s">
        <v>348</v>
      </c>
      <c r="C85" s="155" t="s">
        <v>189</v>
      </c>
      <c r="D85" s="155" t="s">
        <v>389</v>
      </c>
      <c r="E85" s="155" t="s">
        <v>390</v>
      </c>
      <c r="F85" s="159">
        <v>0</v>
      </c>
      <c r="G85" s="156"/>
    </row>
    <row r="86" spans="1:7" x14ac:dyDescent="0.25">
      <c r="A86" s="156" t="str">
        <f t="shared" si="3"/>
        <v>N/A</v>
      </c>
      <c r="B86" s="155" t="s">
        <v>348</v>
      </c>
      <c r="C86" s="155" t="s">
        <v>189</v>
      </c>
      <c r="D86" s="155" t="s">
        <v>392</v>
      </c>
      <c r="E86" s="155" t="s">
        <v>393</v>
      </c>
      <c r="F86" s="159">
        <v>0</v>
      </c>
      <c r="G86" s="156"/>
    </row>
    <row r="87" spans="1:7" x14ac:dyDescent="0.25">
      <c r="A87" s="156" t="str">
        <f t="shared" si="3"/>
        <v>N/A</v>
      </c>
      <c r="B87" s="155" t="s">
        <v>348</v>
      </c>
      <c r="C87" s="155" t="s">
        <v>189</v>
      </c>
      <c r="D87" s="155" t="s">
        <v>395</v>
      </c>
      <c r="E87" s="155" t="s">
        <v>396</v>
      </c>
      <c r="F87" s="159">
        <v>0</v>
      </c>
      <c r="G87" s="156"/>
    </row>
    <row r="88" spans="1:7" x14ac:dyDescent="0.25">
      <c r="A88" s="156" t="str">
        <f t="shared" si="3"/>
        <v>N/A</v>
      </c>
      <c r="B88" s="155" t="s">
        <v>348</v>
      </c>
      <c r="C88" s="155" t="s">
        <v>189</v>
      </c>
      <c r="D88" s="155" t="s">
        <v>398</v>
      </c>
      <c r="E88" s="155" t="s">
        <v>399</v>
      </c>
      <c r="F88" s="159">
        <v>0</v>
      </c>
      <c r="G88" s="156"/>
    </row>
    <row r="89" spans="1:7" x14ac:dyDescent="0.25">
      <c r="A89" s="156" t="str">
        <f t="shared" si="3"/>
        <v>N/A</v>
      </c>
      <c r="B89" s="155" t="s">
        <v>348</v>
      </c>
      <c r="C89" s="155" t="s">
        <v>189</v>
      </c>
      <c r="D89" s="155" t="s">
        <v>405</v>
      </c>
      <c r="E89" s="155" t="s">
        <v>406</v>
      </c>
      <c r="F89" s="159">
        <v>0</v>
      </c>
      <c r="G89" s="156"/>
    </row>
    <row r="90" spans="1:7" x14ac:dyDescent="0.25">
      <c r="A90" s="156" t="str">
        <f t="shared" si="3"/>
        <v>N/A</v>
      </c>
      <c r="B90" s="155" t="s">
        <v>348</v>
      </c>
      <c r="C90" s="155" t="s">
        <v>189</v>
      </c>
      <c r="D90" s="155" t="s">
        <v>411</v>
      </c>
      <c r="E90" s="155" t="s">
        <v>412</v>
      </c>
      <c r="F90" s="159">
        <v>0</v>
      </c>
      <c r="G90" s="156"/>
    </row>
    <row r="91" spans="1:7" x14ac:dyDescent="0.25">
      <c r="A91" s="156" t="str">
        <f t="shared" si="3"/>
        <v>N/A</v>
      </c>
      <c r="B91" s="155" t="s">
        <v>348</v>
      </c>
      <c r="C91" s="155" t="s">
        <v>189</v>
      </c>
      <c r="D91" s="155" t="s">
        <v>414</v>
      </c>
      <c r="E91" s="155" t="s">
        <v>415</v>
      </c>
      <c r="F91" s="159">
        <v>0</v>
      </c>
      <c r="G91" s="156"/>
    </row>
    <row r="92" spans="1:7" x14ac:dyDescent="0.25">
      <c r="A92" s="156" t="str">
        <f t="shared" si="3"/>
        <v>N/A</v>
      </c>
      <c r="B92" s="155" t="s">
        <v>348</v>
      </c>
      <c r="C92" s="155" t="s">
        <v>189</v>
      </c>
      <c r="D92" s="155" t="s">
        <v>417</v>
      </c>
      <c r="E92" s="155" t="s">
        <v>418</v>
      </c>
      <c r="F92" s="159">
        <v>0</v>
      </c>
      <c r="G92" s="156"/>
    </row>
    <row r="93" spans="1:7" x14ac:dyDescent="0.25">
      <c r="A93" s="156" t="str">
        <f t="shared" si="3"/>
        <v>N/A</v>
      </c>
      <c r="B93" s="155" t="s">
        <v>348</v>
      </c>
      <c r="C93" s="155" t="s">
        <v>189</v>
      </c>
      <c r="D93" s="155" t="s">
        <v>422</v>
      </c>
      <c r="E93" s="155" t="s">
        <v>423</v>
      </c>
      <c r="F93" s="159">
        <v>0</v>
      </c>
      <c r="G93" s="156"/>
    </row>
    <row r="94" spans="1:7" x14ac:dyDescent="0.25">
      <c r="A94" s="156" t="str">
        <f t="shared" si="3"/>
        <v>N/A</v>
      </c>
      <c r="B94" s="155" t="s">
        <v>348</v>
      </c>
      <c r="C94" s="155" t="s">
        <v>189</v>
      </c>
      <c r="D94" s="155" t="s">
        <v>431</v>
      </c>
      <c r="E94" s="155" t="s">
        <v>432</v>
      </c>
      <c r="F94" s="159">
        <v>0</v>
      </c>
      <c r="G94" s="156"/>
    </row>
    <row r="95" spans="1:7" x14ac:dyDescent="0.25">
      <c r="A95" s="156" t="str">
        <f t="shared" si="3"/>
        <v>N/A</v>
      </c>
      <c r="B95" s="155" t="s">
        <v>348</v>
      </c>
      <c r="C95" s="155" t="s">
        <v>189</v>
      </c>
      <c r="D95" s="155" t="s">
        <v>437</v>
      </c>
      <c r="E95" s="155" t="s">
        <v>438</v>
      </c>
      <c r="F95" s="159">
        <v>0</v>
      </c>
      <c r="G95" s="156"/>
    </row>
    <row r="96" spans="1:7" x14ac:dyDescent="0.25">
      <c r="A96" s="156" t="str">
        <f t="shared" si="3"/>
        <v>N/A</v>
      </c>
      <c r="B96" s="155" t="s">
        <v>348</v>
      </c>
      <c r="C96" s="155" t="s">
        <v>189</v>
      </c>
      <c r="D96" s="155" t="s">
        <v>439</v>
      </c>
      <c r="E96" s="155" t="s">
        <v>440</v>
      </c>
      <c r="F96" s="159">
        <v>0</v>
      </c>
      <c r="G96" s="156"/>
    </row>
    <row r="97" spans="1:7" x14ac:dyDescent="0.25">
      <c r="A97" s="156" t="str">
        <f t="shared" si="3"/>
        <v>N/A</v>
      </c>
      <c r="B97" s="155" t="s">
        <v>348</v>
      </c>
      <c r="C97" s="155" t="s">
        <v>189</v>
      </c>
      <c r="D97" s="155" t="s">
        <v>442</v>
      </c>
      <c r="E97" s="155" t="s">
        <v>443</v>
      </c>
      <c r="F97" s="159">
        <v>0</v>
      </c>
      <c r="G97" s="156"/>
    </row>
    <row r="98" spans="1:7" x14ac:dyDescent="0.25">
      <c r="A98" s="156" t="str">
        <f t="shared" si="3"/>
        <v>N/A</v>
      </c>
      <c r="B98" s="155" t="s">
        <v>348</v>
      </c>
      <c r="C98" s="155" t="s">
        <v>189</v>
      </c>
      <c r="D98" s="155" t="s">
        <v>445</v>
      </c>
      <c r="E98" s="155" t="s">
        <v>446</v>
      </c>
      <c r="F98" s="159">
        <v>0</v>
      </c>
      <c r="G98" s="156"/>
    </row>
    <row r="99" spans="1:7" x14ac:dyDescent="0.25">
      <c r="A99" s="156" t="str">
        <f t="shared" si="3"/>
        <v>N/A</v>
      </c>
      <c r="B99" s="155" t="s">
        <v>348</v>
      </c>
      <c r="C99" s="155" t="s">
        <v>189</v>
      </c>
      <c r="D99" s="155" t="s">
        <v>448</v>
      </c>
      <c r="E99" s="155" t="s">
        <v>449</v>
      </c>
      <c r="F99" s="159">
        <v>0</v>
      </c>
      <c r="G99" s="156"/>
    </row>
  </sheetData>
  <sortState ref="L4:L99">
    <sortCondition ref="L4:L99"/>
  </sortState>
  <pageMargins left="1" right="1" top="1" bottom="1.75" header="0.5" footer="0.5"/>
  <pageSetup scale="86"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zoomScaleNormal="100" workbookViewId="0"/>
  </sheetViews>
  <sheetFormatPr defaultRowHeight="15" x14ac:dyDescent="0.25"/>
  <cols>
    <col min="1" max="1" width="11" bestFit="1" customWidth="1"/>
    <col min="2" max="2" width="77.140625" bestFit="1" customWidth="1"/>
    <col min="3" max="3" width="17.28515625" style="15" bestFit="1" customWidth="1"/>
    <col min="4" max="4" width="12.85546875" style="15" bestFit="1" customWidth="1"/>
    <col min="5" max="5" width="14.140625" bestFit="1" customWidth="1"/>
  </cols>
  <sheetData>
    <row r="1" spans="1:5" x14ac:dyDescent="0.25">
      <c r="A1" t="s">
        <v>73</v>
      </c>
      <c r="B1" t="s">
        <v>74</v>
      </c>
      <c r="C1" s="303" t="s">
        <v>75</v>
      </c>
      <c r="D1" s="305" t="s">
        <v>76</v>
      </c>
    </row>
    <row r="2" spans="1:5" x14ac:dyDescent="0.25">
      <c r="A2" t="s">
        <v>9</v>
      </c>
      <c r="B2" t="s">
        <v>77</v>
      </c>
      <c r="D2" s="306">
        <f>130*1.1</f>
        <v>143</v>
      </c>
    </row>
    <row r="3" spans="1:5" x14ac:dyDescent="0.25">
      <c r="A3" t="s">
        <v>9</v>
      </c>
      <c r="B3" t="s">
        <v>78</v>
      </c>
      <c r="C3" s="15">
        <v>3024532</v>
      </c>
      <c r="D3" s="306">
        <f>135*1.1</f>
        <v>148.5</v>
      </c>
    </row>
    <row r="4" spans="1:5" x14ac:dyDescent="0.25">
      <c r="A4" t="s">
        <v>9</v>
      </c>
      <c r="B4" t="s">
        <v>79</v>
      </c>
      <c r="C4" s="15">
        <v>3024534</v>
      </c>
      <c r="D4" s="306">
        <f>185*1.1</f>
        <v>203.50000000000003</v>
      </c>
    </row>
    <row r="5" spans="1:5" x14ac:dyDescent="0.25">
      <c r="A5" t="s">
        <v>80</v>
      </c>
      <c r="B5" t="s">
        <v>81</v>
      </c>
      <c r="C5" s="15">
        <v>3024533</v>
      </c>
      <c r="D5" s="306">
        <f>275*1.1</f>
        <v>302.5</v>
      </c>
    </row>
    <row r="6" spans="1:5" x14ac:dyDescent="0.25">
      <c r="A6" t="s">
        <v>9</v>
      </c>
      <c r="B6" t="s">
        <v>82</v>
      </c>
      <c r="D6" s="306">
        <f>389*1.1</f>
        <v>427.90000000000003</v>
      </c>
      <c r="E6" s="8"/>
    </row>
    <row r="7" spans="1:5" x14ac:dyDescent="0.25">
      <c r="A7" t="s">
        <v>83</v>
      </c>
      <c r="B7" t="s">
        <v>224</v>
      </c>
      <c r="C7" s="15">
        <v>3024332</v>
      </c>
      <c r="D7" s="306">
        <f>300*1.1</f>
        <v>330</v>
      </c>
    </row>
    <row r="8" spans="1:5" x14ac:dyDescent="0.25">
      <c r="A8" t="s">
        <v>9</v>
      </c>
      <c r="B8" t="s">
        <v>84</v>
      </c>
      <c r="C8" s="15">
        <v>3024334</v>
      </c>
      <c r="D8" s="306">
        <f>114*1.1</f>
        <v>125.4</v>
      </c>
    </row>
    <row r="9" spans="1:5" x14ac:dyDescent="0.25">
      <c r="A9" t="s">
        <v>9</v>
      </c>
      <c r="B9" t="s">
        <v>85</v>
      </c>
      <c r="D9" s="306">
        <f>250*1.1</f>
        <v>275</v>
      </c>
    </row>
    <row r="10" spans="1:5" x14ac:dyDescent="0.25">
      <c r="A10" t="s">
        <v>9</v>
      </c>
      <c r="B10" t="s">
        <v>86</v>
      </c>
      <c r="D10" s="306">
        <f>250*1.1</f>
        <v>275</v>
      </c>
    </row>
    <row r="11" spans="1:5" x14ac:dyDescent="0.25">
      <c r="A11" t="s">
        <v>9</v>
      </c>
      <c r="B11" t="s">
        <v>87</v>
      </c>
      <c r="D11" s="306">
        <f>275*1.1</f>
        <v>302.5</v>
      </c>
    </row>
    <row r="12" spans="1:5" x14ac:dyDescent="0.25">
      <c r="A12" t="s">
        <v>9</v>
      </c>
      <c r="B12" t="s">
        <v>88</v>
      </c>
      <c r="D12" s="306">
        <f>275*1.1</f>
        <v>302.5</v>
      </c>
    </row>
    <row r="13" spans="1:5" x14ac:dyDescent="0.25">
      <c r="A13" t="s">
        <v>9</v>
      </c>
      <c r="B13" t="s">
        <v>89</v>
      </c>
      <c r="D13" s="306">
        <f>299*1.1</f>
        <v>328.90000000000003</v>
      </c>
    </row>
    <row r="14" spans="1:5" x14ac:dyDescent="0.25">
      <c r="A14" t="s">
        <v>9</v>
      </c>
      <c r="B14" t="s">
        <v>90</v>
      </c>
      <c r="D14" s="306">
        <f>299*1.1</f>
        <v>328.90000000000003</v>
      </c>
    </row>
    <row r="15" spans="1:5" x14ac:dyDescent="0.25">
      <c r="A15" t="s">
        <v>9</v>
      </c>
      <c r="B15" t="s">
        <v>91</v>
      </c>
      <c r="D15" s="306">
        <f>450*1.1</f>
        <v>495.00000000000006</v>
      </c>
    </row>
    <row r="16" spans="1:5" x14ac:dyDescent="0.25">
      <c r="A16" t="s">
        <v>9</v>
      </c>
      <c r="B16" t="s">
        <v>92</v>
      </c>
      <c r="D16" s="306">
        <f>450*1.1</f>
        <v>495.00000000000006</v>
      </c>
    </row>
    <row r="17" spans="1:4" x14ac:dyDescent="0.25">
      <c r="A17" t="s">
        <v>9</v>
      </c>
      <c r="B17" t="s">
        <v>93</v>
      </c>
      <c r="D17" s="306">
        <f>650*1.1</f>
        <v>715.00000000000011</v>
      </c>
    </row>
    <row r="18" spans="1:4" x14ac:dyDescent="0.25">
      <c r="A18" t="s">
        <v>9</v>
      </c>
      <c r="B18" t="s">
        <v>94</v>
      </c>
      <c r="D18" s="306">
        <f>650*1.1</f>
        <v>715.00000000000011</v>
      </c>
    </row>
    <row r="19" spans="1:4" x14ac:dyDescent="0.25">
      <c r="A19" t="s">
        <v>9</v>
      </c>
      <c r="B19" t="s">
        <v>95</v>
      </c>
      <c r="D19" s="306">
        <f>330*1.1</f>
        <v>363.00000000000006</v>
      </c>
    </row>
    <row r="20" spans="1:4" x14ac:dyDescent="0.25">
      <c r="A20" t="s">
        <v>80</v>
      </c>
      <c r="B20" t="s">
        <v>96</v>
      </c>
      <c r="D20" s="306">
        <f>345*1.1</f>
        <v>379.50000000000006</v>
      </c>
    </row>
    <row r="21" spans="1:4" x14ac:dyDescent="0.25">
      <c r="A21" t="s">
        <v>9</v>
      </c>
      <c r="B21" t="s">
        <v>97</v>
      </c>
      <c r="D21" s="306">
        <f>375*1.1</f>
        <v>412.50000000000006</v>
      </c>
    </row>
    <row r="22" spans="1:4" x14ac:dyDescent="0.25">
      <c r="A22" t="s">
        <v>9</v>
      </c>
      <c r="B22" t="s">
        <v>98</v>
      </c>
      <c r="D22" s="306">
        <f>600*1.1</f>
        <v>660</v>
      </c>
    </row>
    <row r="23" spans="1:4" x14ac:dyDescent="0.25">
      <c r="A23" t="s">
        <v>10</v>
      </c>
      <c r="B23" t="s">
        <v>99</v>
      </c>
      <c r="C23" s="15">
        <v>3024531</v>
      </c>
      <c r="D23" s="306">
        <v>14.98</v>
      </c>
    </row>
    <row r="24" spans="1:4" x14ac:dyDescent="0.25">
      <c r="A24" t="s">
        <v>52</v>
      </c>
      <c r="B24" s="15" t="s">
        <v>100</v>
      </c>
      <c r="C24" s="304">
        <v>3010215</v>
      </c>
      <c r="D24" s="306">
        <v>990.26</v>
      </c>
    </row>
    <row r="25" spans="1:4" x14ac:dyDescent="0.25">
      <c r="A25" t="s">
        <v>52</v>
      </c>
      <c r="B25" s="16" t="s">
        <v>101</v>
      </c>
      <c r="C25" s="15">
        <v>7001421</v>
      </c>
      <c r="D25" s="306">
        <v>526</v>
      </c>
    </row>
    <row r="26" spans="1:4" x14ac:dyDescent="0.25">
      <c r="A26" t="s">
        <v>52</v>
      </c>
      <c r="B26" s="17" t="s">
        <v>102</v>
      </c>
      <c r="C26" s="15">
        <v>7010200</v>
      </c>
      <c r="D26" s="306">
        <v>690</v>
      </c>
    </row>
    <row r="27" spans="1:4" x14ac:dyDescent="0.25">
      <c r="A27" t="s">
        <v>52</v>
      </c>
      <c r="B27" s="15" t="s">
        <v>103</v>
      </c>
      <c r="C27" s="15">
        <v>7001418</v>
      </c>
      <c r="D27" s="306">
        <v>645</v>
      </c>
    </row>
    <row r="28" spans="1:4" x14ac:dyDescent="0.25">
      <c r="A28" t="s">
        <v>52</v>
      </c>
      <c r="B28" s="15" t="s">
        <v>104</v>
      </c>
      <c r="C28" s="15">
        <v>7001416</v>
      </c>
      <c r="D28" s="306">
        <v>653</v>
      </c>
    </row>
    <row r="29" spans="1:4" x14ac:dyDescent="0.25">
      <c r="A29" t="s">
        <v>52</v>
      </c>
      <c r="B29" s="15" t="s">
        <v>105</v>
      </c>
      <c r="C29" s="15">
        <v>7001417</v>
      </c>
      <c r="D29" s="306">
        <v>809</v>
      </c>
    </row>
    <row r="30" spans="1:4" x14ac:dyDescent="0.25">
      <c r="A30" t="s">
        <v>52</v>
      </c>
      <c r="B30" s="15" t="s">
        <v>106</v>
      </c>
      <c r="C30" s="15">
        <v>3014604</v>
      </c>
      <c r="D30" s="306">
        <v>900</v>
      </c>
    </row>
    <row r="31" spans="1:4" x14ac:dyDescent="0.25">
      <c r="A31" t="s">
        <v>52</v>
      </c>
      <c r="B31" s="15" t="s">
        <v>183</v>
      </c>
      <c r="C31" s="15">
        <v>3016401</v>
      </c>
      <c r="D31" s="306">
        <v>767</v>
      </c>
    </row>
    <row r="32" spans="1:4" x14ac:dyDescent="0.25">
      <c r="A32" t="s">
        <v>52</v>
      </c>
      <c r="B32" s="15" t="s">
        <v>182</v>
      </c>
      <c r="C32" s="303">
        <v>1192486</v>
      </c>
      <c r="D32" s="306">
        <v>767</v>
      </c>
    </row>
    <row r="33" spans="1:32" x14ac:dyDescent="0.25">
      <c r="A33" t="s">
        <v>52</v>
      </c>
      <c r="B33" s="15" t="s">
        <v>107</v>
      </c>
      <c r="C33" s="304">
        <v>3011392</v>
      </c>
      <c r="D33" s="306">
        <v>267.41000000000003</v>
      </c>
    </row>
    <row r="34" spans="1:32" x14ac:dyDescent="0.25">
      <c r="A34" t="s">
        <v>52</v>
      </c>
      <c r="B34" s="2" t="s">
        <v>108</v>
      </c>
      <c r="C34" s="304">
        <v>3010212</v>
      </c>
      <c r="D34" s="306">
        <v>267.41000000000003</v>
      </c>
    </row>
    <row r="35" spans="1:32" x14ac:dyDescent="0.25">
      <c r="A35" t="s">
        <v>52</v>
      </c>
      <c r="B35" s="15" t="s">
        <v>178</v>
      </c>
      <c r="C35" s="15">
        <v>7010288</v>
      </c>
      <c r="D35" s="306">
        <v>546</v>
      </c>
    </row>
    <row r="36" spans="1:32" x14ac:dyDescent="0.25">
      <c r="A36" t="s">
        <v>52</v>
      </c>
      <c r="B36" s="15" t="s">
        <v>109</v>
      </c>
      <c r="C36" s="303">
        <v>3010217</v>
      </c>
      <c r="D36" s="306">
        <v>689.36</v>
      </c>
    </row>
    <row r="37" spans="1:32" x14ac:dyDescent="0.25">
      <c r="A37" t="s">
        <v>52</v>
      </c>
      <c r="B37" s="15" t="s">
        <v>110</v>
      </c>
      <c r="C37" s="303">
        <v>7003566</v>
      </c>
      <c r="D37" s="306">
        <v>689.36</v>
      </c>
    </row>
    <row r="38" spans="1:32" x14ac:dyDescent="0.25">
      <c r="A38" t="s">
        <v>52</v>
      </c>
      <c r="B38" s="15" t="s">
        <v>111</v>
      </c>
      <c r="C38" s="303">
        <v>7006207</v>
      </c>
      <c r="D38" s="306">
        <v>773</v>
      </c>
    </row>
    <row r="39" spans="1:32" x14ac:dyDescent="0.25">
      <c r="A39" t="s">
        <v>52</v>
      </c>
      <c r="B39" s="15" t="s">
        <v>112</v>
      </c>
      <c r="C39" s="303" t="s">
        <v>113</v>
      </c>
      <c r="D39" s="306">
        <v>773</v>
      </c>
    </row>
    <row r="40" spans="1:32" x14ac:dyDescent="0.25">
      <c r="A40" t="s">
        <v>52</v>
      </c>
      <c r="B40" s="2" t="s">
        <v>114</v>
      </c>
      <c r="C40" s="15">
        <v>3010216</v>
      </c>
      <c r="D40" s="306">
        <v>199.03</v>
      </c>
    </row>
    <row r="41" spans="1:32" x14ac:dyDescent="0.25">
      <c r="A41" t="s">
        <v>52</v>
      </c>
      <c r="B41" s="2" t="s">
        <v>115</v>
      </c>
      <c r="C41" s="15">
        <v>3010221</v>
      </c>
      <c r="D41" s="306">
        <v>265.2</v>
      </c>
    </row>
    <row r="42" spans="1:32" x14ac:dyDescent="0.25">
      <c r="B42" s="2" t="s">
        <v>116</v>
      </c>
      <c r="C42" s="15">
        <v>3010222</v>
      </c>
      <c r="D42" s="306">
        <v>239.32</v>
      </c>
    </row>
    <row r="43" spans="1:32" x14ac:dyDescent="0.25">
      <c r="A43" t="s">
        <v>52</v>
      </c>
      <c r="B43" s="15" t="s">
        <v>117</v>
      </c>
      <c r="C43" s="15">
        <v>3011390</v>
      </c>
      <c r="D43" s="306">
        <v>225.9</v>
      </c>
    </row>
    <row r="44" spans="1:32" x14ac:dyDescent="0.25">
      <c r="A44" t="s">
        <v>52</v>
      </c>
      <c r="B44" s="15" t="s">
        <v>118</v>
      </c>
      <c r="C44" s="15">
        <v>7006735</v>
      </c>
      <c r="D44" s="306">
        <v>697</v>
      </c>
      <c r="AF44" s="366"/>
    </row>
    <row r="45" spans="1:32" x14ac:dyDescent="0.25">
      <c r="A45" t="s">
        <v>52</v>
      </c>
      <c r="B45" s="15" t="s">
        <v>119</v>
      </c>
      <c r="C45" s="15">
        <v>7010197</v>
      </c>
      <c r="D45" s="306">
        <v>246</v>
      </c>
    </row>
    <row r="46" spans="1:32" x14ac:dyDescent="0.25">
      <c r="A46" t="s">
        <v>52</v>
      </c>
      <c r="B46" s="15" t="s">
        <v>120</v>
      </c>
      <c r="C46" s="15">
        <v>7001415</v>
      </c>
      <c r="D46" s="306">
        <v>256</v>
      </c>
    </row>
    <row r="47" spans="1:32" x14ac:dyDescent="0.25">
      <c r="A47" t="s">
        <v>52</v>
      </c>
      <c r="B47" s="15" t="s">
        <v>121</v>
      </c>
      <c r="C47" s="15">
        <v>7003211</v>
      </c>
      <c r="D47" s="306">
        <v>814</v>
      </c>
    </row>
    <row r="48" spans="1:32" x14ac:dyDescent="0.25">
      <c r="A48" t="s">
        <v>52</v>
      </c>
      <c r="B48" s="15" t="s">
        <v>122</v>
      </c>
      <c r="C48" s="15">
        <v>7006561</v>
      </c>
      <c r="D48" s="306">
        <v>1380</v>
      </c>
      <c r="F48" s="5"/>
      <c r="G48" s="5"/>
      <c r="H48" s="5"/>
      <c r="I48" s="5"/>
      <c r="J48" s="5"/>
      <c r="K48" s="5"/>
    </row>
    <row r="49" spans="1:5" x14ac:dyDescent="0.25">
      <c r="A49" t="s">
        <v>163</v>
      </c>
      <c r="B49" t="s">
        <v>164</v>
      </c>
      <c r="C49" s="304"/>
      <c r="D49" s="307">
        <v>0.28860000000000002</v>
      </c>
    </row>
    <row r="50" spans="1:5" x14ac:dyDescent="0.25">
      <c r="A50" t="s">
        <v>8</v>
      </c>
      <c r="B50" t="s">
        <v>165</v>
      </c>
      <c r="D50" s="306">
        <v>92.5</v>
      </c>
      <c r="E50" s="8">
        <f>D50*(1+D51)</f>
        <v>105.32050000000001</v>
      </c>
    </row>
    <row r="51" spans="1:5" x14ac:dyDescent="0.25">
      <c r="A51" t="s">
        <v>166</v>
      </c>
      <c r="B51" t="s">
        <v>167</v>
      </c>
      <c r="D51" s="307">
        <v>0.1386</v>
      </c>
      <c r="E51" s="8"/>
    </row>
    <row r="52" spans="1:5" x14ac:dyDescent="0.25">
      <c r="A52" t="s">
        <v>8</v>
      </c>
      <c r="B52" t="s">
        <v>168</v>
      </c>
      <c r="D52" s="306">
        <v>0.86</v>
      </c>
      <c r="E52" s="8"/>
    </row>
    <row r="53" spans="1:5" x14ac:dyDescent="0.25">
      <c r="A53" t="s">
        <v>8</v>
      </c>
      <c r="B53" t="s">
        <v>169</v>
      </c>
      <c r="D53" s="306">
        <v>0.93</v>
      </c>
      <c r="E53" s="8"/>
    </row>
    <row r="54" spans="1:5" x14ac:dyDescent="0.25">
      <c r="A54" t="s">
        <v>8</v>
      </c>
      <c r="B54" t="s">
        <v>170</v>
      </c>
      <c r="D54" s="306">
        <v>40.5</v>
      </c>
      <c r="E54" s="8"/>
    </row>
    <row r="55" spans="1:5" x14ac:dyDescent="0.25">
      <c r="A55" t="s">
        <v>8</v>
      </c>
      <c r="B55" t="s">
        <v>171</v>
      </c>
      <c r="D55" s="306">
        <v>60</v>
      </c>
      <c r="E55" s="8"/>
    </row>
    <row r="56" spans="1:5" x14ac:dyDescent="0.25">
      <c r="A56" t="s">
        <v>8</v>
      </c>
      <c r="B56" t="s">
        <v>172</v>
      </c>
      <c r="D56" s="306">
        <v>211.3</v>
      </c>
      <c r="E56" s="8"/>
    </row>
    <row r="57" spans="1:5" x14ac:dyDescent="0.25">
      <c r="A57" t="s">
        <v>8</v>
      </c>
      <c r="B57" t="s">
        <v>173</v>
      </c>
      <c r="D57" s="306">
        <v>155.9</v>
      </c>
      <c r="E57" s="8"/>
    </row>
    <row r="58" spans="1:5" x14ac:dyDescent="0.25">
      <c r="A58" t="s">
        <v>8</v>
      </c>
      <c r="B58" t="s">
        <v>174</v>
      </c>
      <c r="D58" s="306">
        <v>137.55000000000001</v>
      </c>
      <c r="E58" s="8"/>
    </row>
    <row r="59" spans="1:5" x14ac:dyDescent="0.25">
      <c r="A59" t="s">
        <v>8</v>
      </c>
      <c r="B59" t="s">
        <v>175</v>
      </c>
      <c r="D59" s="306">
        <v>113.95</v>
      </c>
      <c r="E59" s="8"/>
    </row>
    <row r="60" spans="1:5" x14ac:dyDescent="0.25">
      <c r="A60" t="s">
        <v>8</v>
      </c>
      <c r="B60" t="s">
        <v>176</v>
      </c>
      <c r="D60" s="306">
        <v>296.95</v>
      </c>
      <c r="E60" s="8"/>
    </row>
    <row r="61" spans="1:5" x14ac:dyDescent="0.25">
      <c r="A61" t="s">
        <v>8</v>
      </c>
      <c r="B61" t="s">
        <v>180</v>
      </c>
      <c r="D61" s="306">
        <v>47.5</v>
      </c>
      <c r="E61" s="8"/>
    </row>
    <row r="62" spans="1:5" x14ac:dyDescent="0.25">
      <c r="A62" t="s">
        <v>8</v>
      </c>
      <c r="B62" t="s">
        <v>220</v>
      </c>
      <c r="D62" s="306">
        <v>57.5</v>
      </c>
      <c r="E62" s="8">
        <f>D62*(1+$D$51)</f>
        <v>65.469499999999996</v>
      </c>
    </row>
  </sheetData>
  <pageMargins left="1" right="1" top="1" bottom="1.75" header="0.5" footer="0.5"/>
  <pageSetup scale="86"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zoomScaleNormal="100" workbookViewId="0"/>
  </sheetViews>
  <sheetFormatPr defaultRowHeight="15" x14ac:dyDescent="0.25"/>
  <cols>
    <col min="1" max="1" width="10" style="308" bestFit="1" customWidth="1"/>
    <col min="2" max="2" width="64.7109375" style="308" bestFit="1" customWidth="1"/>
    <col min="3" max="3" width="16" style="314" bestFit="1" customWidth="1"/>
    <col min="4" max="4" width="11.7109375" style="308" bestFit="1" customWidth="1"/>
    <col min="5" max="9" width="9.140625" style="21"/>
    <col min="10" max="10" width="13.85546875" style="21" customWidth="1"/>
    <col min="11" max="11" width="9.42578125" style="113" customWidth="1"/>
    <col min="12" max="12" width="9.140625" style="113"/>
    <col min="13" max="13" width="9.5703125" bestFit="1" customWidth="1"/>
  </cols>
  <sheetData>
    <row r="1" spans="1:13" x14ac:dyDescent="0.25">
      <c r="A1" s="309"/>
      <c r="B1" s="309"/>
      <c r="C1" s="310"/>
      <c r="D1" s="309"/>
      <c r="E1" s="361" t="s">
        <v>591</v>
      </c>
      <c r="F1" s="362"/>
      <c r="G1" s="362"/>
      <c r="H1" s="362"/>
      <c r="I1" s="363"/>
      <c r="J1" s="315"/>
    </row>
    <row r="2" spans="1:13" x14ac:dyDescent="0.25">
      <c r="A2" s="309" t="s">
        <v>73</v>
      </c>
      <c r="B2" s="309" t="s">
        <v>74</v>
      </c>
      <c r="C2" s="311" t="s">
        <v>75</v>
      </c>
      <c r="D2" s="316" t="s">
        <v>76</v>
      </c>
      <c r="E2" s="317">
        <v>2017</v>
      </c>
      <c r="F2" s="317">
        <v>2016</v>
      </c>
      <c r="G2" s="317">
        <v>2015</v>
      </c>
      <c r="H2" s="317">
        <v>2014</v>
      </c>
      <c r="I2" s="317">
        <v>2013</v>
      </c>
      <c r="J2" s="315"/>
    </row>
    <row r="3" spans="1:13" x14ac:dyDescent="0.25">
      <c r="A3" s="308" t="s">
        <v>145</v>
      </c>
      <c r="B3" s="308" t="s">
        <v>206</v>
      </c>
      <c r="C3" s="25">
        <v>7006327</v>
      </c>
      <c r="D3" s="26">
        <v>0.32</v>
      </c>
      <c r="E3" s="22"/>
      <c r="F3" s="22"/>
      <c r="G3" s="22"/>
      <c r="H3" s="22"/>
      <c r="I3" s="22"/>
    </row>
    <row r="4" spans="1:13" x14ac:dyDescent="0.25">
      <c r="A4" s="308" t="s">
        <v>137</v>
      </c>
      <c r="B4" s="308" t="s">
        <v>204</v>
      </c>
      <c r="C4" s="25">
        <v>7010720</v>
      </c>
      <c r="D4" s="26">
        <v>26.46</v>
      </c>
      <c r="E4" s="22">
        <v>475</v>
      </c>
      <c r="F4" s="22">
        <v>290</v>
      </c>
      <c r="G4" s="22">
        <v>510</v>
      </c>
      <c r="H4" s="22">
        <v>470</v>
      </c>
      <c r="I4" s="22">
        <v>49</v>
      </c>
    </row>
    <row r="5" spans="1:13" x14ac:dyDescent="0.25">
      <c r="A5" s="308" t="s">
        <v>137</v>
      </c>
      <c r="B5" s="308" t="s">
        <v>205</v>
      </c>
      <c r="C5" s="25">
        <v>7010724</v>
      </c>
      <c r="D5" s="26">
        <v>7.72</v>
      </c>
      <c r="E5" s="22">
        <v>370</v>
      </c>
      <c r="F5" s="22">
        <v>690</v>
      </c>
      <c r="G5" s="22">
        <v>570</v>
      </c>
      <c r="H5" s="22">
        <v>490</v>
      </c>
      <c r="I5" s="22">
        <v>586</v>
      </c>
    </row>
    <row r="6" spans="1:13" x14ac:dyDescent="0.25">
      <c r="A6" s="308" t="s">
        <v>138</v>
      </c>
      <c r="B6" s="308" t="s">
        <v>139</v>
      </c>
      <c r="C6" s="25">
        <v>7000888</v>
      </c>
      <c r="D6" s="26">
        <v>9.59</v>
      </c>
      <c r="E6" s="22"/>
      <c r="F6" s="22"/>
      <c r="G6" s="22"/>
      <c r="H6" s="22"/>
      <c r="I6" s="22"/>
      <c r="K6" s="318"/>
      <c r="L6" s="319"/>
    </row>
    <row r="7" spans="1:13" x14ac:dyDescent="0.25">
      <c r="A7" s="308" t="s">
        <v>138</v>
      </c>
      <c r="B7" s="308" t="s">
        <v>53</v>
      </c>
      <c r="C7" s="25">
        <v>7000887</v>
      </c>
      <c r="D7" s="26">
        <v>1.55</v>
      </c>
      <c r="E7" s="22"/>
      <c r="F7" s="22"/>
      <c r="G7" s="22"/>
      <c r="H7" s="22"/>
      <c r="I7" s="22"/>
      <c r="J7" s="21" t="s">
        <v>592</v>
      </c>
    </row>
    <row r="8" spans="1:13" x14ac:dyDescent="0.25">
      <c r="A8" s="308" t="s">
        <v>146</v>
      </c>
      <c r="B8" s="308" t="s">
        <v>147</v>
      </c>
      <c r="C8" s="28" t="s">
        <v>202</v>
      </c>
      <c r="D8" s="26">
        <v>34.06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320">
        <f>'Maintenance &amp; NBV'!B23+'Maintenance &amp; NBV'!B24</f>
        <v>182245</v>
      </c>
      <c r="K8" s="320"/>
      <c r="L8" s="319"/>
    </row>
    <row r="9" spans="1:13" x14ac:dyDescent="0.25">
      <c r="A9" s="308" t="s">
        <v>146</v>
      </c>
      <c r="B9" s="308" t="s">
        <v>148</v>
      </c>
      <c r="C9" s="312">
        <v>1186386</v>
      </c>
      <c r="D9" s="26">
        <v>6.85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K9" s="321"/>
      <c r="L9" s="319"/>
    </row>
    <row r="10" spans="1:13" x14ac:dyDescent="0.25">
      <c r="A10" s="308" t="s">
        <v>146</v>
      </c>
      <c r="B10" s="308" t="s">
        <v>148</v>
      </c>
      <c r="C10" s="312">
        <v>7001345</v>
      </c>
      <c r="D10" s="26">
        <v>6.85</v>
      </c>
      <c r="E10" s="22">
        <v>12155</v>
      </c>
      <c r="F10" s="22">
        <v>12920</v>
      </c>
      <c r="G10" s="22">
        <v>13436</v>
      </c>
      <c r="H10" s="22">
        <v>12746</v>
      </c>
      <c r="I10" s="22">
        <v>13578</v>
      </c>
      <c r="K10" s="322"/>
      <c r="L10" s="319"/>
      <c r="M10" s="8"/>
    </row>
    <row r="11" spans="1:13" x14ac:dyDescent="0.25">
      <c r="A11" s="308" t="s">
        <v>146</v>
      </c>
      <c r="B11" s="308" t="s">
        <v>149</v>
      </c>
      <c r="C11" s="312">
        <v>1186394</v>
      </c>
      <c r="D11" s="26">
        <v>8.23</v>
      </c>
      <c r="E11" s="22">
        <v>0</v>
      </c>
      <c r="F11" s="22">
        <v>20</v>
      </c>
      <c r="G11" s="22">
        <v>60</v>
      </c>
      <c r="H11" s="22">
        <v>0</v>
      </c>
      <c r="I11" s="22">
        <v>60</v>
      </c>
      <c r="K11" s="322"/>
      <c r="L11" s="319"/>
      <c r="M11" s="8"/>
    </row>
    <row r="12" spans="1:13" x14ac:dyDescent="0.25">
      <c r="A12" s="308" t="s">
        <v>146</v>
      </c>
      <c r="B12" s="308" t="s">
        <v>150</v>
      </c>
      <c r="C12" s="312">
        <v>7001346</v>
      </c>
      <c r="D12" s="26">
        <v>8.23</v>
      </c>
      <c r="E12" s="22">
        <v>2306</v>
      </c>
      <c r="F12" s="22">
        <v>3317</v>
      </c>
      <c r="G12" s="22">
        <v>2958</v>
      </c>
      <c r="H12" s="22">
        <v>2624</v>
      </c>
      <c r="I12" s="22">
        <v>3064</v>
      </c>
      <c r="K12" s="322"/>
      <c r="L12" s="319"/>
      <c r="M12" s="8"/>
    </row>
    <row r="13" spans="1:13" x14ac:dyDescent="0.25">
      <c r="A13" s="308" t="s">
        <v>146</v>
      </c>
      <c r="B13" s="308" t="s">
        <v>151</v>
      </c>
      <c r="C13" s="312">
        <v>1186401</v>
      </c>
      <c r="D13" s="26">
        <v>7.34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K13" s="322"/>
      <c r="L13" s="319"/>
      <c r="M13" s="8"/>
    </row>
    <row r="14" spans="1:13" x14ac:dyDescent="0.25">
      <c r="A14" s="308" t="s">
        <v>146</v>
      </c>
      <c r="B14" s="308" t="s">
        <v>152</v>
      </c>
      <c r="C14" s="312">
        <v>1186419</v>
      </c>
      <c r="D14" s="26">
        <v>8.42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K14" s="322"/>
      <c r="L14" s="319"/>
      <c r="M14" s="8"/>
    </row>
    <row r="15" spans="1:13" x14ac:dyDescent="0.25">
      <c r="A15" s="308" t="s">
        <v>146</v>
      </c>
      <c r="B15" s="308" t="s">
        <v>152</v>
      </c>
      <c r="C15" s="312">
        <v>7001347</v>
      </c>
      <c r="D15" s="26">
        <v>8.42</v>
      </c>
      <c r="E15" s="22">
        <v>2493</v>
      </c>
      <c r="F15" s="22">
        <v>3000</v>
      </c>
      <c r="G15" s="22">
        <v>3421</v>
      </c>
      <c r="H15" s="22">
        <v>2417</v>
      </c>
      <c r="I15" s="22">
        <v>3160</v>
      </c>
      <c r="K15" s="322"/>
      <c r="L15" s="319"/>
      <c r="M15" s="8"/>
    </row>
    <row r="16" spans="1:13" x14ac:dyDescent="0.25">
      <c r="A16" s="308" t="s">
        <v>146</v>
      </c>
      <c r="B16" s="308" t="s">
        <v>153</v>
      </c>
      <c r="C16" s="312">
        <v>7001343</v>
      </c>
      <c r="D16" s="26">
        <v>7.58</v>
      </c>
      <c r="E16" s="22">
        <v>1713</v>
      </c>
      <c r="F16" s="22">
        <v>2403</v>
      </c>
      <c r="G16" s="22">
        <v>2124</v>
      </c>
      <c r="H16" s="22">
        <v>1696</v>
      </c>
      <c r="I16" s="22">
        <v>2373</v>
      </c>
      <c r="K16" s="322"/>
      <c r="L16" s="319"/>
      <c r="M16" s="8"/>
    </row>
    <row r="17" spans="1:13" x14ac:dyDescent="0.25">
      <c r="A17" s="308" t="s">
        <v>146</v>
      </c>
      <c r="B17" s="308" t="s">
        <v>154</v>
      </c>
      <c r="C17" s="28" t="s">
        <v>203</v>
      </c>
      <c r="D17" s="26">
        <v>6.85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K17" s="322"/>
      <c r="L17" s="319"/>
      <c r="M17" s="8"/>
    </row>
    <row r="18" spans="1:13" x14ac:dyDescent="0.25">
      <c r="A18" s="308" t="s">
        <v>146</v>
      </c>
      <c r="B18" s="308" t="s">
        <v>154</v>
      </c>
      <c r="C18" s="312">
        <v>7001344</v>
      </c>
      <c r="D18" s="26">
        <v>6.85</v>
      </c>
      <c r="E18" s="22">
        <v>3504</v>
      </c>
      <c r="F18" s="22">
        <v>3458</v>
      </c>
      <c r="G18" s="22">
        <v>3394</v>
      </c>
      <c r="H18" s="22">
        <v>3130</v>
      </c>
      <c r="I18" s="22">
        <v>3230</v>
      </c>
      <c r="K18" s="322"/>
      <c r="L18" s="319"/>
      <c r="M18" s="8"/>
    </row>
    <row r="19" spans="1:13" x14ac:dyDescent="0.25">
      <c r="A19" s="308" t="s">
        <v>146</v>
      </c>
      <c r="B19" s="308" t="s">
        <v>155</v>
      </c>
      <c r="C19" s="312">
        <v>7005980</v>
      </c>
      <c r="D19" s="26">
        <v>22.98</v>
      </c>
      <c r="E19" s="22">
        <v>534</v>
      </c>
      <c r="F19" s="22">
        <v>804</v>
      </c>
      <c r="G19" s="22">
        <v>696</v>
      </c>
      <c r="H19" s="22">
        <v>640</v>
      </c>
      <c r="I19" s="22">
        <v>592</v>
      </c>
      <c r="K19" s="322"/>
      <c r="L19" s="319"/>
      <c r="M19" s="8"/>
    </row>
    <row r="20" spans="1:13" x14ac:dyDescent="0.25">
      <c r="A20" s="308" t="s">
        <v>146</v>
      </c>
      <c r="B20" s="308" t="s">
        <v>156</v>
      </c>
      <c r="C20" s="312">
        <v>7005978</v>
      </c>
      <c r="D20" s="26">
        <v>11.16</v>
      </c>
      <c r="E20" s="22">
        <f>210+E22</f>
        <v>290</v>
      </c>
      <c r="F20" s="22">
        <f>286+F22</f>
        <v>434</v>
      </c>
      <c r="G20" s="22">
        <f>246+G22</f>
        <v>330</v>
      </c>
      <c r="H20" s="22">
        <f>138+H22</f>
        <v>313</v>
      </c>
      <c r="I20" s="22">
        <f>336+I22</f>
        <v>515</v>
      </c>
      <c r="K20" s="322"/>
      <c r="L20" s="319"/>
      <c r="M20" s="8"/>
    </row>
    <row r="21" spans="1:13" x14ac:dyDescent="0.25">
      <c r="A21" s="308" t="s">
        <v>146</v>
      </c>
      <c r="B21" s="308" t="s">
        <v>157</v>
      </c>
      <c r="C21" s="312">
        <v>7005979</v>
      </c>
      <c r="D21" s="26">
        <v>11.16</v>
      </c>
      <c r="E21" s="22">
        <f>822+E23</f>
        <v>1242</v>
      </c>
      <c r="F21" s="22">
        <f>1288+F23</f>
        <v>1624</v>
      </c>
      <c r="G21" s="22">
        <f>1820+G23</f>
        <v>2168</v>
      </c>
      <c r="H21" s="22">
        <f>1632+H23</f>
        <v>1848</v>
      </c>
      <c r="I21" s="22">
        <f>1320+I23</f>
        <v>1582</v>
      </c>
      <c r="K21" s="322"/>
      <c r="L21" s="319"/>
      <c r="M21" s="8"/>
    </row>
    <row r="22" spans="1:13" hidden="1" x14ac:dyDescent="0.25">
      <c r="A22" s="308" t="s">
        <v>146</v>
      </c>
      <c r="B22" s="308" t="s">
        <v>158</v>
      </c>
      <c r="C22" s="312">
        <v>3005449</v>
      </c>
      <c r="D22" s="26">
        <v>19.78</v>
      </c>
      <c r="E22" s="22">
        <v>80</v>
      </c>
      <c r="F22" s="22">
        <v>148</v>
      </c>
      <c r="G22" s="22">
        <v>84</v>
      </c>
      <c r="H22" s="22">
        <v>175</v>
      </c>
      <c r="I22" s="22">
        <v>179</v>
      </c>
      <c r="K22" s="322"/>
      <c r="L22" s="319"/>
      <c r="M22" s="8"/>
    </row>
    <row r="23" spans="1:13" hidden="1" x14ac:dyDescent="0.25">
      <c r="A23" s="308" t="s">
        <v>146</v>
      </c>
      <c r="B23" s="308" t="s">
        <v>159</v>
      </c>
      <c r="C23" s="312">
        <v>3005450</v>
      </c>
      <c r="D23" s="26">
        <v>23.21</v>
      </c>
      <c r="E23" s="22">
        <v>420</v>
      </c>
      <c r="F23" s="22">
        <v>336</v>
      </c>
      <c r="G23" s="22">
        <v>348</v>
      </c>
      <c r="H23" s="22">
        <v>216</v>
      </c>
      <c r="I23" s="22">
        <v>262</v>
      </c>
      <c r="K23" s="322"/>
      <c r="L23" s="319"/>
      <c r="M23" s="8"/>
    </row>
    <row r="24" spans="1:13" x14ac:dyDescent="0.25">
      <c r="A24" s="308" t="s">
        <v>146</v>
      </c>
      <c r="B24" s="308" t="s">
        <v>160</v>
      </c>
      <c r="C24" s="312">
        <v>1186360</v>
      </c>
      <c r="D24" s="26">
        <v>5.51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K24" s="322"/>
      <c r="L24" s="319"/>
      <c r="M24" s="8"/>
    </row>
    <row r="25" spans="1:13" x14ac:dyDescent="0.25">
      <c r="A25" s="308" t="s">
        <v>146</v>
      </c>
      <c r="B25" s="308" t="s">
        <v>160</v>
      </c>
      <c r="C25" s="312">
        <v>7001348</v>
      </c>
      <c r="D25" s="26">
        <v>5.51</v>
      </c>
      <c r="E25" s="22">
        <v>492</v>
      </c>
      <c r="F25" s="22">
        <v>661</v>
      </c>
      <c r="G25" s="22">
        <v>552</v>
      </c>
      <c r="H25" s="22">
        <v>540</v>
      </c>
      <c r="I25" s="22">
        <v>677</v>
      </c>
      <c r="K25" s="322"/>
      <c r="L25" s="319"/>
      <c r="M25" s="8"/>
    </row>
    <row r="26" spans="1:13" x14ac:dyDescent="0.25">
      <c r="A26" s="308" t="s">
        <v>146</v>
      </c>
      <c r="B26" s="308" t="s">
        <v>161</v>
      </c>
      <c r="C26" s="312">
        <v>1186378</v>
      </c>
      <c r="D26" s="26">
        <v>6.39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K26" s="322"/>
      <c r="L26" s="319"/>
      <c r="M26" s="8"/>
    </row>
    <row r="27" spans="1:13" x14ac:dyDescent="0.25">
      <c r="A27" s="308" t="s">
        <v>146</v>
      </c>
      <c r="B27" s="308" t="s">
        <v>161</v>
      </c>
      <c r="C27" s="312">
        <v>7001349</v>
      </c>
      <c r="D27" s="26">
        <v>6.39</v>
      </c>
      <c r="E27" s="22">
        <v>144</v>
      </c>
      <c r="F27" s="22">
        <v>191</v>
      </c>
      <c r="G27" s="22">
        <v>59</v>
      </c>
      <c r="H27" s="22">
        <v>0</v>
      </c>
      <c r="I27" s="22">
        <v>216</v>
      </c>
      <c r="K27" s="322"/>
      <c r="L27" s="319"/>
      <c r="M27" s="8"/>
    </row>
    <row r="28" spans="1:13" x14ac:dyDescent="0.25">
      <c r="A28" s="308" t="s">
        <v>146</v>
      </c>
      <c r="B28" s="308" t="s">
        <v>162</v>
      </c>
      <c r="C28" s="312">
        <v>1186427</v>
      </c>
      <c r="D28" s="26">
        <v>7.32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K28" s="322"/>
      <c r="L28" s="319"/>
      <c r="M28" s="8"/>
    </row>
    <row r="29" spans="1:13" x14ac:dyDescent="0.25">
      <c r="A29" s="308" t="s">
        <v>146</v>
      </c>
      <c r="B29" s="308" t="s">
        <v>162</v>
      </c>
      <c r="C29" s="312">
        <v>7001350</v>
      </c>
      <c r="D29" s="26">
        <v>7.32</v>
      </c>
      <c r="E29" s="22">
        <v>342</v>
      </c>
      <c r="F29" s="22">
        <v>418</v>
      </c>
      <c r="G29" s="22">
        <v>282</v>
      </c>
      <c r="H29" s="22">
        <v>162</v>
      </c>
      <c r="I29" s="22">
        <v>438</v>
      </c>
      <c r="K29" s="322"/>
      <c r="L29" s="319"/>
      <c r="M29" s="8"/>
    </row>
    <row r="30" spans="1:13" x14ac:dyDescent="0.25">
      <c r="A30" s="308" t="s">
        <v>123</v>
      </c>
      <c r="B30" s="308" t="s">
        <v>124</v>
      </c>
      <c r="C30" s="25">
        <v>1185735</v>
      </c>
      <c r="D30" s="26">
        <v>32.479999999999997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L30" s="319" t="s">
        <v>593</v>
      </c>
      <c r="M30" s="8"/>
    </row>
    <row r="31" spans="1:13" x14ac:dyDescent="0.25">
      <c r="A31" s="308" t="s">
        <v>123</v>
      </c>
      <c r="B31" s="308" t="s">
        <v>125</v>
      </c>
      <c r="C31" s="25">
        <v>7002216</v>
      </c>
      <c r="D31" s="26">
        <v>71.83</v>
      </c>
      <c r="E31" s="22">
        <v>38</v>
      </c>
      <c r="F31" s="22">
        <v>10</v>
      </c>
      <c r="G31" s="22">
        <v>0</v>
      </c>
      <c r="H31" s="22">
        <v>0</v>
      </c>
      <c r="I31" s="22">
        <v>0</v>
      </c>
      <c r="J31" s="21">
        <f t="shared" ref="J31:J36" si="0">SUM(E31:I31)</f>
        <v>48</v>
      </c>
      <c r="K31" s="113">
        <f t="shared" ref="K31:K36" si="1">J31/$J$37</f>
        <v>4.8484848484848485E-2</v>
      </c>
      <c r="L31" s="285">
        <f t="shared" ref="L31:L36" si="2">D31*K31</f>
        <v>3.4826666666666668</v>
      </c>
    </row>
    <row r="32" spans="1:13" x14ac:dyDescent="0.25">
      <c r="A32" s="308" t="s">
        <v>123</v>
      </c>
      <c r="B32" s="308" t="s">
        <v>126</v>
      </c>
      <c r="C32" s="25">
        <v>7001369</v>
      </c>
      <c r="D32" s="26">
        <v>64.92</v>
      </c>
      <c r="E32" s="22">
        <v>121</v>
      </c>
      <c r="F32" s="22">
        <v>147</v>
      </c>
      <c r="G32" s="22">
        <v>117</v>
      </c>
      <c r="H32" s="22">
        <v>43</v>
      </c>
      <c r="I32" s="22">
        <v>35</v>
      </c>
      <c r="J32" s="21">
        <f t="shared" si="0"/>
        <v>463</v>
      </c>
      <c r="K32" s="113">
        <f t="shared" si="1"/>
        <v>0.46767676767676769</v>
      </c>
      <c r="L32" s="285">
        <f t="shared" si="2"/>
        <v>30.361575757575761</v>
      </c>
    </row>
    <row r="33" spans="1:32" x14ac:dyDescent="0.25">
      <c r="A33" s="308" t="s">
        <v>123</v>
      </c>
      <c r="B33" s="308" t="s">
        <v>127</v>
      </c>
      <c r="C33" s="25">
        <v>7001370</v>
      </c>
      <c r="D33" s="26">
        <v>106.08</v>
      </c>
      <c r="E33" s="22">
        <v>59</v>
      </c>
      <c r="F33" s="22">
        <v>66</v>
      </c>
      <c r="G33" s="22">
        <v>53</v>
      </c>
      <c r="H33" s="22">
        <v>83</v>
      </c>
      <c r="I33" s="22">
        <v>95</v>
      </c>
      <c r="J33" s="21">
        <f t="shared" si="0"/>
        <v>356</v>
      </c>
      <c r="K33" s="113">
        <f t="shared" si="1"/>
        <v>0.35959595959595958</v>
      </c>
      <c r="L33" s="285">
        <f t="shared" si="2"/>
        <v>38.145939393939393</v>
      </c>
    </row>
    <row r="34" spans="1:32" x14ac:dyDescent="0.25">
      <c r="A34" s="308" t="s">
        <v>123</v>
      </c>
      <c r="B34" s="308" t="s">
        <v>128</v>
      </c>
      <c r="C34" s="25">
        <v>7001720</v>
      </c>
      <c r="D34" s="26">
        <v>162.93</v>
      </c>
      <c r="E34" s="22">
        <v>24</v>
      </c>
      <c r="F34" s="22">
        <v>10</v>
      </c>
      <c r="G34" s="22">
        <v>20</v>
      </c>
      <c r="H34" s="22">
        <v>0</v>
      </c>
      <c r="I34" s="22">
        <v>5</v>
      </c>
      <c r="J34" s="21">
        <f t="shared" si="0"/>
        <v>59</v>
      </c>
      <c r="K34" s="113">
        <f t="shared" si="1"/>
        <v>5.9595959595959598E-2</v>
      </c>
      <c r="L34" s="285">
        <f t="shared" si="2"/>
        <v>9.7099696969696971</v>
      </c>
    </row>
    <row r="35" spans="1:32" x14ac:dyDescent="0.25">
      <c r="A35" s="308" t="s">
        <v>123</v>
      </c>
      <c r="B35" s="308" t="s">
        <v>129</v>
      </c>
      <c r="C35" s="25">
        <v>7001721</v>
      </c>
      <c r="D35" s="26">
        <v>195.59</v>
      </c>
      <c r="E35" s="22">
        <v>3</v>
      </c>
      <c r="F35" s="22">
        <v>6</v>
      </c>
      <c r="G35" s="22">
        <v>13</v>
      </c>
      <c r="H35" s="22">
        <v>3</v>
      </c>
      <c r="I35" s="22">
        <v>0</v>
      </c>
      <c r="J35" s="21">
        <f t="shared" si="0"/>
        <v>25</v>
      </c>
      <c r="K35" s="113">
        <f t="shared" si="1"/>
        <v>2.5252525252525252E-2</v>
      </c>
      <c r="L35" s="285">
        <f t="shared" si="2"/>
        <v>4.9391414141414138</v>
      </c>
    </row>
    <row r="36" spans="1:32" x14ac:dyDescent="0.25">
      <c r="A36" s="308" t="s">
        <v>123</v>
      </c>
      <c r="B36" s="308" t="s">
        <v>130</v>
      </c>
      <c r="C36" s="25">
        <v>7001722</v>
      </c>
      <c r="D36" s="26">
        <v>247.74</v>
      </c>
      <c r="E36" s="22">
        <v>10</v>
      </c>
      <c r="F36" s="22">
        <v>7</v>
      </c>
      <c r="G36" s="22">
        <v>12</v>
      </c>
      <c r="H36" s="22">
        <v>10</v>
      </c>
      <c r="I36" s="22">
        <v>0</v>
      </c>
      <c r="J36" s="21">
        <f t="shared" si="0"/>
        <v>39</v>
      </c>
      <c r="K36" s="113">
        <f t="shared" si="1"/>
        <v>3.9393939393939391E-2</v>
      </c>
      <c r="L36" s="285">
        <f t="shared" si="2"/>
        <v>9.7594545454545454</v>
      </c>
    </row>
    <row r="37" spans="1:32" x14ac:dyDescent="0.25">
      <c r="A37" s="308" t="s">
        <v>123</v>
      </c>
      <c r="B37" s="308" t="s">
        <v>131</v>
      </c>
      <c r="C37" s="313" t="s">
        <v>132</v>
      </c>
      <c r="D37" s="26">
        <v>201.11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1">
        <f>SUM(J30:J36)</f>
        <v>990</v>
      </c>
      <c r="L37" s="285">
        <f>SUM(L31:L36)</f>
        <v>96.398747474747466</v>
      </c>
    </row>
    <row r="38" spans="1:32" x14ac:dyDescent="0.25">
      <c r="A38" s="308" t="s">
        <v>123</v>
      </c>
      <c r="B38" s="308" t="s">
        <v>133</v>
      </c>
      <c r="C38" s="27">
        <v>7001368</v>
      </c>
      <c r="D38" s="26">
        <v>36.47</v>
      </c>
      <c r="E38" s="22">
        <v>403</v>
      </c>
      <c r="F38" s="22">
        <v>527</v>
      </c>
      <c r="G38" s="22">
        <v>387</v>
      </c>
      <c r="H38" s="22">
        <v>373</v>
      </c>
      <c r="I38" s="22">
        <v>430</v>
      </c>
    </row>
    <row r="39" spans="1:32" x14ac:dyDescent="0.25">
      <c r="A39" s="308" t="s">
        <v>140</v>
      </c>
      <c r="B39" s="308" t="s">
        <v>55</v>
      </c>
      <c r="C39" s="25">
        <v>7010086</v>
      </c>
      <c r="D39" s="26">
        <v>0.62</v>
      </c>
      <c r="E39" s="22"/>
      <c r="F39" s="22"/>
      <c r="G39" s="22"/>
      <c r="H39" s="22"/>
      <c r="I39" s="22"/>
    </row>
    <row r="40" spans="1:32" x14ac:dyDescent="0.25">
      <c r="A40" s="308" t="s">
        <v>140</v>
      </c>
      <c r="B40" s="308" t="s">
        <v>141</v>
      </c>
      <c r="C40" s="25" t="s">
        <v>142</v>
      </c>
      <c r="D40" s="26">
        <v>0.4</v>
      </c>
      <c r="E40" s="22"/>
      <c r="F40" s="22"/>
      <c r="G40" s="22"/>
      <c r="H40" s="22"/>
      <c r="I40" s="22"/>
    </row>
    <row r="41" spans="1:32" x14ac:dyDescent="0.25">
      <c r="A41" s="308" t="s">
        <v>140</v>
      </c>
      <c r="B41" s="308" t="s">
        <v>0</v>
      </c>
      <c r="C41" s="25">
        <v>7000259</v>
      </c>
      <c r="D41" s="26">
        <v>1.06</v>
      </c>
      <c r="E41" s="22"/>
      <c r="F41" s="22"/>
      <c r="G41" s="22"/>
      <c r="H41" s="22"/>
      <c r="I41" s="22"/>
    </row>
    <row r="42" spans="1:32" x14ac:dyDescent="0.25">
      <c r="A42" s="308" t="s">
        <v>140</v>
      </c>
      <c r="B42" s="308" t="s">
        <v>6</v>
      </c>
      <c r="C42" s="25">
        <v>7000337</v>
      </c>
      <c r="D42" s="26">
        <v>0.24</v>
      </c>
      <c r="E42" s="22"/>
      <c r="F42" s="22"/>
      <c r="G42" s="22"/>
      <c r="H42" s="22"/>
      <c r="I42" s="22"/>
    </row>
    <row r="43" spans="1:32" x14ac:dyDescent="0.25">
      <c r="A43" s="308" t="s">
        <v>140</v>
      </c>
      <c r="B43" s="308" t="s">
        <v>2</v>
      </c>
      <c r="C43" s="25">
        <v>7003002</v>
      </c>
      <c r="D43" s="26">
        <v>0.6</v>
      </c>
      <c r="E43" s="22"/>
      <c r="F43" s="22"/>
      <c r="G43" s="22"/>
      <c r="H43" s="22"/>
      <c r="I43" s="22"/>
    </row>
    <row r="44" spans="1:32" x14ac:dyDescent="0.25">
      <c r="A44" s="308" t="s">
        <v>140</v>
      </c>
      <c r="B44" s="308" t="s">
        <v>7</v>
      </c>
      <c r="C44" s="25">
        <v>7000911</v>
      </c>
      <c r="D44" s="26">
        <v>3.44</v>
      </c>
      <c r="E44" s="22"/>
      <c r="F44" s="22"/>
      <c r="G44" s="22"/>
      <c r="H44" s="22"/>
      <c r="I44" s="22"/>
      <c r="AF44" s="366"/>
    </row>
    <row r="45" spans="1:32" x14ac:dyDescent="0.25">
      <c r="A45" s="308" t="s">
        <v>140</v>
      </c>
      <c r="B45" s="308" t="s">
        <v>4</v>
      </c>
      <c r="C45" s="25">
        <v>7001268</v>
      </c>
      <c r="D45" s="26">
        <v>0.72</v>
      </c>
      <c r="E45" s="22"/>
      <c r="F45" s="22"/>
      <c r="G45" s="22"/>
      <c r="H45" s="22"/>
      <c r="I45" s="22"/>
    </row>
    <row r="46" spans="1:32" x14ac:dyDescent="0.25">
      <c r="A46" s="308" t="s">
        <v>140</v>
      </c>
      <c r="B46" s="308" t="s">
        <v>5</v>
      </c>
      <c r="C46" s="25">
        <v>7005143</v>
      </c>
      <c r="D46" s="26">
        <v>1.68</v>
      </c>
      <c r="E46" s="22"/>
      <c r="F46" s="22"/>
      <c r="G46" s="22"/>
      <c r="H46" s="22"/>
      <c r="I46" s="22"/>
    </row>
    <row r="47" spans="1:32" x14ac:dyDescent="0.25">
      <c r="A47" s="308" t="s">
        <v>140</v>
      </c>
      <c r="B47" s="308" t="s">
        <v>143</v>
      </c>
      <c r="C47" s="25">
        <v>7001246</v>
      </c>
      <c r="D47" s="26">
        <v>0.22</v>
      </c>
      <c r="E47" s="22"/>
      <c r="F47" s="22"/>
      <c r="G47" s="22"/>
      <c r="H47" s="22"/>
      <c r="I47" s="22"/>
    </row>
    <row r="48" spans="1:32" x14ac:dyDescent="0.25">
      <c r="A48" s="308" t="s">
        <v>140</v>
      </c>
      <c r="B48" s="308" t="s">
        <v>144</v>
      </c>
      <c r="C48" s="25">
        <v>7001167</v>
      </c>
      <c r="D48" s="26">
        <v>13.54</v>
      </c>
      <c r="E48" s="22"/>
      <c r="F48" s="22"/>
      <c r="G48" s="22"/>
      <c r="H48" s="22"/>
      <c r="I48" s="22"/>
    </row>
    <row r="49" spans="1:9" x14ac:dyDescent="0.25">
      <c r="A49" s="308" t="s">
        <v>10</v>
      </c>
      <c r="B49" s="308" t="s">
        <v>99</v>
      </c>
      <c r="C49" s="25">
        <v>3024531</v>
      </c>
      <c r="D49" s="26">
        <v>14.98</v>
      </c>
      <c r="E49" s="22">
        <v>118</v>
      </c>
      <c r="F49" s="22">
        <v>0</v>
      </c>
      <c r="G49" s="22">
        <v>0</v>
      </c>
      <c r="H49" s="22">
        <v>0</v>
      </c>
      <c r="I49" s="22">
        <v>0</v>
      </c>
    </row>
    <row r="50" spans="1:9" ht="33.75" x14ac:dyDescent="0.25">
      <c r="A50" s="23" t="s">
        <v>10</v>
      </c>
      <c r="B50" s="24" t="s">
        <v>207</v>
      </c>
      <c r="C50" s="25">
        <v>7001331</v>
      </c>
      <c r="D50" s="26">
        <v>3.13</v>
      </c>
      <c r="E50" s="22">
        <v>20020</v>
      </c>
      <c r="F50" s="22">
        <v>21325</v>
      </c>
      <c r="G50" s="22">
        <v>21260</v>
      </c>
      <c r="H50" s="22">
        <v>20786</v>
      </c>
      <c r="I50" s="22">
        <v>20331</v>
      </c>
    </row>
    <row r="51" spans="1:9" ht="33.75" x14ac:dyDescent="0.25">
      <c r="A51" s="23" t="s">
        <v>10</v>
      </c>
      <c r="B51" s="24" t="s">
        <v>208</v>
      </c>
      <c r="C51" s="25">
        <v>7001332</v>
      </c>
      <c r="D51" s="26">
        <v>3.46</v>
      </c>
      <c r="E51" s="22">
        <v>1425</v>
      </c>
      <c r="F51" s="22">
        <v>1941</v>
      </c>
      <c r="G51" s="22">
        <v>2100</v>
      </c>
      <c r="H51" s="22">
        <v>1422</v>
      </c>
      <c r="I51" s="22">
        <v>1259</v>
      </c>
    </row>
    <row r="52" spans="1:9" x14ac:dyDescent="0.25">
      <c r="A52" s="308" t="s">
        <v>3</v>
      </c>
      <c r="B52" s="308" t="s">
        <v>134</v>
      </c>
      <c r="C52" s="25">
        <v>7006487</v>
      </c>
      <c r="D52" s="26">
        <v>0.24</v>
      </c>
      <c r="E52" s="22"/>
      <c r="F52" s="22"/>
      <c r="G52" s="22"/>
      <c r="H52" s="22"/>
      <c r="I52" s="22"/>
    </row>
    <row r="53" spans="1:9" x14ac:dyDescent="0.25">
      <c r="A53" s="308" t="s">
        <v>3</v>
      </c>
      <c r="B53" s="308" t="s">
        <v>135</v>
      </c>
      <c r="C53" s="25">
        <v>7000414</v>
      </c>
      <c r="D53" s="26">
        <v>0.31</v>
      </c>
      <c r="E53" s="22"/>
      <c r="F53" s="22"/>
      <c r="G53" s="22"/>
      <c r="H53" s="22"/>
      <c r="I53" s="22"/>
    </row>
    <row r="54" spans="1:9" x14ac:dyDescent="0.25">
      <c r="A54" s="308" t="s">
        <v>3</v>
      </c>
      <c r="B54" s="308" t="s">
        <v>136</v>
      </c>
      <c r="C54" s="25">
        <v>7001357</v>
      </c>
      <c r="D54" s="26">
        <v>0.35</v>
      </c>
      <c r="E54" s="22">
        <v>14750</v>
      </c>
      <c r="F54" s="22">
        <v>10750</v>
      </c>
      <c r="G54" s="22">
        <v>17000</v>
      </c>
      <c r="H54" s="22">
        <v>11500</v>
      </c>
      <c r="I54" s="22">
        <v>15750</v>
      </c>
    </row>
  </sheetData>
  <sortState ref="A3:O194">
    <sortCondition ref="A177"/>
  </sortState>
  <mergeCells count="1">
    <mergeCell ref="E1:I1"/>
  </mergeCells>
  <pageMargins left="1" right="1" top="1" bottom="1.75" header="0.5" footer="0.5"/>
  <pageSetup scale="60" fitToHeight="0" orientation="landscape" r:id="rId1"/>
  <headerFooter scaleWithDoc="0">
    <oddFooter>&amp;R&amp;"Times New Roman,Bold"&amp;12 Case No. 2018-00294
Attachment to Response to PSC-2 Question No. 21a-b
Page &amp;P of &amp;N
Seelye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edcdeb43ecd77b2d9855a94c511d88b6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bafc3a96119dedc7b88f594c3c04383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nd xmlns="54fcda00-7b58-44a7-b108-8bd10a8a08ba">DR02 Attachments</Round>
    <Witness_x0020_Testimony xmlns="54fcda00-7b58-44a7-b108-8bd10a8a08ba" xsi:nil="true"/>
    <Data_x0020_Request_x0020_Question_x0020_No_x002e_ xmlns="54fcda00-7b58-44a7-b108-8bd10a8a08ba">021</Data_x0020_Request_x0020_Question_x0020_No_x002e_>
    <Filing_x0020_Requirement xmlns="54fcda00-7b58-44a7-b108-8bd10a8a08ba" xsi:nil="true"/>
    <Year xmlns="54fcda00-7b58-44a7-b108-8bd10a8a08ba">2018</Year>
    <Tariff_x0020_Dev_x0020_Doc_x0020_Type xmlns="54fcda00-7b58-44a7-b108-8bd10a8a08ba" xsi:nil="true"/>
    <Document_x0020_Type xmlns="54fcda00-7b58-44a7-b108-8bd10a8a08ba">Data Requests</Document_x0020_Type>
    <Filed_x0020_Documents xmlns="54fcda00-7b58-44a7-b108-8bd10a8a08ba" xsi:nil="true"/>
    <Company xmlns="54fcda00-7b58-44a7-b108-8bd10a8a08ba">
      <Value>KU</Value>
    </Company>
    <Intervemprs xmlns="54fcda00-7b58-44a7-b108-8bd10a8a08ba">KY Public Service Commission - PSC</Intervemprs>
  </documentManagement>
</p:properties>
</file>

<file path=customXml/itemProps1.xml><?xml version="1.0" encoding="utf-8"?>
<ds:datastoreItem xmlns:ds="http://schemas.openxmlformats.org/officeDocument/2006/customXml" ds:itemID="{D5810C44-D0C4-4FCF-89FA-76688D9004DF}"/>
</file>

<file path=customXml/itemProps2.xml><?xml version="1.0" encoding="utf-8"?>
<ds:datastoreItem xmlns:ds="http://schemas.openxmlformats.org/officeDocument/2006/customXml" ds:itemID="{1F51A1BF-01EB-4591-8CCD-C6573EDC7483}"/>
</file>

<file path=customXml/itemProps3.xml><?xml version="1.0" encoding="utf-8"?>
<ds:datastoreItem xmlns:ds="http://schemas.openxmlformats.org/officeDocument/2006/customXml" ds:itemID="{4E49F9E3-E5BF-41B9-8C14-9C819A539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LS - Summary</vt:lpstr>
      <vt:lpstr>LS - Overhead Lights</vt:lpstr>
      <vt:lpstr>LS - Underground Lights</vt:lpstr>
      <vt:lpstr>ECR FAC</vt:lpstr>
      <vt:lpstr>Fixed Carrying Cost</vt:lpstr>
      <vt:lpstr>For Tariff</vt:lpstr>
      <vt:lpstr>Forecast Count</vt:lpstr>
      <vt:lpstr>Materials+LaborUnits</vt:lpstr>
      <vt:lpstr>Materials</vt:lpstr>
      <vt:lpstr>Maintenance &amp; NBV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2018-11-26T16:44:44Z</dcterms:created>
  <dcterms:modified xsi:type="dcterms:W3CDTF">2018-11-26T16:44:54Z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