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bookViews>
    <workbookView xWindow="120" yWindow="150" windowWidth="9420" windowHeight="4410" tabRatio="881"/>
  </bookViews>
  <sheets>
    <sheet name="WSS-7 p1 (KU)" sheetId="15" r:id="rId1"/>
    <sheet name="WSS-7 p2 (LG&amp;E)" sheetId="18" r:id="rId2"/>
    <sheet name="WSS-7 p3 (Rev Effect)" sheetId="19" r:id="rId3"/>
    <sheet name="ECR FAC TCJA" sheetId="14" r:id="rId4"/>
    <sheet name="WACC - Carrying Charges" sheetId="13" r:id="rId5"/>
    <sheet name="2017 EV Usage Data" sheetId="17" r:id="rId6"/>
  </sheets>
  <definedNames>
    <definedName name="_xlnm.Print_Area" localSheetId="2">'WSS-7 p3 (Rev Effect)'!$A$1:$L$12</definedName>
    <definedName name="Rate_10" localSheetId="1">#REF!</definedName>
    <definedName name="Rate_10">#REF!</definedName>
    <definedName name="Rate_12" localSheetId="1">#REF!</definedName>
    <definedName name="Rate_12">#REF!</definedName>
    <definedName name="Rate_8" localSheetId="1">#REF!</definedName>
    <definedName name="Rate_8">#REF!</definedName>
    <definedName name="WkSht_10" localSheetId="1">#REF!</definedName>
    <definedName name="WkSht_10">#REF!</definedName>
    <definedName name="WkSht_12" localSheetId="1">#REF!</definedName>
    <definedName name="WkSht_12">#REF!</definedName>
    <definedName name="WkSht_8" localSheetId="1">#REF!</definedName>
    <definedName name="WkSht_8">#REF!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9" i="19" l="1"/>
  <c r="H9" i="19" s="1"/>
  <c r="D9" i="19"/>
  <c r="G7" i="19"/>
  <c r="H7" i="19" s="1"/>
  <c r="D7" i="19"/>
  <c r="A19" i="13" l="1"/>
  <c r="J12" i="17" l="1"/>
  <c r="I12" i="17"/>
  <c r="M5" i="17"/>
  <c r="K5" i="17"/>
  <c r="L5" i="17" s="1"/>
  <c r="M4" i="17"/>
  <c r="K4" i="17"/>
  <c r="L4" i="17" s="1"/>
  <c r="C16" i="17" l="1"/>
  <c r="C15" i="17"/>
  <c r="C20" i="17" s="1"/>
  <c r="C22" i="17" s="1"/>
  <c r="C26" i="17" s="1"/>
  <c r="M12" i="17"/>
  <c r="K12" i="17"/>
  <c r="L12" i="17" s="1"/>
  <c r="C25" i="15" l="1"/>
  <c r="D25" i="15" s="1"/>
  <c r="C25" i="18"/>
  <c r="D25" i="18" s="1"/>
  <c r="B19" i="18" l="1"/>
  <c r="C19" i="18" l="1"/>
  <c r="B19" i="15" l="1"/>
  <c r="C19" i="15" l="1"/>
  <c r="B19" i="14"/>
  <c r="G19" i="14"/>
  <c r="F5" i="17"/>
  <c r="F6" i="17"/>
  <c r="F7" i="17"/>
  <c r="F8" i="17"/>
  <c r="F9" i="17"/>
  <c r="F10" i="17"/>
  <c r="F11" i="17"/>
  <c r="F4" i="17"/>
  <c r="D5" i="17"/>
  <c r="E5" i="17" s="1"/>
  <c r="D6" i="17"/>
  <c r="E6" i="17" s="1"/>
  <c r="D7" i="17"/>
  <c r="E7" i="17" s="1"/>
  <c r="D8" i="17"/>
  <c r="E8" i="17" s="1"/>
  <c r="D9" i="17"/>
  <c r="E9" i="17" s="1"/>
  <c r="D10" i="17"/>
  <c r="E10" i="17" s="1"/>
  <c r="D11" i="17"/>
  <c r="E11" i="17" s="1"/>
  <c r="D4" i="17"/>
  <c r="D12" i="17" s="1"/>
  <c r="E12" i="17" s="1"/>
  <c r="C12" i="17"/>
  <c r="F12" i="17" s="1"/>
  <c r="B12" i="17"/>
  <c r="B16" i="17" l="1"/>
  <c r="E4" i="17"/>
  <c r="B15" i="17"/>
  <c r="B20" i="17" s="1"/>
  <c r="B22" i="17" s="1"/>
  <c r="B26" i="17" s="1"/>
  <c r="C20" i="18" l="1"/>
  <c r="D19" i="18"/>
  <c r="D19" i="15"/>
  <c r="C20" i="15"/>
  <c r="I15" i="14"/>
  <c r="D15" i="14"/>
  <c r="H15" i="14"/>
  <c r="C15" i="14"/>
  <c r="C24" i="14" s="1"/>
  <c r="G15" i="14"/>
  <c r="F4" i="14"/>
  <c r="F5" i="14" s="1"/>
  <c r="F6" i="14" s="1"/>
  <c r="F7" i="14" s="1"/>
  <c r="F8" i="14" s="1"/>
  <c r="F9" i="14" s="1"/>
  <c r="F10" i="14" s="1"/>
  <c r="F11" i="14" s="1"/>
  <c r="F12" i="14" s="1"/>
  <c r="F13" i="14" s="1"/>
  <c r="F14" i="14" s="1"/>
  <c r="B15" i="14"/>
  <c r="A4" i="14"/>
  <c r="A5" i="14" s="1"/>
  <c r="A6" i="14" s="1"/>
  <c r="A7" i="14" s="1"/>
  <c r="A8" i="14" s="1"/>
  <c r="A9" i="14" s="1"/>
  <c r="A10" i="14" s="1"/>
  <c r="A11" i="14" s="1"/>
  <c r="A12" i="14" s="1"/>
  <c r="A13" i="14" s="1"/>
  <c r="A14" i="14" s="1"/>
  <c r="I26" i="13"/>
  <c r="A26" i="13"/>
  <c r="C24" i="15" l="1"/>
  <c r="D24" i="15" s="1"/>
  <c r="D20" i="18"/>
  <c r="D20" i="15"/>
  <c r="H24" i="14"/>
  <c r="G24" i="14"/>
  <c r="B24" i="14"/>
  <c r="J10" i="13"/>
  <c r="J11" i="13" s="1"/>
  <c r="M9" i="13"/>
  <c r="M8" i="13"/>
  <c r="M7" i="13"/>
  <c r="A22" i="13" s="1"/>
  <c r="C23" i="18" l="1"/>
  <c r="D23" i="18" s="1"/>
  <c r="C24" i="18"/>
  <c r="D24" i="18" s="1"/>
  <c r="C23" i="15"/>
  <c r="D23" i="15" s="1"/>
  <c r="M11" i="13"/>
  <c r="B10" i="13"/>
  <c r="B11" i="13" s="1"/>
  <c r="E9" i="13"/>
  <c r="E8" i="13"/>
  <c r="I25" i="13" l="1"/>
  <c r="I27" i="13"/>
  <c r="E7" i="13"/>
  <c r="E11" i="13" l="1"/>
  <c r="A25" i="13" s="1"/>
  <c r="A21" i="13"/>
  <c r="A27" i="13" s="1"/>
  <c r="I29" i="13"/>
  <c r="B11" i="18" s="1"/>
  <c r="A29" i="13" l="1"/>
  <c r="B11" i="15" s="1"/>
  <c r="C11" i="18" l="1"/>
  <c r="C15" i="18" s="1"/>
  <c r="C17" i="18" s="1"/>
  <c r="C11" i="15"/>
  <c r="C15" i="15" s="1"/>
  <c r="C17" i="15" s="1"/>
  <c r="D11" i="18"/>
  <c r="D15" i="18" s="1"/>
  <c r="D17" i="18" s="1"/>
  <c r="D11" i="15"/>
  <c r="D15" i="15" s="1"/>
  <c r="D17" i="15" s="1"/>
  <c r="D31" i="15" l="1"/>
  <c r="D29" i="15"/>
  <c r="D29" i="18"/>
  <c r="D31" i="18"/>
  <c r="C31" i="15"/>
  <c r="C29" i="15"/>
  <c r="C31" i="18"/>
  <c r="C29" i="18"/>
</calcChain>
</file>

<file path=xl/sharedStrings.xml><?xml version="1.0" encoding="utf-8"?>
<sst xmlns="http://schemas.openxmlformats.org/spreadsheetml/2006/main" count="191" uniqueCount="107">
  <si>
    <t>Weighted Average Cost of Capital (WACC)</t>
  </si>
  <si>
    <t>Capitalization</t>
  </si>
  <si>
    <t>Total WACC</t>
  </si>
  <si>
    <t>Overall Rate of Return</t>
  </si>
  <si>
    <t>year useful life</t>
  </si>
  <si>
    <t>Income Taxes</t>
  </si>
  <si>
    <t>R.O.E.</t>
  </si>
  <si>
    <t>Annual</t>
  </si>
  <si>
    <t>Overall Cost of Capital</t>
  </si>
  <si>
    <t>Weighted</t>
  </si>
  <si>
    <t>Cost</t>
  </si>
  <si>
    <t>Short Term</t>
  </si>
  <si>
    <t>Long Term</t>
  </si>
  <si>
    <t>Total Debt</t>
  </si>
  <si>
    <t>Single Charger</t>
  </si>
  <si>
    <t>Estimated Investment per Unit</t>
  </si>
  <si>
    <t>Dual Charger</t>
  </si>
  <si>
    <t>Basic Service Charge</t>
  </si>
  <si>
    <t>Fuel Adjustment Clause</t>
  </si>
  <si>
    <t>School Tax</t>
  </si>
  <si>
    <t>Franchise Fee</t>
  </si>
  <si>
    <t>Environmental Surcharge (Level 2)</t>
  </si>
  <si>
    <t>KU</t>
  </si>
  <si>
    <t>State Sales Tax</t>
  </si>
  <si>
    <t>EVC Fee per Hour for Equipment, Energy &amp; Factors</t>
  </si>
  <si>
    <t xml:space="preserve">Fixed Charges @ </t>
  </si>
  <si>
    <t>Average</t>
  </si>
  <si>
    <t>Distribution Energy per kWh per year   (Calculated with GS Rate)</t>
  </si>
  <si>
    <t>Distribution Energy per kWh per month</t>
  </si>
  <si>
    <t>Distribution Energy per kWh per hour</t>
  </si>
  <si>
    <t>EVSE Monthly Rate for Equipment, Energy &amp; Factors</t>
  </si>
  <si>
    <t>O&amp;M (Scheduled/Trouble)</t>
  </si>
  <si>
    <t>Chargepoint Annual Cost</t>
  </si>
  <si>
    <t>EVC Only</t>
  </si>
  <si>
    <t>Common Equity</t>
  </si>
  <si>
    <t>Ratio</t>
  </si>
  <si>
    <t>LG&amp;E</t>
  </si>
  <si>
    <t>Carrying Charges</t>
  </si>
  <si>
    <t>Federal Corporate Tax Rate</t>
  </si>
  <si>
    <t>TOTAL Corporate Tax Rate</t>
  </si>
  <si>
    <t>Straight-Line Depreciation</t>
  </si>
  <si>
    <t>Property Taxes</t>
  </si>
  <si>
    <t>KU Carrying Charge Income Tax Calculation = (KU Weighted Cost of Equity / (1- Corporate Tax Rate)) x Corporate Tax Rate</t>
  </si>
  <si>
    <t>LGE Carrying Charge Income Tax Calculation = (LGE Weighted Cost of Equity / (1- Corporate Tax Rate)) x Corporate Tax Rate</t>
  </si>
  <si>
    <t>KU TOTAL LEVELIZED FIXED CHARGE</t>
  </si>
  <si>
    <t>LGE TOTAL LEVELIZED FIXED CHARGE</t>
  </si>
  <si>
    <t>FAC</t>
  </si>
  <si>
    <t>Base Period Fuel Factor</t>
  </si>
  <si>
    <t>kWh use per hour</t>
  </si>
  <si>
    <t>ECR</t>
  </si>
  <si>
    <t>TCJA</t>
  </si>
  <si>
    <t>per hour</t>
  </si>
  <si>
    <t>GS Energy Rate</t>
  </si>
  <si>
    <t>Kentucky Utilities Company</t>
  </si>
  <si>
    <t>EVC Utilization</t>
  </si>
  <si>
    <t>Station</t>
  </si>
  <si>
    <t>Days in Service</t>
  </si>
  <si>
    <t>Total Hours of Usage</t>
  </si>
  <si>
    <t>100% Utilization Hours*</t>
  </si>
  <si>
    <t>Actual Utilization</t>
  </si>
  <si>
    <t>KU - KUGO</t>
  </si>
  <si>
    <t>KU - High St</t>
  </si>
  <si>
    <t>KU - Midway</t>
  </si>
  <si>
    <t>LG&amp;E - Butchertown</t>
  </si>
  <si>
    <t>LG&amp;E - Highlands</t>
  </si>
  <si>
    <t>LG&amp;E - 315 E Main St</t>
  </si>
  <si>
    <t>LG&amp;E - 921 W Main St</t>
  </si>
  <si>
    <t>LG&amp;E - Crescent Hill</t>
  </si>
  <si>
    <t>Hours of use per day</t>
  </si>
  <si>
    <t>Utilization</t>
  </si>
  <si>
    <t>Actual Utilization (to orig. 4 hrs per day)</t>
  </si>
  <si>
    <t>2017 LG&amp;E and KU Combined EVC Data Summary</t>
  </si>
  <si>
    <t>kWh/hr</t>
  </si>
  <si>
    <t>Charging Station Consumption (kWh / Day)</t>
  </si>
  <si>
    <t>Charging Station Consumption (kWh / Year)</t>
  </si>
  <si>
    <t>EVSE / EVSE-R</t>
  </si>
  <si>
    <t>EVC Rate per Hour for Equipment Only</t>
  </si>
  <si>
    <t>-</t>
  </si>
  <si>
    <t>Monthly Rate for Equipment Only</t>
  </si>
  <si>
    <t>kWh / year for screen and lighting</t>
  </si>
  <si>
    <t>Total Charging Station Consumption w/ Screen and Lighting (kWh / Year)</t>
  </si>
  <si>
    <t>Tax Credit and Jobs Act Surcredit</t>
  </si>
  <si>
    <t>Louisville Gas and Electric Company</t>
  </si>
  <si>
    <t>EVSE-R Monthly Rate for Equipment Only</t>
  </si>
  <si>
    <t>EVSE-R Only</t>
  </si>
  <si>
    <t>Station 1</t>
  </si>
  <si>
    <t>Station 2</t>
  </si>
  <si>
    <t>EVSE-R Utilization</t>
  </si>
  <si>
    <t>State Corporate Tax Rate (Dropped by 1% on 1/1/2018)</t>
  </si>
  <si>
    <t>Federal Benefit of State Taxes (Credit)</t>
  </si>
  <si>
    <t>Capital Structure for 2018 Rate Case</t>
  </si>
  <si>
    <t>EVSE-R - Customer installs and owns facilities on its side of the meter to serve Company-provided charging station.</t>
  </si>
  <si>
    <t>EVSE - Company furnishes, owns, installs, and maintains the charging unit and cable.  Customer furnishes, owns, and installs all duct systems and associated equipment.  Customer is responsible for the charging equipment installation costs.</t>
  </si>
  <si>
    <t>Derivation of EVSE and EVSE-R Rates</t>
  </si>
  <si>
    <t>Exhibit WSS-7</t>
  </si>
  <si>
    <t>Page 1 of 3</t>
  </si>
  <si>
    <t>Page 2 of 3</t>
  </si>
  <si>
    <t>Kentucky Utilities Company/Louisville Gas and Electric Company</t>
  </si>
  <si>
    <t>EVSE-R Other Operating Revenue Adjustment</t>
  </si>
  <si>
    <t>Billing Units</t>
  </si>
  <si>
    <t>Current Rate</t>
  </si>
  <si>
    <t>Revenue at Current Rate</t>
  </si>
  <si>
    <t>Proposed Rate</t>
  </si>
  <si>
    <t>Revenue at Proposed Rate</t>
  </si>
  <si>
    <t>Proposed Increase (Decrease)</t>
  </si>
  <si>
    <t>Page 3 of 3</t>
  </si>
  <si>
    <t>Note: No customers are currently taking service under the EVSE-R Rider for Single Chargers and none are projected for the forecasted test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</si>
</sst>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General_)"/>
    <numFmt numFmtId="165" formatCode="_(&quot;$&quot;* #,##0.00000_);_(&quot;$&quot;* \(#,##0.00000\);_(&quot;$&quot;* &quot;-&quot;??_);_(@_)"/>
    <numFmt numFmtId="166" formatCode="0.000%"/>
    <numFmt numFmtId="167" formatCode="0.0%"/>
    <numFmt numFmtId="168" formatCode="[$-409]mmm\-yy;@"/>
    <numFmt numFmtId="169" formatCode="#,##0.00000_);\(#,##0.00000\)"/>
    <numFmt numFmtId="170" formatCode="_(* #,##0_);_(* \(#,##0\);_(* &quot;-&quot;??_);_(@_)"/>
    <numFmt numFmtId="171" formatCode="_(&quot;$&quot;* #,##0_);_(&quot;$&quot;* \(#,##0\);_(&quot;$&quot;* &quot;-&quot;??_);_(@_)"/>
  </numFmts>
  <fonts count="23" x14ac:knownFonts="1">
    <font>
      <sz val="12"/>
      <name val="Helv"/>
    </font>
    <font>
      <sz val="11"/>
      <color theme="1"/>
      <name val="Calibri"/>
      <family val="2"/>
      <scheme val="minor"/>
    </font>
    <font>
      <sz val="11"/>
      <color theme="1"/>
      <name val="Calibri"/>
      <family val="2"/>
      <scheme val="minor"/>
    </font>
    <font>
      <sz val="12"/>
      <name val="Times New Roman"/>
      <family val="1"/>
    </font>
    <font>
      <sz val="12"/>
      <name val="Helv"/>
    </font>
    <font>
      <sz val="11"/>
      <name val="Calibri"/>
      <family val="2"/>
      <scheme val="minor"/>
    </font>
    <font>
      <sz val="12"/>
      <name val="Calibri"/>
      <family val="2"/>
      <scheme val="minor"/>
    </font>
    <font>
      <b/>
      <sz val="12"/>
      <name val="Calibri"/>
      <family val="2"/>
      <scheme val="minor"/>
    </font>
    <font>
      <b/>
      <u/>
      <sz val="12"/>
      <name val="Calibri"/>
      <family val="2"/>
      <scheme val="minor"/>
    </font>
    <font>
      <sz val="12"/>
      <color rgb="FF0070C0"/>
      <name val="Calibri"/>
      <family val="2"/>
      <scheme val="minor"/>
    </font>
    <font>
      <b/>
      <sz val="11"/>
      <name val="Calibri"/>
      <family val="2"/>
      <scheme val="minor"/>
    </font>
    <font>
      <sz val="11"/>
      <color rgb="FF0070C0"/>
      <name val="Calibri"/>
      <family val="2"/>
      <scheme val="minor"/>
    </font>
    <font>
      <sz val="11"/>
      <color indexed="48"/>
      <name val="Calibri"/>
      <family val="2"/>
      <scheme val="minor"/>
    </font>
    <font>
      <b/>
      <u/>
      <sz val="16"/>
      <name val="Calibri"/>
      <family val="2"/>
      <scheme val="minor"/>
    </font>
    <font>
      <b/>
      <sz val="12"/>
      <color rgb="FFFF0000"/>
      <name val="Calibri"/>
      <family val="2"/>
      <scheme val="minor"/>
    </font>
    <font>
      <b/>
      <sz val="16"/>
      <color rgb="FFFF0000"/>
      <name val="Calibri"/>
      <family val="2"/>
      <scheme val="minor"/>
    </font>
    <font>
      <b/>
      <sz val="16"/>
      <color rgb="FF00B050"/>
      <name val="Calibri"/>
      <family val="2"/>
      <scheme val="minor"/>
    </font>
    <font>
      <b/>
      <sz val="12"/>
      <color rgb="FF00B050"/>
      <name val="Calibri"/>
      <family val="2"/>
      <scheme val="minor"/>
    </font>
    <font>
      <b/>
      <sz val="16"/>
      <name val="Calibri"/>
      <family val="2"/>
      <scheme val="minor"/>
    </font>
    <font>
      <sz val="12"/>
      <color rgb="FFFF0000"/>
      <name val="Calibri"/>
      <family val="2"/>
      <scheme val="minor"/>
    </font>
    <font>
      <u val="singleAccounting"/>
      <sz val="11"/>
      <color theme="1"/>
      <name val="Calibri"/>
      <family val="2"/>
      <scheme val="minor"/>
    </font>
    <font>
      <b/>
      <sz val="12"/>
      <color theme="1"/>
      <name val="Calibri"/>
      <family val="2"/>
      <scheme val="minor"/>
    </font>
    <font>
      <sz val="12"/>
      <color theme="1"/>
      <name val="Calibri"/>
      <family val="2"/>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164" fontId="0" fillId="0" borderId="0"/>
    <xf numFmtId="44" fontId="3" fillId="0" borderId="0" applyFont="0" applyFill="0" applyBorder="0" applyAlignment="0" applyProtection="0"/>
    <xf numFmtId="9" fontId="3" fillId="0" borderId="0" applyFont="0" applyFill="0" applyBorder="0" applyAlignment="0" applyProtection="0"/>
    <xf numFmtId="43" fontId="4" fillId="0" borderId="0" applyFont="0" applyFill="0" applyBorder="0" applyAlignment="0" applyProtection="0"/>
    <xf numFmtId="0" fontId="2" fillId="0" borderId="0"/>
    <xf numFmtId="44" fontId="2" fillId="0" borderId="0" applyFont="0" applyFill="0" applyBorder="0" applyAlignment="0" applyProtection="0"/>
  </cellStyleXfs>
  <cellXfs count="107">
    <xf numFmtId="164" fontId="0" fillId="0" borderId="0" xfId="0"/>
    <xf numFmtId="164" fontId="6" fillId="0" borderId="0" xfId="0" applyFont="1"/>
    <xf numFmtId="164" fontId="8" fillId="0" borderId="0" xfId="0" applyFont="1" applyAlignment="1">
      <alignment horizontal="center"/>
    </xf>
    <xf numFmtId="44" fontId="6" fillId="0" borderId="0" xfId="1" applyFont="1"/>
    <xf numFmtId="44" fontId="6" fillId="0" borderId="3" xfId="1" applyFont="1" applyBorder="1"/>
    <xf numFmtId="164" fontId="7" fillId="0" borderId="0" xfId="0" applyFont="1"/>
    <xf numFmtId="164" fontId="5" fillId="0" borderId="0" xfId="0" applyFont="1"/>
    <xf numFmtId="164" fontId="5" fillId="0" borderId="0" xfId="0" applyFont="1" applyAlignment="1"/>
    <xf numFmtId="164" fontId="5" fillId="0" borderId="1" xfId="0" applyFont="1" applyBorder="1" applyAlignment="1">
      <alignment horizontal="center"/>
    </xf>
    <xf numFmtId="0" fontId="5" fillId="0" borderId="1" xfId="0" applyNumberFormat="1" applyFont="1" applyBorder="1" applyAlignment="1">
      <alignment horizontal="center"/>
    </xf>
    <xf numFmtId="164" fontId="5" fillId="0" borderId="7" xfId="0" applyFont="1" applyBorder="1" applyAlignment="1">
      <alignment horizontal="center"/>
    </xf>
    <xf numFmtId="164" fontId="5" fillId="0" borderId="3" xfId="0" applyFont="1" applyBorder="1" applyAlignment="1"/>
    <xf numFmtId="164" fontId="5" fillId="0" borderId="3" xfId="0" applyFont="1" applyBorder="1" applyAlignment="1">
      <alignment horizontal="center"/>
    </xf>
    <xf numFmtId="10" fontId="5" fillId="0" borderId="0" xfId="0" applyNumberFormat="1" applyFont="1" applyAlignment="1">
      <alignment horizontal="center"/>
    </xf>
    <xf numFmtId="164" fontId="5" fillId="0" borderId="0" xfId="0" quotePrefix="1" applyFont="1" applyAlignment="1">
      <alignment horizontal="center"/>
    </xf>
    <xf numFmtId="166" fontId="5" fillId="0" borderId="9" xfId="0" applyNumberFormat="1" applyFont="1" applyBorder="1" applyAlignment="1">
      <alignment horizontal="center"/>
    </xf>
    <xf numFmtId="166" fontId="5" fillId="0" borderId="8" xfId="0" applyNumberFormat="1" applyFont="1" applyBorder="1" applyAlignment="1">
      <alignment horizontal="center"/>
    </xf>
    <xf numFmtId="10" fontId="5" fillId="0" borderId="3" xfId="0" quotePrefix="1" applyNumberFormat="1" applyFont="1" applyBorder="1" applyAlignment="1">
      <alignment horizontal="center"/>
    </xf>
    <xf numFmtId="10" fontId="5" fillId="0" borderId="0" xfId="0" quotePrefix="1" applyNumberFormat="1" applyFont="1" applyAlignment="1">
      <alignment horizontal="center"/>
    </xf>
    <xf numFmtId="10" fontId="12" fillId="0" borderId="0" xfId="2" applyNumberFormat="1" applyFont="1" applyBorder="1" applyAlignment="1">
      <alignment horizontal="center"/>
    </xf>
    <xf numFmtId="10" fontId="5" fillId="0" borderId="9" xfId="0" applyNumberFormat="1" applyFont="1" applyBorder="1" applyAlignment="1">
      <alignment horizontal="center"/>
    </xf>
    <xf numFmtId="164" fontId="10" fillId="0" borderId="6" xfId="0" applyFont="1" applyBorder="1" applyAlignment="1"/>
    <xf numFmtId="10" fontId="5" fillId="0" borderId="6" xfId="0" applyNumberFormat="1" applyFont="1" applyBorder="1" applyAlignment="1">
      <alignment horizontal="center"/>
    </xf>
    <xf numFmtId="164" fontId="5" fillId="0" borderId="6" xfId="0" applyFont="1" applyBorder="1" applyAlignment="1">
      <alignment horizontal="center"/>
    </xf>
    <xf numFmtId="164" fontId="10" fillId="0" borderId="0" xfId="0" quotePrefix="1" applyFont="1" applyFill="1"/>
    <xf numFmtId="164" fontId="8" fillId="0" borderId="0" xfId="0" applyFont="1"/>
    <xf numFmtId="164" fontId="7" fillId="0" borderId="0" xfId="0" applyFont="1" applyAlignment="1">
      <alignment horizontal="center"/>
    </xf>
    <xf numFmtId="164" fontId="9" fillId="0" borderId="0" xfId="0" applyFont="1"/>
    <xf numFmtId="44" fontId="9" fillId="0" borderId="0" xfId="1" applyFont="1"/>
    <xf numFmtId="164" fontId="6" fillId="0" borderId="3" xfId="0" applyFont="1" applyBorder="1"/>
    <xf numFmtId="164" fontId="13" fillId="0" borderId="0" xfId="0" applyFont="1"/>
    <xf numFmtId="164" fontId="15" fillId="0" borderId="0" xfId="0" applyFont="1"/>
    <xf numFmtId="164" fontId="5" fillId="0" borderId="11" xfId="0" applyFont="1" applyBorder="1" applyAlignment="1"/>
    <xf numFmtId="164" fontId="5" fillId="0" borderId="2" xfId="0" applyFont="1" applyBorder="1" applyAlignment="1">
      <alignment horizontal="center"/>
    </xf>
    <xf numFmtId="164" fontId="5" fillId="0" borderId="12" xfId="0" applyFont="1" applyBorder="1" applyAlignment="1"/>
    <xf numFmtId="164" fontId="5" fillId="0" borderId="4" xfId="0" applyFont="1" applyBorder="1" applyAlignment="1">
      <alignment horizontal="center"/>
    </xf>
    <xf numFmtId="10" fontId="11" fillId="0" borderId="0" xfId="0" applyNumberFormat="1" applyFont="1" applyAlignment="1">
      <alignment horizontal="center"/>
    </xf>
    <xf numFmtId="10" fontId="11" fillId="0" borderId="3" xfId="0" applyNumberFormat="1" applyFont="1" applyBorder="1" applyAlignment="1">
      <alignment horizontal="center"/>
    </xf>
    <xf numFmtId="10" fontId="11" fillId="0" borderId="0" xfId="2" quotePrefix="1" applyNumberFormat="1" applyFont="1" applyAlignment="1">
      <alignment horizontal="center"/>
    </xf>
    <xf numFmtId="10" fontId="11" fillId="0" borderId="0" xfId="2" applyNumberFormat="1" applyFont="1" applyAlignment="1">
      <alignment horizontal="center"/>
    </xf>
    <xf numFmtId="10" fontId="11" fillId="0" borderId="3" xfId="2" applyNumberFormat="1" applyFont="1" applyBorder="1" applyAlignment="1">
      <alignment horizontal="center"/>
    </xf>
    <xf numFmtId="164" fontId="5" fillId="0" borderId="9" xfId="0" applyFont="1" applyBorder="1" applyAlignment="1">
      <alignment horizontal="center"/>
    </xf>
    <xf numFmtId="166" fontId="5" fillId="0" borderId="7" xfId="0" applyNumberFormat="1" applyFont="1" applyBorder="1" applyAlignment="1">
      <alignment horizontal="center"/>
    </xf>
    <xf numFmtId="164" fontId="16" fillId="0" borderId="0" xfId="0" applyFont="1"/>
    <xf numFmtId="167" fontId="9" fillId="0" borderId="0" xfId="2" applyNumberFormat="1" applyFont="1"/>
    <xf numFmtId="167" fontId="6" fillId="0" borderId="0" xfId="2" applyNumberFormat="1" applyFont="1"/>
    <xf numFmtId="10" fontId="6" fillId="0" borderId="0" xfId="2" applyNumberFormat="1" applyFont="1"/>
    <xf numFmtId="166" fontId="6" fillId="0" borderId="0" xfId="2" applyNumberFormat="1" applyFont="1"/>
    <xf numFmtId="9" fontId="6" fillId="0" borderId="0" xfId="2" applyNumberFormat="1" applyFont="1"/>
    <xf numFmtId="10" fontId="7" fillId="0" borderId="0" xfId="2" applyNumberFormat="1" applyFont="1"/>
    <xf numFmtId="168" fontId="6" fillId="0" borderId="0" xfId="0" applyNumberFormat="1" applyFont="1"/>
    <xf numFmtId="168" fontId="9" fillId="0" borderId="0" xfId="0" applyNumberFormat="1" applyFont="1"/>
    <xf numFmtId="169" fontId="9" fillId="0" borderId="0" xfId="0" applyNumberFormat="1" applyFont="1"/>
    <xf numFmtId="165" fontId="9" fillId="0" borderId="0" xfId="1" applyNumberFormat="1" applyFont="1"/>
    <xf numFmtId="169" fontId="9" fillId="0" borderId="3" xfId="0" applyNumberFormat="1" applyFont="1" applyBorder="1"/>
    <xf numFmtId="169" fontId="6" fillId="0" borderId="0" xfId="0" applyNumberFormat="1" applyFont="1"/>
    <xf numFmtId="164" fontId="6" fillId="0" borderId="0" xfId="0" applyFont="1" applyAlignment="1">
      <alignment horizontal="right"/>
    </xf>
    <xf numFmtId="10" fontId="9" fillId="0" borderId="0" xfId="2" applyNumberFormat="1" applyFont="1"/>
    <xf numFmtId="10" fontId="9" fillId="0" borderId="3" xfId="2" applyNumberFormat="1" applyFont="1" applyBorder="1"/>
    <xf numFmtId="164" fontId="17" fillId="0" borderId="0" xfId="0" applyFont="1" applyAlignment="1">
      <alignment horizontal="right"/>
    </xf>
    <xf numFmtId="164" fontId="14" fillId="0" borderId="0" xfId="0" applyFont="1" applyAlignment="1">
      <alignment horizontal="right"/>
    </xf>
    <xf numFmtId="164" fontId="18" fillId="0" borderId="0" xfId="0" applyFont="1"/>
    <xf numFmtId="164" fontId="7" fillId="0" borderId="0" xfId="0" applyFont="1" applyAlignment="1">
      <alignment horizontal="center" wrapText="1"/>
    </xf>
    <xf numFmtId="43" fontId="6" fillId="0" borderId="0" xfId="3" applyFont="1"/>
    <xf numFmtId="170" fontId="6" fillId="0" borderId="0" xfId="3" applyNumberFormat="1" applyFont="1"/>
    <xf numFmtId="170" fontId="6" fillId="0" borderId="3" xfId="3" applyNumberFormat="1" applyFont="1" applyBorder="1"/>
    <xf numFmtId="164" fontId="7" fillId="0" borderId="0" xfId="0" applyFont="1" applyAlignment="1">
      <alignment horizontal="right"/>
    </xf>
    <xf numFmtId="164" fontId="6" fillId="0" borderId="0" xfId="0" applyFont="1" applyBorder="1"/>
    <xf numFmtId="170" fontId="6" fillId="0" borderId="0" xfId="3" applyNumberFormat="1" applyFont="1" applyBorder="1"/>
    <xf numFmtId="167" fontId="6" fillId="0" borderId="3" xfId="2" applyNumberFormat="1" applyFont="1" applyBorder="1"/>
    <xf numFmtId="1" fontId="6" fillId="0" borderId="0" xfId="3" applyNumberFormat="1" applyFont="1" applyFill="1" applyBorder="1"/>
    <xf numFmtId="164" fontId="13" fillId="0" borderId="0" xfId="0" applyFont="1" applyFill="1" applyBorder="1"/>
    <xf numFmtId="164" fontId="6" fillId="0" borderId="0" xfId="0" applyFont="1" applyFill="1" applyBorder="1"/>
    <xf numFmtId="164" fontId="9" fillId="0" borderId="0" xfId="0" applyFont="1" applyFill="1" applyBorder="1"/>
    <xf numFmtId="164" fontId="7" fillId="0" borderId="0" xfId="0" applyFont="1" applyFill="1" applyBorder="1"/>
    <xf numFmtId="164" fontId="7" fillId="0" borderId="0" xfId="0" applyFont="1" applyFill="1" applyBorder="1" applyAlignment="1">
      <alignment horizontal="center"/>
    </xf>
    <xf numFmtId="0" fontId="6" fillId="0" borderId="0" xfId="0" applyNumberFormat="1" applyFont="1" applyFill="1" applyBorder="1"/>
    <xf numFmtId="0" fontId="7" fillId="0" borderId="0" xfId="0" applyNumberFormat="1" applyFont="1" applyFill="1" applyBorder="1"/>
    <xf numFmtId="1" fontId="7" fillId="0" borderId="0" xfId="0" applyNumberFormat="1" applyFont="1" applyFill="1" applyBorder="1"/>
    <xf numFmtId="2" fontId="6" fillId="0" borderId="0" xfId="0" applyNumberFormat="1" applyFont="1" applyFill="1"/>
    <xf numFmtId="164" fontId="7" fillId="0" borderId="3" xfId="0" applyFont="1" applyBorder="1" applyAlignment="1">
      <alignment horizontal="center"/>
    </xf>
    <xf numFmtId="164" fontId="7" fillId="0" borderId="0" xfId="0" applyFont="1" applyAlignment="1">
      <alignment horizontal="center"/>
    </xf>
    <xf numFmtId="44" fontId="6" fillId="0" borderId="0" xfId="1" applyFont="1" applyFill="1"/>
    <xf numFmtId="164" fontId="6" fillId="0" borderId="0" xfId="0" applyFont="1" applyAlignment="1">
      <alignment horizontal="center"/>
    </xf>
    <xf numFmtId="165" fontId="6" fillId="0" borderId="0" xfId="1" applyNumberFormat="1" applyFont="1"/>
    <xf numFmtId="166" fontId="9" fillId="0" borderId="5" xfId="2" applyNumberFormat="1" applyFont="1" applyFill="1" applyBorder="1"/>
    <xf numFmtId="44" fontId="6" fillId="2" borderId="0" xfId="1" applyFont="1" applyFill="1"/>
    <xf numFmtId="167" fontId="9" fillId="0" borderId="0" xfId="2" applyNumberFormat="1" applyFont="1" applyBorder="1"/>
    <xf numFmtId="169" fontId="19" fillId="0" borderId="0" xfId="0" applyNumberFormat="1" applyFont="1"/>
    <xf numFmtId="14" fontId="6" fillId="0" borderId="0" xfId="0" applyNumberFormat="1" applyFont="1"/>
    <xf numFmtId="165" fontId="9" fillId="0" borderId="0" xfId="1" applyNumberFormat="1" applyFont="1" applyFill="1"/>
    <xf numFmtId="164" fontId="6" fillId="0" borderId="0" xfId="0" applyFont="1" applyFill="1"/>
    <xf numFmtId="164" fontId="7" fillId="0" borderId="0" xfId="0" applyFont="1" applyAlignment="1"/>
    <xf numFmtId="10" fontId="10" fillId="0" borderId="10" xfId="0" applyNumberFormat="1" applyFont="1" applyFill="1" applyBorder="1" applyAlignment="1">
      <alignment horizontal="center"/>
    </xf>
    <xf numFmtId="44" fontId="7" fillId="0" borderId="0" xfId="1" applyFont="1" applyFill="1"/>
    <xf numFmtId="0" fontId="2" fillId="0" borderId="0" xfId="4"/>
    <xf numFmtId="0" fontId="20" fillId="0" borderId="0" xfId="4" applyFont="1" applyAlignment="1">
      <alignment horizontal="center" wrapText="1"/>
    </xf>
    <xf numFmtId="0" fontId="21" fillId="0" borderId="0" xfId="4" applyFont="1"/>
    <xf numFmtId="0" fontId="22" fillId="0" borderId="0" xfId="4" applyFont="1"/>
    <xf numFmtId="0" fontId="21" fillId="0" borderId="0" xfId="4" applyFont="1" applyAlignment="1">
      <alignment horizontal="right"/>
    </xf>
    <xf numFmtId="0" fontId="2" fillId="0" borderId="0" xfId="4" applyFont="1"/>
    <xf numFmtId="44" fontId="5" fillId="0" borderId="0" xfId="5" applyFont="1"/>
    <xf numFmtId="171" fontId="5" fillId="0" borderId="0" xfId="5" applyNumberFormat="1" applyFont="1"/>
    <xf numFmtId="0" fontId="1" fillId="0" borderId="0" xfId="4" applyFont="1"/>
    <xf numFmtId="164" fontId="7" fillId="0" borderId="0" xfId="0" applyFont="1" applyAlignment="1">
      <alignment horizontal="left"/>
    </xf>
    <xf numFmtId="164" fontId="5" fillId="0" borderId="0" xfId="0" quotePrefix="1" applyFont="1" applyBorder="1" applyAlignment="1">
      <alignment horizontal="left" wrapText="1"/>
    </xf>
    <xf numFmtId="164" fontId="7" fillId="0" borderId="0" xfId="0" applyFont="1" applyAlignment="1">
      <alignment horizontal="center"/>
    </xf>
  </cellXfs>
  <cellStyles count="6">
    <cellStyle name="Comma" xfId="3" builtinId="3"/>
    <cellStyle name="Currency" xfId="1" builtinId="4"/>
    <cellStyle name="Currency 2" xfId="5"/>
    <cellStyle name="Normal" xfId="0" builtinId="0"/>
    <cellStyle name="Normal 2" xfId="4"/>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48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F36"/>
  <sheetViews>
    <sheetView tabSelected="1" zoomScale="80" zoomScaleNormal="80" workbookViewId="0"/>
  </sheetViews>
  <sheetFormatPr defaultRowHeight="15.75" x14ac:dyDescent="0.25"/>
  <cols>
    <col min="1" max="1" width="51" style="1" bestFit="1" customWidth="1"/>
    <col min="2" max="2" width="9.33203125" style="1" bestFit="1" customWidth="1"/>
    <col min="3" max="4" width="12.77734375" style="1" customWidth="1"/>
    <col min="5" max="16384" width="8.88671875" style="1"/>
  </cols>
  <sheetData>
    <row r="1" spans="1:6" x14ac:dyDescent="0.25">
      <c r="F1" s="66" t="s">
        <v>94</v>
      </c>
    </row>
    <row r="2" spans="1:6" x14ac:dyDescent="0.25">
      <c r="F2" s="66" t="s">
        <v>95</v>
      </c>
    </row>
    <row r="3" spans="1:6" x14ac:dyDescent="0.25">
      <c r="A3" s="92" t="s">
        <v>53</v>
      </c>
      <c r="D3" s="92"/>
    </row>
    <row r="4" spans="1:6" x14ac:dyDescent="0.25">
      <c r="A4" s="104" t="s">
        <v>93</v>
      </c>
      <c r="B4" s="104"/>
      <c r="C4" s="92"/>
      <c r="D4" s="92"/>
    </row>
    <row r="5" spans="1:6" x14ac:dyDescent="0.25">
      <c r="C5" s="26"/>
      <c r="D5" s="26"/>
    </row>
    <row r="6" spans="1:6" x14ac:dyDescent="0.25">
      <c r="C6" s="106" t="s">
        <v>75</v>
      </c>
      <c r="D6" s="106"/>
    </row>
    <row r="7" spans="1:6" x14ac:dyDescent="0.25">
      <c r="C7" s="80" t="s">
        <v>14</v>
      </c>
      <c r="D7" s="80" t="s">
        <v>16</v>
      </c>
    </row>
    <row r="9" spans="1:6" x14ac:dyDescent="0.25">
      <c r="A9" s="1" t="s">
        <v>15</v>
      </c>
      <c r="C9" s="82">
        <v>5301.8500000000013</v>
      </c>
      <c r="D9" s="82">
        <v>7067.1080000000002</v>
      </c>
    </row>
    <row r="11" spans="1:6" x14ac:dyDescent="0.25">
      <c r="A11" s="1" t="s">
        <v>25</v>
      </c>
      <c r="B11" s="46">
        <f>'WACC - Carrying Charges'!$A$29</f>
        <v>0.20877579435709526</v>
      </c>
      <c r="C11" s="3">
        <f>C9*$B$11</f>
        <v>1106.8979453121658</v>
      </c>
      <c r="D11" s="3">
        <f t="shared" ref="D11" si="0">D9*$B$11</f>
        <v>1475.4410865073828</v>
      </c>
    </row>
    <row r="13" spans="1:6" x14ac:dyDescent="0.25">
      <c r="A13" s="1" t="s">
        <v>31</v>
      </c>
      <c r="C13" s="3">
        <v>126</v>
      </c>
      <c r="D13" s="3">
        <v>126</v>
      </c>
    </row>
    <row r="14" spans="1:6" x14ac:dyDescent="0.25">
      <c r="A14" s="67" t="s">
        <v>32</v>
      </c>
      <c r="C14" s="4">
        <v>255</v>
      </c>
      <c r="D14" s="4">
        <v>510</v>
      </c>
    </row>
    <row r="15" spans="1:6" x14ac:dyDescent="0.25">
      <c r="C15" s="3">
        <f>SUM(C11:C14)</f>
        <v>1487.8979453121658</v>
      </c>
      <c r="D15" s="3">
        <f t="shared" ref="D15" si="1">SUM(D11:D14)</f>
        <v>2111.4410865073828</v>
      </c>
    </row>
    <row r="17" spans="1:4" x14ac:dyDescent="0.25">
      <c r="A17" s="1" t="s">
        <v>78</v>
      </c>
      <c r="C17" s="3">
        <f>C15/12</f>
        <v>123.99149544268049</v>
      </c>
      <c r="D17" s="3">
        <f>D15/12</f>
        <v>175.95342387561524</v>
      </c>
    </row>
    <row r="18" spans="1:4" x14ac:dyDescent="0.25">
      <c r="A18" s="1" t="s">
        <v>76</v>
      </c>
      <c r="C18" s="83" t="s">
        <v>77</v>
      </c>
      <c r="D18" s="83" t="s">
        <v>77</v>
      </c>
    </row>
    <row r="19" spans="1:4" x14ac:dyDescent="0.25">
      <c r="A19" s="1" t="s">
        <v>27</v>
      </c>
      <c r="B19" s="84">
        <f>'ECR FAC TCJA'!$B$21</f>
        <v>0.11379</v>
      </c>
      <c r="C19" s="3">
        <f>$B$19*'2017 EV Usage Data'!C26</f>
        <v>125.94393265799999</v>
      </c>
      <c r="D19" s="3">
        <f>C19*2</f>
        <v>251.88786531599999</v>
      </c>
    </row>
    <row r="20" spans="1:4" x14ac:dyDescent="0.25">
      <c r="A20" s="1" t="s">
        <v>28</v>
      </c>
      <c r="C20" s="3">
        <f>C19/12</f>
        <v>10.495327721499999</v>
      </c>
      <c r="D20" s="3">
        <f t="shared" ref="D20" si="2">D19/12</f>
        <v>20.990655442999998</v>
      </c>
    </row>
    <row r="21" spans="1:4" x14ac:dyDescent="0.25">
      <c r="A21" s="1" t="s">
        <v>29</v>
      </c>
      <c r="C21" s="83" t="s">
        <v>77</v>
      </c>
      <c r="D21" s="83" t="s">
        <v>77</v>
      </c>
    </row>
    <row r="22" spans="1:4" x14ac:dyDescent="0.25">
      <c r="A22" s="1" t="s">
        <v>17</v>
      </c>
      <c r="C22" s="28">
        <v>0</v>
      </c>
      <c r="D22" s="28">
        <v>0</v>
      </c>
    </row>
    <row r="23" spans="1:4" x14ac:dyDescent="0.25">
      <c r="A23" s="1" t="s">
        <v>18</v>
      </c>
      <c r="C23" s="82">
        <f>'2017 EV Usage Data'!$C$26/12*'ECR FAC TCJA'!$B$24</f>
        <v>-0.70365689050458335</v>
      </c>
      <c r="D23" s="82">
        <f>C23*2</f>
        <v>-1.4073137810091667</v>
      </c>
    </row>
    <row r="24" spans="1:4" x14ac:dyDescent="0.25">
      <c r="A24" s="1" t="s">
        <v>21</v>
      </c>
      <c r="C24" s="82">
        <f>'2017 EV Usage Data'!$C$26/12*'ECR FAC TCJA'!$C$24</f>
        <v>0.5527744218698214</v>
      </c>
      <c r="D24" s="82">
        <f t="shared" ref="D24:D25" si="3">C24*2</f>
        <v>1.1055488437396428</v>
      </c>
    </row>
    <row r="25" spans="1:4" hidden="1" x14ac:dyDescent="0.25">
      <c r="A25" s="1" t="s">
        <v>81</v>
      </c>
      <c r="C25" s="86">
        <f>'2017 EV Usage Data'!$C$26/12*'ECR FAC TCJA'!$D$24</f>
        <v>0</v>
      </c>
      <c r="D25" s="86">
        <f t="shared" si="3"/>
        <v>0</v>
      </c>
    </row>
    <row r="26" spans="1:4" x14ac:dyDescent="0.25">
      <c r="A26" s="1" t="s">
        <v>20</v>
      </c>
      <c r="C26" s="28">
        <v>0</v>
      </c>
      <c r="D26" s="28">
        <v>0</v>
      </c>
    </row>
    <row r="27" spans="1:4" x14ac:dyDescent="0.25">
      <c r="A27" s="1" t="s">
        <v>19</v>
      </c>
      <c r="C27" s="28">
        <v>0</v>
      </c>
      <c r="D27" s="28">
        <v>0</v>
      </c>
    </row>
    <row r="28" spans="1:4" x14ac:dyDescent="0.25">
      <c r="A28" s="1" t="s">
        <v>23</v>
      </c>
      <c r="C28" s="28">
        <v>0</v>
      </c>
      <c r="D28" s="28">
        <v>0</v>
      </c>
    </row>
    <row r="29" spans="1:4" x14ac:dyDescent="0.25">
      <c r="A29" s="1" t="s">
        <v>30</v>
      </c>
      <c r="C29" s="94">
        <f>C17+C20+C22+C23+C24+C25+C26+C27+C28</f>
        <v>134.33594069554573</v>
      </c>
      <c r="D29" s="94">
        <f>D17+D20+D22+D23+D24+D25+D26+D27+D28</f>
        <v>196.64231438134573</v>
      </c>
    </row>
    <row r="30" spans="1:4" x14ac:dyDescent="0.25">
      <c r="A30" s="1" t="s">
        <v>24</v>
      </c>
      <c r="C30" s="91"/>
      <c r="D30" s="91"/>
    </row>
    <row r="31" spans="1:4" x14ac:dyDescent="0.25">
      <c r="A31" s="1" t="s">
        <v>83</v>
      </c>
      <c r="C31" s="94">
        <f>C17</f>
        <v>123.99149544268049</v>
      </c>
      <c r="D31" s="94">
        <f>D17</f>
        <v>175.95342387561524</v>
      </c>
    </row>
    <row r="32" spans="1:4" x14ac:dyDescent="0.25">
      <c r="C32" s="94"/>
      <c r="D32" s="94"/>
    </row>
    <row r="33" spans="1:5" x14ac:dyDescent="0.25">
      <c r="C33" s="94"/>
      <c r="D33" s="94"/>
    </row>
    <row r="35" spans="1:5" ht="30" customHeight="1" x14ac:dyDescent="0.25">
      <c r="A35" s="105" t="s">
        <v>92</v>
      </c>
      <c r="B35" s="105"/>
      <c r="C35" s="105"/>
      <c r="D35" s="105"/>
      <c r="E35" s="105"/>
    </row>
    <row r="36" spans="1:5" x14ac:dyDescent="0.25">
      <c r="A36" s="1" t="s">
        <v>91</v>
      </c>
    </row>
  </sheetData>
  <mergeCells count="3">
    <mergeCell ref="A4:B4"/>
    <mergeCell ref="A35:E35"/>
    <mergeCell ref="C6:D6"/>
  </mergeCells>
  <pageMargins left="0.7" right="0.7" top="0.75" bottom="0.75" header="0.3" footer="0.3"/>
  <pageSetup scale="73"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F36"/>
  <sheetViews>
    <sheetView zoomScale="80" zoomScaleNormal="80" workbookViewId="0"/>
  </sheetViews>
  <sheetFormatPr defaultRowHeight="15.75" x14ac:dyDescent="0.25"/>
  <cols>
    <col min="1" max="1" width="53.21875" style="1" customWidth="1"/>
    <col min="2" max="2" width="9.33203125" style="1" bestFit="1" customWidth="1"/>
    <col min="3" max="4" width="14.33203125" style="1" customWidth="1"/>
    <col min="5" max="16384" width="8.88671875" style="1"/>
  </cols>
  <sheetData>
    <row r="1" spans="1:6" x14ac:dyDescent="0.25">
      <c r="F1" s="66" t="s">
        <v>94</v>
      </c>
    </row>
    <row r="2" spans="1:6" x14ac:dyDescent="0.25">
      <c r="F2" s="66" t="s">
        <v>96</v>
      </c>
    </row>
    <row r="3" spans="1:6" x14ac:dyDescent="0.25">
      <c r="A3" s="104" t="s">
        <v>82</v>
      </c>
      <c r="B3" s="104"/>
    </row>
    <row r="4" spans="1:6" x14ac:dyDescent="0.25">
      <c r="A4" s="104" t="s">
        <v>93</v>
      </c>
      <c r="B4" s="104"/>
    </row>
    <row r="5" spans="1:6" x14ac:dyDescent="0.25">
      <c r="C5" s="81"/>
      <c r="D5" s="81"/>
    </row>
    <row r="6" spans="1:6" x14ac:dyDescent="0.25">
      <c r="C6" s="106" t="s">
        <v>75</v>
      </c>
      <c r="D6" s="106"/>
    </row>
    <row r="7" spans="1:6" x14ac:dyDescent="0.25">
      <c r="C7" s="80" t="s">
        <v>14</v>
      </c>
      <c r="D7" s="80" t="s">
        <v>16</v>
      </c>
    </row>
    <row r="9" spans="1:6" x14ac:dyDescent="0.25">
      <c r="A9" s="1" t="s">
        <v>15</v>
      </c>
      <c r="C9" s="82">
        <v>5301.8500000000013</v>
      </c>
      <c r="D9" s="82">
        <v>7067.1080000000002</v>
      </c>
    </row>
    <row r="11" spans="1:6" x14ac:dyDescent="0.25">
      <c r="A11" s="1" t="s">
        <v>25</v>
      </c>
      <c r="B11" s="46">
        <f>'WACC - Carrying Charges'!$I$29</f>
        <v>0.21138502435709527</v>
      </c>
      <c r="C11" s="3">
        <f>C9*$B$11</f>
        <v>1120.7316913876659</v>
      </c>
      <c r="D11" s="3">
        <f t="shared" ref="D11" si="0">D9*$B$11</f>
        <v>1493.8807967142229</v>
      </c>
    </row>
    <row r="13" spans="1:6" x14ac:dyDescent="0.25">
      <c r="A13" s="1" t="s">
        <v>31</v>
      </c>
      <c r="C13" s="3">
        <v>126</v>
      </c>
      <c r="D13" s="3">
        <v>126</v>
      </c>
    </row>
    <row r="14" spans="1:6" x14ac:dyDescent="0.25">
      <c r="A14" s="67" t="s">
        <v>32</v>
      </c>
      <c r="C14" s="4">
        <v>255</v>
      </c>
      <c r="D14" s="4">
        <v>510</v>
      </c>
    </row>
    <row r="15" spans="1:6" x14ac:dyDescent="0.25">
      <c r="C15" s="3">
        <f>SUM(C11:C14)</f>
        <v>1501.7316913876659</v>
      </c>
      <c r="D15" s="3">
        <f t="shared" ref="D15" si="1">SUM(D11:D14)</f>
        <v>2129.8807967142229</v>
      </c>
    </row>
    <row r="17" spans="1:4" x14ac:dyDescent="0.25">
      <c r="A17" s="1" t="s">
        <v>78</v>
      </c>
      <c r="C17" s="3">
        <f>C15/12</f>
        <v>125.14430761563882</v>
      </c>
      <c r="D17" s="3">
        <f>D15/12</f>
        <v>177.4900663928519</v>
      </c>
    </row>
    <row r="18" spans="1:4" x14ac:dyDescent="0.25">
      <c r="A18" s="1" t="s">
        <v>76</v>
      </c>
      <c r="C18" s="83" t="s">
        <v>77</v>
      </c>
      <c r="D18" s="83" t="s">
        <v>77</v>
      </c>
    </row>
    <row r="19" spans="1:4" x14ac:dyDescent="0.25">
      <c r="A19" s="1" t="s">
        <v>27</v>
      </c>
      <c r="B19" s="84">
        <f>'ECR FAC TCJA'!$G$21</f>
        <v>0.10637000000000001</v>
      </c>
      <c r="C19" s="3">
        <f>$B$19*'2017 EV Usage Data'!C26</f>
        <v>117.731400974</v>
      </c>
      <c r="D19" s="3">
        <f>C19*2</f>
        <v>235.46280194799999</v>
      </c>
    </row>
    <row r="20" spans="1:4" x14ac:dyDescent="0.25">
      <c r="A20" s="1" t="s">
        <v>28</v>
      </c>
      <c r="C20" s="3">
        <f>C19/12</f>
        <v>9.8109500811666663</v>
      </c>
      <c r="D20" s="3">
        <f t="shared" ref="D20" si="2">D19/12</f>
        <v>19.621900162333333</v>
      </c>
    </row>
    <row r="21" spans="1:4" x14ac:dyDescent="0.25">
      <c r="A21" s="1" t="s">
        <v>29</v>
      </c>
      <c r="C21" s="83" t="s">
        <v>77</v>
      </c>
      <c r="D21" s="83" t="s">
        <v>77</v>
      </c>
    </row>
    <row r="22" spans="1:4" x14ac:dyDescent="0.25">
      <c r="A22" s="1" t="s">
        <v>17</v>
      </c>
      <c r="C22" s="28">
        <v>0</v>
      </c>
      <c r="D22" s="28">
        <v>0</v>
      </c>
    </row>
    <row r="23" spans="1:4" x14ac:dyDescent="0.25">
      <c r="A23" s="1" t="s">
        <v>18</v>
      </c>
      <c r="C23" s="82">
        <f>'2017 EV Usage Data'!$C$26/12*'ECR FAC TCJA'!$G$24</f>
        <v>-0.48143322950861106</v>
      </c>
      <c r="D23" s="82">
        <f>C23*2</f>
        <v>-0.96286645901722212</v>
      </c>
    </row>
    <row r="24" spans="1:4" x14ac:dyDescent="0.25">
      <c r="A24" s="1" t="s">
        <v>21</v>
      </c>
      <c r="C24" s="82">
        <f>'2017 EV Usage Data'!$C$26/12*'ECR FAC TCJA'!$H$24</f>
        <v>1.3518560941662199</v>
      </c>
      <c r="D24" s="82">
        <f t="shared" ref="D24:D25" si="3">C24*2</f>
        <v>2.7037121883324398</v>
      </c>
    </row>
    <row r="25" spans="1:4" hidden="1" x14ac:dyDescent="0.25">
      <c r="A25" s="1" t="s">
        <v>81</v>
      </c>
      <c r="C25" s="86">
        <f>'2017 EV Usage Data'!$C$26/12*'ECR FAC TCJA'!$I$24</f>
        <v>0</v>
      </c>
      <c r="D25" s="86">
        <f t="shared" si="3"/>
        <v>0</v>
      </c>
    </row>
    <row r="26" spans="1:4" x14ac:dyDescent="0.25">
      <c r="A26" s="1" t="s">
        <v>20</v>
      </c>
      <c r="C26" s="28">
        <v>0</v>
      </c>
      <c r="D26" s="28">
        <v>0</v>
      </c>
    </row>
    <row r="27" spans="1:4" x14ac:dyDescent="0.25">
      <c r="A27" s="1" t="s">
        <v>19</v>
      </c>
      <c r="C27" s="28">
        <v>0</v>
      </c>
      <c r="D27" s="28">
        <v>0</v>
      </c>
    </row>
    <row r="28" spans="1:4" x14ac:dyDescent="0.25">
      <c r="A28" s="1" t="s">
        <v>23</v>
      </c>
      <c r="C28" s="28">
        <v>0</v>
      </c>
      <c r="D28" s="28">
        <v>0</v>
      </c>
    </row>
    <row r="29" spans="1:4" x14ac:dyDescent="0.25">
      <c r="A29" s="1" t="s">
        <v>30</v>
      </c>
      <c r="C29" s="94">
        <f>C17+C20+C22+C23+C24+C25+C26+C27+C28</f>
        <v>135.82568056146309</v>
      </c>
      <c r="D29" s="94">
        <f>D17+D20+D22+D23+D24+D25+D26+D27+D28</f>
        <v>198.85281228450046</v>
      </c>
    </row>
    <row r="30" spans="1:4" x14ac:dyDescent="0.25">
      <c r="A30" s="1" t="s">
        <v>24</v>
      </c>
      <c r="C30" s="91"/>
      <c r="D30" s="91"/>
    </row>
    <row r="31" spans="1:4" x14ac:dyDescent="0.25">
      <c r="A31" s="1" t="s">
        <v>83</v>
      </c>
      <c r="C31" s="94">
        <f>C17</f>
        <v>125.14430761563882</v>
      </c>
      <c r="D31" s="94">
        <f>D17</f>
        <v>177.4900663928519</v>
      </c>
    </row>
    <row r="32" spans="1:4" x14ac:dyDescent="0.25">
      <c r="C32" s="94"/>
      <c r="D32" s="94"/>
    </row>
    <row r="33" spans="1:5" x14ac:dyDescent="0.25">
      <c r="C33" s="94"/>
      <c r="D33" s="94"/>
    </row>
    <row r="35" spans="1:5" ht="27.75" customHeight="1" x14ac:dyDescent="0.25">
      <c r="A35" s="105" t="s">
        <v>92</v>
      </c>
      <c r="B35" s="105"/>
      <c r="C35" s="105"/>
      <c r="D35" s="105"/>
      <c r="E35" s="105"/>
    </row>
    <row r="36" spans="1:5" x14ac:dyDescent="0.25">
      <c r="A36" s="1" t="s">
        <v>91</v>
      </c>
    </row>
  </sheetData>
  <mergeCells count="4">
    <mergeCell ref="A3:B3"/>
    <mergeCell ref="A4:B4"/>
    <mergeCell ref="C6:D6"/>
    <mergeCell ref="A35:E35"/>
  </mergeCells>
  <pageMargins left="0.7" right="0.7" top="0.75" bottom="0.75" header="0.3" footer="0.3"/>
  <pageSetup scale="6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zoomScale="80" zoomScaleNormal="80" workbookViewId="0"/>
  </sheetViews>
  <sheetFormatPr defaultRowHeight="15" x14ac:dyDescent="0.25"/>
  <cols>
    <col min="1" max="1" width="8.88671875" style="95"/>
    <col min="2" max="4" width="10.6640625" style="95" customWidth="1"/>
    <col min="5" max="5" width="2.109375" style="95" customWidth="1"/>
    <col min="6" max="8" width="10.6640625" style="95" customWidth="1"/>
    <col min="9" max="16384" width="8.88671875" style="95"/>
  </cols>
  <sheetData>
    <row r="1" spans="1:10" ht="15.75" x14ac:dyDescent="0.25">
      <c r="J1" s="99" t="s">
        <v>94</v>
      </c>
    </row>
    <row r="2" spans="1:10" ht="15.75" x14ac:dyDescent="0.25">
      <c r="J2" s="99" t="s">
        <v>105</v>
      </c>
    </row>
    <row r="3" spans="1:10" ht="15.75" x14ac:dyDescent="0.25">
      <c r="A3" s="97" t="s">
        <v>97</v>
      </c>
    </row>
    <row r="4" spans="1:10" ht="15.75" x14ac:dyDescent="0.25">
      <c r="A4" s="98" t="s">
        <v>98</v>
      </c>
    </row>
    <row r="6" spans="1:10" ht="51.75" x14ac:dyDescent="0.4">
      <c r="B6" s="96" t="s">
        <v>99</v>
      </c>
      <c r="C6" s="96" t="s">
        <v>100</v>
      </c>
      <c r="D6" s="96" t="s">
        <v>101</v>
      </c>
      <c r="E6" s="96"/>
      <c r="F6" s="96" t="s">
        <v>102</v>
      </c>
      <c r="G6" s="96" t="s">
        <v>103</v>
      </c>
      <c r="H6" s="96" t="s">
        <v>104</v>
      </c>
    </row>
    <row r="7" spans="1:10" x14ac:dyDescent="0.25">
      <c r="A7" s="100" t="s">
        <v>22</v>
      </c>
      <c r="B7" s="100">
        <v>28</v>
      </c>
      <c r="C7" s="101">
        <v>204.31</v>
      </c>
      <c r="D7" s="102">
        <f>ROUND($B7*C7,0)</f>
        <v>5721</v>
      </c>
      <c r="E7" s="103"/>
      <c r="F7" s="101">
        <v>175.95</v>
      </c>
      <c r="G7" s="102">
        <f>ROUND($B7*F7,0)</f>
        <v>4927</v>
      </c>
      <c r="H7" s="102">
        <f>G7-D7</f>
        <v>-794</v>
      </c>
    </row>
    <row r="8" spans="1:10" x14ac:dyDescent="0.25">
      <c r="A8" s="100"/>
      <c r="B8" s="100"/>
      <c r="C8" s="103"/>
      <c r="D8" s="103"/>
      <c r="E8" s="103"/>
      <c r="F8" s="103"/>
      <c r="G8" s="103"/>
      <c r="H8" s="103"/>
    </row>
    <row r="9" spans="1:10" x14ac:dyDescent="0.25">
      <c r="A9" s="100" t="s">
        <v>36</v>
      </c>
      <c r="B9" s="100">
        <v>52</v>
      </c>
      <c r="C9" s="101">
        <v>205.15</v>
      </c>
      <c r="D9" s="102">
        <f>ROUND($B9*C9,0)</f>
        <v>10668</v>
      </c>
      <c r="E9" s="103"/>
      <c r="F9" s="101">
        <v>177.49</v>
      </c>
      <c r="G9" s="102">
        <f>ROUND($B9*F9,0)</f>
        <v>9229</v>
      </c>
      <c r="H9" s="102">
        <f>G9-D9</f>
        <v>-1439</v>
      </c>
    </row>
    <row r="10" spans="1:10" x14ac:dyDescent="0.25">
      <c r="C10" s="103"/>
      <c r="D10" s="103"/>
      <c r="E10" s="103"/>
      <c r="F10" s="103"/>
      <c r="G10" s="103"/>
      <c r="H10" s="103"/>
    </row>
    <row r="12" spans="1:10" x14ac:dyDescent="0.25">
      <c r="A12" s="95" t="s">
        <v>106</v>
      </c>
    </row>
  </sheetData>
  <pageMargins left="0.7" right="0.7" top="0.75" bottom="0.75" header="0.3" footer="0.3"/>
  <pageSetup scale="68"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80" zoomScaleNormal="80" workbookViewId="0"/>
  </sheetViews>
  <sheetFormatPr defaultRowHeight="15.75" x14ac:dyDescent="0.25"/>
  <cols>
    <col min="1" max="1" width="8.88671875" style="1"/>
    <col min="2" max="2" width="9.33203125" style="1" bestFit="1" customWidth="1"/>
    <col min="3" max="4" width="8.88671875" style="1"/>
    <col min="5" max="5" width="13.88671875" style="1" bestFit="1" customWidth="1"/>
    <col min="6" max="6" width="8.88671875" style="1"/>
    <col min="7" max="7" width="9.33203125" style="1" bestFit="1" customWidth="1"/>
    <col min="8" max="9" width="8.88671875" style="1"/>
    <col min="10" max="10" width="13.88671875" style="1" bestFit="1" customWidth="1"/>
    <col min="11" max="16384" width="8.88671875" style="1"/>
  </cols>
  <sheetData>
    <row r="1" spans="1:9" ht="21" x14ac:dyDescent="0.35">
      <c r="A1" s="31" t="s">
        <v>22</v>
      </c>
      <c r="F1" s="43" t="s">
        <v>36</v>
      </c>
    </row>
    <row r="2" spans="1:9" x14ac:dyDescent="0.25">
      <c r="B2" s="2" t="s">
        <v>46</v>
      </c>
      <c r="C2" s="2" t="s">
        <v>49</v>
      </c>
      <c r="D2" s="2" t="s">
        <v>50</v>
      </c>
      <c r="G2" s="2" t="s">
        <v>46</v>
      </c>
      <c r="H2" s="2" t="s">
        <v>49</v>
      </c>
      <c r="I2" s="2" t="s">
        <v>50</v>
      </c>
    </row>
    <row r="3" spans="1:9" x14ac:dyDescent="0.25">
      <c r="A3" s="51">
        <v>43344</v>
      </c>
      <c r="B3" s="52">
        <v>-3.0300000000000001E-3</v>
      </c>
      <c r="C3" s="57">
        <v>-1.3299999999999999E-2</v>
      </c>
      <c r="D3" s="52">
        <v>-3.2299999999999998E-3</v>
      </c>
      <c r="F3" s="51">
        <v>43344</v>
      </c>
      <c r="G3" s="52">
        <v>-6.9999999999999999E-4</v>
      </c>
      <c r="H3" s="57">
        <v>-5.0799999999999998E-2</v>
      </c>
      <c r="I3" s="52">
        <v>-3.4399999999999999E-3</v>
      </c>
    </row>
    <row r="4" spans="1:9" x14ac:dyDescent="0.25">
      <c r="A4" s="50">
        <f>IF(MONTH(A3)=1,DATE(YEAR(A3)-1,12,1),DATE(YEAR(A3),MONTH(A3)-1,1))</f>
        <v>43313</v>
      </c>
      <c r="B4" s="52">
        <v>-1.9599999999999999E-3</v>
      </c>
      <c r="C4" s="57">
        <v>-1.0500000000000001E-2</v>
      </c>
      <c r="D4" s="52">
        <v>-3.2299999999999998E-3</v>
      </c>
      <c r="F4" s="50">
        <f>IF(MONTH(F3)=1,DATE(YEAR(F3)-1,12,1),DATE(YEAR(F3),MONTH(F3)-1,1))</f>
        <v>43313</v>
      </c>
      <c r="G4" s="52">
        <v>-9.3000000000000005E-4</v>
      </c>
      <c r="H4" s="57">
        <v>-3.7900000000000003E-2</v>
      </c>
      <c r="I4" s="52">
        <v>-3.4399999999999999E-3</v>
      </c>
    </row>
    <row r="5" spans="1:9" x14ac:dyDescent="0.25">
      <c r="A5" s="50">
        <f t="shared" ref="A5:A14" si="0">IF(MONTH(A4)=1,DATE(YEAR(A4)-1,12,1),DATE(YEAR(A4),MONTH(A4)-1,1))</f>
        <v>43282</v>
      </c>
      <c r="B5" s="52">
        <v>-2.15E-3</v>
      </c>
      <c r="C5" s="57">
        <v>9.1000000000000004E-3</v>
      </c>
      <c r="D5" s="52">
        <v>-3.2299999999999998E-3</v>
      </c>
      <c r="F5" s="50">
        <f t="shared" ref="F5:F12" si="1">IF(MONTH(F4)=1,DATE(YEAR(F4)-1,12,1),DATE(YEAR(F4),MONTH(F4)-1,1))</f>
        <v>43282</v>
      </c>
      <c r="G5" s="52">
        <v>-6.2E-4</v>
      </c>
      <c r="H5" s="57">
        <v>3.3E-3</v>
      </c>
      <c r="I5" s="52">
        <v>-3.4399999999999999E-3</v>
      </c>
    </row>
    <row r="6" spans="1:9" x14ac:dyDescent="0.25">
      <c r="A6" s="50">
        <f t="shared" si="0"/>
        <v>43252</v>
      </c>
      <c r="B6" s="52">
        <v>-1.8799999999999999E-3</v>
      </c>
      <c r="C6" s="57">
        <v>-2.5000000000000001E-3</v>
      </c>
      <c r="D6" s="52">
        <v>-3.2299999999999998E-3</v>
      </c>
      <c r="F6" s="50">
        <f t="shared" si="1"/>
        <v>43252</v>
      </c>
      <c r="G6" s="52">
        <v>-5.8E-4</v>
      </c>
      <c r="H6" s="57">
        <v>2.8899999999999999E-2</v>
      </c>
      <c r="I6" s="52">
        <v>-3.4399999999999999E-3</v>
      </c>
    </row>
    <row r="7" spans="1:9" x14ac:dyDescent="0.25">
      <c r="A7" s="50">
        <f t="shared" si="0"/>
        <v>43221</v>
      </c>
      <c r="B7" s="52">
        <v>-9.7000000000000005E-4</v>
      </c>
      <c r="C7" s="57">
        <v>-3.0999999999999999E-3</v>
      </c>
      <c r="D7" s="52">
        <v>-3.2299999999999998E-3</v>
      </c>
      <c r="F7" s="50">
        <f t="shared" si="1"/>
        <v>43221</v>
      </c>
      <c r="G7" s="52">
        <v>-2.33E-3</v>
      </c>
      <c r="H7" s="57">
        <v>2.9399999999999999E-2</v>
      </c>
      <c r="I7" s="52">
        <v>-3.4399999999999999E-3</v>
      </c>
    </row>
    <row r="8" spans="1:9" x14ac:dyDescent="0.25">
      <c r="A8" s="50">
        <f t="shared" si="0"/>
        <v>43191</v>
      </c>
      <c r="B8" s="52">
        <v>-1.4400000000000001E-3</v>
      </c>
      <c r="C8" s="57">
        <v>-2.2800000000000001E-2</v>
      </c>
      <c r="D8" s="52">
        <v>-3.2299999999999998E-3</v>
      </c>
      <c r="F8" s="50">
        <f t="shared" si="1"/>
        <v>43191</v>
      </c>
      <c r="G8" s="52">
        <v>1.31E-3</v>
      </c>
      <c r="H8" s="57">
        <v>2.5499999999999998E-2</v>
      </c>
      <c r="I8" s="52">
        <v>-3.4399999999999999E-3</v>
      </c>
    </row>
    <row r="9" spans="1:9" x14ac:dyDescent="0.25">
      <c r="A9" s="50">
        <f t="shared" si="0"/>
        <v>43160</v>
      </c>
      <c r="B9" s="52">
        <v>1.57E-3</v>
      </c>
      <c r="C9" s="57">
        <v>-5.1000000000000004E-3</v>
      </c>
      <c r="F9" s="50">
        <f t="shared" si="1"/>
        <v>43160</v>
      </c>
      <c r="G9" s="52">
        <v>-5.8700000000000002E-3</v>
      </c>
      <c r="H9" s="57">
        <v>4.5400000000000003E-2</v>
      </c>
    </row>
    <row r="10" spans="1:9" x14ac:dyDescent="0.25">
      <c r="A10" s="50">
        <f t="shared" si="0"/>
        <v>43132</v>
      </c>
      <c r="B10" s="52">
        <v>-1.57E-3</v>
      </c>
      <c r="C10" s="57">
        <v>5.7000000000000002E-2</v>
      </c>
      <c r="F10" s="50">
        <f t="shared" si="1"/>
        <v>43132</v>
      </c>
      <c r="G10" s="52">
        <v>-7.6000000000000004E-4</v>
      </c>
      <c r="H10" s="57">
        <v>0.1111</v>
      </c>
    </row>
    <row r="11" spans="1:9" x14ac:dyDescent="0.25">
      <c r="A11" s="50">
        <f t="shared" si="0"/>
        <v>43101</v>
      </c>
      <c r="B11" s="52">
        <v>-1.15E-3</v>
      </c>
      <c r="C11" s="57">
        <v>5.8999999999999997E-2</v>
      </c>
      <c r="F11" s="50">
        <f t="shared" si="1"/>
        <v>43101</v>
      </c>
      <c r="G11" s="52">
        <v>1.9000000000000001E-4</v>
      </c>
      <c r="H11" s="57">
        <v>0.1217</v>
      </c>
    </row>
    <row r="12" spans="1:9" x14ac:dyDescent="0.25">
      <c r="A12" s="50">
        <f t="shared" si="0"/>
        <v>43070</v>
      </c>
      <c r="B12" s="52">
        <v>-2.4199999999999998E-3</v>
      </c>
      <c r="C12" s="57">
        <v>5.2699999999999997E-2</v>
      </c>
      <c r="F12" s="50">
        <f t="shared" si="1"/>
        <v>43070</v>
      </c>
      <c r="G12" s="52">
        <v>-1.07E-3</v>
      </c>
      <c r="H12" s="57">
        <v>9.1899999999999996E-2</v>
      </c>
    </row>
    <row r="13" spans="1:9" x14ac:dyDescent="0.25">
      <c r="A13" s="50">
        <f>IF(MONTH(A12)=1,DATE(YEAR(A12)-1,12,1),DATE(YEAR(A12),MONTH(A12)-1,1))</f>
        <v>43040</v>
      </c>
      <c r="B13" s="52">
        <v>-3.0899999999999999E-3</v>
      </c>
      <c r="C13" s="57">
        <v>4.7699999999999999E-2</v>
      </c>
      <c r="F13" s="50">
        <f>IF(MONTH(F12)=1,DATE(YEAR(F12)-1,12,1),DATE(YEAR(F12),MONTH(F12)-1,1))</f>
        <v>43040</v>
      </c>
      <c r="G13" s="52">
        <v>-6.8999999999999997E-4</v>
      </c>
      <c r="H13" s="57">
        <v>9.06E-2</v>
      </c>
    </row>
    <row r="14" spans="1:9" x14ac:dyDescent="0.25">
      <c r="A14" s="50">
        <f t="shared" si="0"/>
        <v>43009</v>
      </c>
      <c r="B14" s="54">
        <v>-4.7400000000000003E-3</v>
      </c>
      <c r="C14" s="58">
        <v>3.6299999999999999E-2</v>
      </c>
      <c r="D14" s="29"/>
      <c r="F14" s="50">
        <f t="shared" ref="F14" si="2">IF(MONTH(F13)=1,DATE(YEAR(F13)-1,12,1),DATE(YEAR(F13),MONTH(F13)-1,1))</f>
        <v>43009</v>
      </c>
      <c r="G14" s="54">
        <v>-3.5699999999999998E-3</v>
      </c>
      <c r="H14" s="58">
        <v>7.5200000000000003E-2</v>
      </c>
      <c r="I14" s="29"/>
    </row>
    <row r="15" spans="1:9" x14ac:dyDescent="0.25">
      <c r="A15" s="56" t="s">
        <v>26</v>
      </c>
      <c r="B15" s="55">
        <f>AVERAGE(B3:B14)</f>
        <v>-1.9025000000000003E-3</v>
      </c>
      <c r="C15" s="46">
        <f>AVERAGE(C3:C14)</f>
        <v>1.7041666666666667E-2</v>
      </c>
      <c r="D15" s="55">
        <f>AVERAGE(D3:D14)</f>
        <v>-3.2299999999999998E-3</v>
      </c>
      <c r="F15" s="56" t="s">
        <v>26</v>
      </c>
      <c r="G15" s="55">
        <f>AVERAGE(G3:G14)</f>
        <v>-1.3016666666666667E-3</v>
      </c>
      <c r="H15" s="46">
        <f>AVERAGE(H3:H14)</f>
        <v>4.4525000000000002E-2</v>
      </c>
      <c r="I15" s="55">
        <f>AVERAGE(I3:I14)</f>
        <v>-3.4399999999999999E-3</v>
      </c>
    </row>
    <row r="16" spans="1:9" x14ac:dyDescent="0.25">
      <c r="A16" s="50"/>
      <c r="F16" s="50"/>
    </row>
    <row r="17" spans="1:10" x14ac:dyDescent="0.25">
      <c r="B17" s="53">
        <v>2.6089999999999999E-2</v>
      </c>
      <c r="C17" s="1" t="s">
        <v>47</v>
      </c>
      <c r="G17" s="53">
        <v>2.4279999999999999E-2</v>
      </c>
      <c r="H17" s="1" t="s">
        <v>47</v>
      </c>
    </row>
    <row r="19" spans="1:10" x14ac:dyDescent="0.25">
      <c r="B19" s="79">
        <f>'2017 EV Usage Data'!$B$18</f>
        <v>4.01</v>
      </c>
      <c r="C19" s="1" t="s">
        <v>48</v>
      </c>
      <c r="G19" s="79">
        <f>'2017 EV Usage Data'!$B$18</f>
        <v>4.01</v>
      </c>
      <c r="H19" s="1" t="s">
        <v>48</v>
      </c>
    </row>
    <row r="21" spans="1:10" x14ac:dyDescent="0.25">
      <c r="B21" s="90">
        <v>0.11379</v>
      </c>
      <c r="C21" s="91" t="s">
        <v>52</v>
      </c>
      <c r="D21" s="91"/>
      <c r="E21" s="91"/>
      <c r="F21" s="91"/>
      <c r="G21" s="90">
        <v>0.10637000000000001</v>
      </c>
      <c r="H21" s="1" t="s">
        <v>52</v>
      </c>
    </row>
    <row r="23" spans="1:10" x14ac:dyDescent="0.25">
      <c r="B23" s="2" t="s">
        <v>46</v>
      </c>
      <c r="C23" s="2" t="s">
        <v>49</v>
      </c>
      <c r="D23" s="2" t="s">
        <v>50</v>
      </c>
      <c r="G23" s="2" t="s">
        <v>46</v>
      </c>
      <c r="H23" s="2" t="s">
        <v>49</v>
      </c>
      <c r="I23" s="2" t="s">
        <v>50</v>
      </c>
    </row>
    <row r="24" spans="1:10" x14ac:dyDescent="0.25">
      <c r="A24" s="60" t="s">
        <v>22</v>
      </c>
      <c r="B24" s="55">
        <f>B15*B19</f>
        <v>-7.6290250000000011E-3</v>
      </c>
      <c r="C24" s="55">
        <f>(B19*(B21-B17))*C15</f>
        <v>5.993162208333333E-3</v>
      </c>
      <c r="D24" s="88">
        <v>0</v>
      </c>
      <c r="E24" s="1" t="s">
        <v>51</v>
      </c>
      <c r="F24" s="59" t="s">
        <v>36</v>
      </c>
      <c r="G24" s="55">
        <f>G15*G19</f>
        <v>-5.2196833333333333E-3</v>
      </c>
      <c r="H24" s="55">
        <f>(G19*(G21-G17))*H15</f>
        <v>1.4656779572500001E-2</v>
      </c>
      <c r="I24" s="88">
        <v>0</v>
      </c>
      <c r="J24" s="1" t="s">
        <v>51</v>
      </c>
    </row>
    <row r="26" spans="1:10" x14ac:dyDescent="0.25">
      <c r="B26" s="3"/>
      <c r="C26" s="3"/>
      <c r="D26" s="3"/>
      <c r="G26" s="3"/>
      <c r="H26" s="3"/>
      <c r="I26" s="3"/>
    </row>
    <row r="29" spans="1:10" x14ac:dyDescent="0.25">
      <c r="A29" s="89"/>
      <c r="F29" s="89"/>
    </row>
    <row r="30" spans="1:10" x14ac:dyDescent="0.25">
      <c r="A30" s="89"/>
      <c r="F30" s="89"/>
    </row>
    <row r="31" spans="1:10" x14ac:dyDescent="0.25">
      <c r="A31" s="89"/>
      <c r="F31" s="89"/>
    </row>
    <row r="32" spans="1:10" x14ac:dyDescent="0.25">
      <c r="A32" s="89"/>
      <c r="F32" s="89"/>
    </row>
    <row r="33" spans="1:6" x14ac:dyDescent="0.25">
      <c r="A33" s="89"/>
      <c r="F33" s="89"/>
    </row>
    <row r="34" spans="1:6" x14ac:dyDescent="0.25">
      <c r="A34" s="89"/>
      <c r="F34" s="89"/>
    </row>
    <row r="35" spans="1:6" x14ac:dyDescent="0.25">
      <c r="A35" s="89"/>
      <c r="F35" s="89"/>
    </row>
    <row r="36" spans="1:6" x14ac:dyDescent="0.25">
      <c r="A36" s="89"/>
      <c r="F36" s="89"/>
    </row>
    <row r="37" spans="1:6" x14ac:dyDescent="0.25">
      <c r="A37" s="89"/>
      <c r="F37" s="89"/>
    </row>
    <row r="38" spans="1:6" x14ac:dyDescent="0.25">
      <c r="A38" s="89"/>
      <c r="F38" s="89"/>
    </row>
    <row r="39" spans="1:6" x14ac:dyDescent="0.25">
      <c r="A39" s="89"/>
      <c r="F39" s="89"/>
    </row>
    <row r="40" spans="1:6" x14ac:dyDescent="0.25">
      <c r="A40" s="89"/>
      <c r="F40" s="89"/>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zoomScale="80" zoomScaleNormal="80" workbookViewId="0"/>
  </sheetViews>
  <sheetFormatPr defaultRowHeight="15.75" x14ac:dyDescent="0.25"/>
  <cols>
    <col min="1" max="1" width="12.88671875" style="1" customWidth="1"/>
    <col min="2" max="2" width="11.6640625" style="1" bestFit="1" customWidth="1"/>
    <col min="3" max="8" width="8.88671875" style="1"/>
    <col min="9" max="9" width="13.6640625" style="1" customWidth="1"/>
    <col min="10" max="10" width="11.6640625" style="1" bestFit="1" customWidth="1"/>
    <col min="11" max="16384" width="8.88671875" style="1"/>
  </cols>
  <sheetData>
    <row r="1" spans="1:14" ht="21" x14ac:dyDescent="0.35">
      <c r="A1" s="30" t="s">
        <v>0</v>
      </c>
    </row>
    <row r="2" spans="1:14" x14ac:dyDescent="0.25">
      <c r="A2" s="25"/>
    </row>
    <row r="3" spans="1:14" ht="21" x14ac:dyDescent="0.35">
      <c r="A3" s="31" t="s">
        <v>22</v>
      </c>
      <c r="I3" s="43" t="s">
        <v>36</v>
      </c>
    </row>
    <row r="4" spans="1:14" x14ac:dyDescent="0.25">
      <c r="A4" s="1" t="s">
        <v>90</v>
      </c>
      <c r="I4" s="1" t="s">
        <v>90</v>
      </c>
    </row>
    <row r="5" spans="1:14" x14ac:dyDescent="0.25">
      <c r="A5" s="32"/>
      <c r="B5" s="8" t="s">
        <v>1</v>
      </c>
      <c r="C5" s="9" t="s">
        <v>7</v>
      </c>
      <c r="D5" s="33" t="s">
        <v>7</v>
      </c>
      <c r="E5" s="10" t="s">
        <v>9</v>
      </c>
      <c r="F5" s="6"/>
      <c r="I5" s="32"/>
      <c r="J5" s="8" t="s">
        <v>1</v>
      </c>
      <c r="K5" s="9" t="s">
        <v>7</v>
      </c>
      <c r="L5" s="33" t="s">
        <v>7</v>
      </c>
      <c r="M5" s="10" t="s">
        <v>9</v>
      </c>
      <c r="N5" s="6"/>
    </row>
    <row r="6" spans="1:14" x14ac:dyDescent="0.25">
      <c r="A6" s="34"/>
      <c r="B6" s="12" t="s">
        <v>35</v>
      </c>
      <c r="C6" s="12" t="s">
        <v>6</v>
      </c>
      <c r="D6" s="35" t="s">
        <v>10</v>
      </c>
      <c r="E6" s="41" t="s">
        <v>10</v>
      </c>
      <c r="F6" s="6"/>
      <c r="I6" s="34"/>
      <c r="J6" s="12" t="s">
        <v>35</v>
      </c>
      <c r="K6" s="12" t="s">
        <v>6</v>
      </c>
      <c r="L6" s="35" t="s">
        <v>10</v>
      </c>
      <c r="M6" s="41" t="s">
        <v>10</v>
      </c>
      <c r="N6" s="6"/>
    </row>
    <row r="7" spans="1:14" x14ac:dyDescent="0.25">
      <c r="A7" s="7" t="s">
        <v>34</v>
      </c>
      <c r="B7" s="36">
        <v>0.52839999999999998</v>
      </c>
      <c r="C7" s="39">
        <v>0.1042</v>
      </c>
      <c r="D7" s="14"/>
      <c r="E7" s="42">
        <f>B7*C7</f>
        <v>5.5059279999999995E-2</v>
      </c>
      <c r="F7" s="6"/>
      <c r="I7" s="7" t="s">
        <v>34</v>
      </c>
      <c r="J7" s="36">
        <v>0.52839999999999998</v>
      </c>
      <c r="K7" s="39">
        <v>0.1042</v>
      </c>
      <c r="L7" s="14"/>
      <c r="M7" s="42">
        <f>J7*K7</f>
        <v>5.5059279999999995E-2</v>
      </c>
      <c r="N7" s="6"/>
    </row>
    <row r="8" spans="1:14" x14ac:dyDescent="0.25">
      <c r="A8" s="7" t="s">
        <v>11</v>
      </c>
      <c r="B8" s="36">
        <v>1.2500000000000001E-2</v>
      </c>
      <c r="C8" s="13"/>
      <c r="D8" s="38">
        <v>3.2300000000000002E-2</v>
      </c>
      <c r="E8" s="15">
        <f>B8*D8</f>
        <v>4.0375000000000003E-4</v>
      </c>
      <c r="F8" s="6"/>
      <c r="I8" s="7" t="s">
        <v>11</v>
      </c>
      <c r="J8" s="36">
        <v>1.89E-2</v>
      </c>
      <c r="K8" s="13"/>
      <c r="L8" s="38">
        <v>3.2500000000000001E-2</v>
      </c>
      <c r="M8" s="15">
        <f>J8*L8</f>
        <v>6.1425E-4</v>
      </c>
      <c r="N8" s="6"/>
    </row>
    <row r="9" spans="1:14" x14ac:dyDescent="0.25">
      <c r="A9" s="11" t="s">
        <v>12</v>
      </c>
      <c r="B9" s="37">
        <v>0.45910000000000001</v>
      </c>
      <c r="C9" s="17"/>
      <c r="D9" s="40">
        <v>4.3799999999999999E-2</v>
      </c>
      <c r="E9" s="16">
        <f>B9*D9</f>
        <v>2.0108580000000001E-2</v>
      </c>
      <c r="F9" s="6"/>
      <c r="I9" s="11" t="s">
        <v>12</v>
      </c>
      <c r="J9" s="37">
        <v>0.45269999999999999</v>
      </c>
      <c r="K9" s="17"/>
      <c r="L9" s="40">
        <v>4.53E-2</v>
      </c>
      <c r="M9" s="16">
        <f>J9*L9</f>
        <v>2.0507310000000001E-2</v>
      </c>
      <c r="N9" s="6"/>
    </row>
    <row r="10" spans="1:14" x14ac:dyDescent="0.25">
      <c r="A10" s="7" t="s">
        <v>13</v>
      </c>
      <c r="B10" s="13">
        <f>SUM(B8:B9)</f>
        <v>0.47160000000000002</v>
      </c>
      <c r="C10" s="18"/>
      <c r="D10" s="19"/>
      <c r="E10" s="20"/>
      <c r="F10" s="6"/>
      <c r="I10" s="7" t="s">
        <v>13</v>
      </c>
      <c r="J10" s="13">
        <f>SUM(J8:J9)</f>
        <v>0.47160000000000002</v>
      </c>
      <c r="K10" s="18"/>
      <c r="L10" s="19"/>
      <c r="M10" s="20"/>
      <c r="N10" s="6"/>
    </row>
    <row r="11" spans="1:14" ht="16.5" thickBot="1" x14ac:dyDescent="0.3">
      <c r="A11" s="21" t="s">
        <v>2</v>
      </c>
      <c r="B11" s="22">
        <f>ROUNDUP(B7+B10,1)</f>
        <v>1</v>
      </c>
      <c r="C11" s="23"/>
      <c r="D11" s="23"/>
      <c r="E11" s="93">
        <f>SUM(E7:E9)</f>
        <v>7.5571609999999997E-2</v>
      </c>
      <c r="F11" s="24" t="s">
        <v>8</v>
      </c>
      <c r="I11" s="21" t="s">
        <v>2</v>
      </c>
      <c r="J11" s="22">
        <f>ROUNDUP(J7+J10,1)</f>
        <v>1</v>
      </c>
      <c r="K11" s="23"/>
      <c r="L11" s="23"/>
      <c r="M11" s="93">
        <f>SUM(M7:M9)</f>
        <v>7.618084E-2</v>
      </c>
      <c r="N11" s="24" t="s">
        <v>8</v>
      </c>
    </row>
    <row r="12" spans="1:14" ht="16.5" thickTop="1" x14ac:dyDescent="0.25"/>
    <row r="14" spans="1:14" ht="21" x14ac:dyDescent="0.35">
      <c r="A14" s="30" t="s">
        <v>37</v>
      </c>
    </row>
    <row r="16" spans="1:14" x14ac:dyDescent="0.25">
      <c r="A16" s="44">
        <v>0.21</v>
      </c>
      <c r="B16" s="1" t="s">
        <v>38</v>
      </c>
    </row>
    <row r="17" spans="1:13" x14ac:dyDescent="0.25">
      <c r="A17" s="87">
        <v>0.05</v>
      </c>
      <c r="B17" s="1" t="s">
        <v>88</v>
      </c>
    </row>
    <row r="18" spans="1:13" x14ac:dyDescent="0.25">
      <c r="A18" s="58">
        <v>-1.0500000000000001E-2</v>
      </c>
      <c r="B18" s="1" t="s">
        <v>89</v>
      </c>
    </row>
    <row r="19" spans="1:13" x14ac:dyDescent="0.25">
      <c r="A19" s="46">
        <f>SUM(A16:A18)</f>
        <v>0.2495</v>
      </c>
      <c r="B19" s="1" t="s">
        <v>39</v>
      </c>
    </row>
    <row r="21" spans="1:13" x14ac:dyDescent="0.25">
      <c r="A21" s="47">
        <f>(E7/(1-A19))*A19</f>
        <v>1.8304184357095271E-2</v>
      </c>
      <c r="B21" s="1" t="s">
        <v>42</v>
      </c>
    </row>
    <row r="22" spans="1:13" x14ac:dyDescent="0.25">
      <c r="A22" s="47">
        <f>(M7/(1-A19))*A19</f>
        <v>1.8304184357095271E-2</v>
      </c>
      <c r="B22" s="1" t="s">
        <v>43</v>
      </c>
    </row>
    <row r="24" spans="1:13" ht="21" x14ac:dyDescent="0.35">
      <c r="A24" s="31" t="s">
        <v>22</v>
      </c>
      <c r="I24" s="43" t="s">
        <v>36</v>
      </c>
    </row>
    <row r="25" spans="1:13" x14ac:dyDescent="0.25">
      <c r="A25" s="47">
        <f>E11</f>
        <v>7.5571609999999997E-2</v>
      </c>
      <c r="B25" s="1" t="s">
        <v>3</v>
      </c>
      <c r="I25" s="47">
        <f>M11</f>
        <v>7.618084E-2</v>
      </c>
      <c r="J25" s="1" t="s">
        <v>3</v>
      </c>
    </row>
    <row r="26" spans="1:13" x14ac:dyDescent="0.25">
      <c r="A26" s="48">
        <f>1/D26</f>
        <v>0.1</v>
      </c>
      <c r="B26" s="1" t="s">
        <v>40</v>
      </c>
      <c r="D26" s="27">
        <v>10</v>
      </c>
      <c r="E26" s="1" t="s">
        <v>4</v>
      </c>
      <c r="I26" s="48">
        <f>1/L26</f>
        <v>0.1</v>
      </c>
      <c r="J26" s="1" t="s">
        <v>40</v>
      </c>
      <c r="L26" s="27">
        <v>10</v>
      </c>
      <c r="M26" s="1" t="s">
        <v>4</v>
      </c>
    </row>
    <row r="27" spans="1:13" x14ac:dyDescent="0.25">
      <c r="A27" s="47">
        <f>A21</f>
        <v>1.8304184357095271E-2</v>
      </c>
      <c r="B27" s="1" t="s">
        <v>5</v>
      </c>
      <c r="I27" s="47">
        <f>A22</f>
        <v>1.8304184357095271E-2</v>
      </c>
      <c r="J27" s="1" t="s">
        <v>5</v>
      </c>
    </row>
    <row r="28" spans="1:13" ht="16.5" thickBot="1" x14ac:dyDescent="0.3">
      <c r="A28" s="85">
        <v>1.49E-2</v>
      </c>
      <c r="B28" s="1" t="s">
        <v>41</v>
      </c>
      <c r="I28" s="85">
        <v>1.6899999999999998E-2</v>
      </c>
      <c r="J28" s="1" t="s">
        <v>41</v>
      </c>
    </row>
    <row r="29" spans="1:13" ht="16.5" thickTop="1" x14ac:dyDescent="0.25">
      <c r="A29" s="49">
        <f>SUM(A25:A28)</f>
        <v>0.20877579435709526</v>
      </c>
      <c r="B29" s="5" t="s">
        <v>44</v>
      </c>
      <c r="I29" s="49">
        <f>SUM(I25:I28)</f>
        <v>0.21138502435709527</v>
      </c>
      <c r="J29" s="5" t="s">
        <v>45</v>
      </c>
    </row>
    <row r="32" spans="1:13" ht="21" x14ac:dyDescent="0.35">
      <c r="A32" s="71"/>
      <c r="B32" s="72"/>
      <c r="C32" s="72"/>
      <c r="D32" s="72"/>
    </row>
    <row r="33" spans="1:4" x14ac:dyDescent="0.25">
      <c r="A33" s="72"/>
      <c r="B33" s="72"/>
      <c r="C33" s="72"/>
      <c r="D33" s="72"/>
    </row>
    <row r="34" spans="1:4" x14ac:dyDescent="0.25">
      <c r="A34" s="73"/>
      <c r="B34" s="72"/>
      <c r="C34" s="72"/>
      <c r="D34" s="72"/>
    </row>
    <row r="35" spans="1:4" x14ac:dyDescent="0.25">
      <c r="A35" s="72"/>
      <c r="B35" s="72"/>
      <c r="C35" s="72"/>
      <c r="D35" s="72"/>
    </row>
    <row r="36" spans="1:4" x14ac:dyDescent="0.25">
      <c r="A36" s="74"/>
      <c r="B36" s="75"/>
      <c r="C36" s="74"/>
      <c r="D36" s="72"/>
    </row>
    <row r="37" spans="1:4" x14ac:dyDescent="0.25">
      <c r="A37" s="72"/>
      <c r="B37" s="76"/>
      <c r="C37" s="70"/>
      <c r="D37" s="72"/>
    </row>
    <row r="38" spans="1:4" x14ac:dyDescent="0.25">
      <c r="A38" s="72"/>
      <c r="B38" s="76"/>
      <c r="C38" s="70"/>
      <c r="D38" s="72"/>
    </row>
    <row r="39" spans="1:4" x14ac:dyDescent="0.25">
      <c r="A39" s="72"/>
      <c r="B39" s="76"/>
      <c r="C39" s="70"/>
      <c r="D39" s="72"/>
    </row>
    <row r="40" spans="1:4" x14ac:dyDescent="0.25">
      <c r="A40" s="72"/>
      <c r="B40" s="76"/>
      <c r="C40" s="70"/>
      <c r="D40" s="72"/>
    </row>
    <row r="41" spans="1:4" x14ac:dyDescent="0.25">
      <c r="A41" s="72"/>
      <c r="B41" s="76"/>
      <c r="C41" s="70"/>
      <c r="D41" s="72"/>
    </row>
    <row r="42" spans="1:4" x14ac:dyDescent="0.25">
      <c r="A42" s="72"/>
      <c r="B42" s="76"/>
      <c r="C42" s="70"/>
      <c r="D42" s="72"/>
    </row>
    <row r="43" spans="1:4" x14ac:dyDescent="0.25">
      <c r="A43" s="72"/>
      <c r="B43" s="76"/>
      <c r="C43" s="70"/>
      <c r="D43" s="72"/>
    </row>
    <row r="44" spans="1:4" x14ac:dyDescent="0.25">
      <c r="A44" s="72"/>
      <c r="B44" s="76"/>
      <c r="C44" s="70"/>
      <c r="D44" s="72"/>
    </row>
    <row r="45" spans="1:4" x14ac:dyDescent="0.25">
      <c r="A45" s="72"/>
      <c r="B45" s="76"/>
      <c r="C45" s="70"/>
      <c r="D45" s="72"/>
    </row>
    <row r="46" spans="1:4" x14ac:dyDescent="0.25">
      <c r="A46" s="72"/>
      <c r="B46" s="76"/>
      <c r="C46" s="70"/>
      <c r="D46" s="72"/>
    </row>
    <row r="47" spans="1:4" x14ac:dyDescent="0.25">
      <c r="A47" s="72"/>
      <c r="B47" s="76"/>
      <c r="C47" s="70"/>
      <c r="D47" s="72"/>
    </row>
    <row r="48" spans="1:4" x14ac:dyDescent="0.25">
      <c r="A48" s="72"/>
      <c r="B48" s="76"/>
      <c r="C48" s="70"/>
      <c r="D48" s="72"/>
    </row>
    <row r="49" spans="1:4" x14ac:dyDescent="0.25">
      <c r="A49" s="72"/>
      <c r="B49" s="77"/>
      <c r="C49" s="78"/>
      <c r="D49" s="72"/>
    </row>
  </sheetData>
  <pageMargins left="0.7" right="0.7" top="0.75" bottom="0.75" header="0.3" footer="0.3"/>
  <pageSetup orientation="portrait" r:id="rId1"/>
  <ignoredErrors>
    <ignoredError sqref="B1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zoomScale="80" zoomScaleNormal="80" workbookViewId="0"/>
  </sheetViews>
  <sheetFormatPr defaultRowHeight="15.75" x14ac:dyDescent="0.25"/>
  <cols>
    <col min="1" max="1" width="17.21875" style="1" customWidth="1"/>
    <col min="2" max="2" width="10.33203125" style="1" customWidth="1"/>
    <col min="3" max="3" width="11.21875" style="1" customWidth="1"/>
    <col min="4" max="4" width="8.88671875" style="1"/>
    <col min="5" max="5" width="15.33203125" style="1" customWidth="1"/>
    <col min="6" max="7" width="8.88671875" style="1"/>
    <col min="8" max="8" width="14.33203125" style="1" bestFit="1" customWidth="1"/>
    <col min="9" max="11" width="8.88671875" style="1"/>
    <col min="12" max="12" width="15.77734375" style="1" customWidth="1"/>
    <col min="13" max="16384" width="8.88671875" style="1"/>
  </cols>
  <sheetData>
    <row r="1" spans="1:13" ht="21" x14ac:dyDescent="0.35">
      <c r="A1" s="61" t="s">
        <v>71</v>
      </c>
    </row>
    <row r="2" spans="1:13" x14ac:dyDescent="0.25">
      <c r="A2" s="5" t="s">
        <v>54</v>
      </c>
      <c r="H2" s="5" t="s">
        <v>87</v>
      </c>
    </row>
    <row r="3" spans="1:13" ht="47.25" x14ac:dyDescent="0.25">
      <c r="A3" s="66" t="s">
        <v>55</v>
      </c>
      <c r="B3" s="62" t="s">
        <v>56</v>
      </c>
      <c r="C3" s="62" t="s">
        <v>57</v>
      </c>
      <c r="D3" s="62" t="s">
        <v>58</v>
      </c>
      <c r="E3" s="62" t="s">
        <v>70</v>
      </c>
      <c r="F3" s="62" t="s">
        <v>59</v>
      </c>
      <c r="H3" s="66" t="s">
        <v>55</v>
      </c>
      <c r="I3" s="62" t="s">
        <v>56</v>
      </c>
      <c r="J3" s="62" t="s">
        <v>57</v>
      </c>
      <c r="K3" s="62" t="s">
        <v>58</v>
      </c>
      <c r="L3" s="62" t="s">
        <v>70</v>
      </c>
      <c r="M3" s="62" t="s">
        <v>59</v>
      </c>
    </row>
    <row r="4" spans="1:13" x14ac:dyDescent="0.25">
      <c r="A4" s="56" t="s">
        <v>60</v>
      </c>
      <c r="B4" s="64">
        <v>365</v>
      </c>
      <c r="C4" s="64">
        <v>106</v>
      </c>
      <c r="D4" s="68">
        <f>4*B4</f>
        <v>1460</v>
      </c>
      <c r="E4" s="45">
        <f>C4/D4</f>
        <v>7.260273972602739E-2</v>
      </c>
      <c r="F4" s="45">
        <f>C4/(B4*24)</f>
        <v>1.2100456621004566E-2</v>
      </c>
      <c r="H4" s="56" t="s">
        <v>85</v>
      </c>
      <c r="I4" s="64">
        <v>365</v>
      </c>
      <c r="J4" s="64">
        <v>374</v>
      </c>
      <c r="K4" s="68">
        <f>4*I4</f>
        <v>1460</v>
      </c>
      <c r="L4" s="45">
        <f>J4/K4</f>
        <v>0.25616438356164384</v>
      </c>
      <c r="M4" s="45">
        <f>J4/(I4*24)</f>
        <v>4.269406392694064E-2</v>
      </c>
    </row>
    <row r="5" spans="1:13" x14ac:dyDescent="0.25">
      <c r="A5" s="56" t="s">
        <v>61</v>
      </c>
      <c r="B5" s="64">
        <v>353</v>
      </c>
      <c r="C5" s="64">
        <v>163</v>
      </c>
      <c r="D5" s="68">
        <f t="shared" ref="D5:D11" si="0">4*B5</f>
        <v>1412</v>
      </c>
      <c r="E5" s="45">
        <f t="shared" ref="E5:E11" si="1">C5/D5</f>
        <v>0.11543909348441926</v>
      </c>
      <c r="F5" s="45">
        <f t="shared" ref="F5:F12" si="2">C5/(B5*24)</f>
        <v>1.9239848914069876E-2</v>
      </c>
      <c r="H5" s="56" t="s">
        <v>86</v>
      </c>
      <c r="I5" s="64">
        <v>135</v>
      </c>
      <c r="J5" s="64">
        <v>0</v>
      </c>
      <c r="K5" s="68">
        <f t="shared" ref="K5" si="3">4*I5</f>
        <v>540</v>
      </c>
      <c r="L5" s="45">
        <f t="shared" ref="L5" si="4">J5/K5</f>
        <v>0</v>
      </c>
      <c r="M5" s="45">
        <f t="shared" ref="M5:M12" si="5">J5/(I5*24)</f>
        <v>0</v>
      </c>
    </row>
    <row r="6" spans="1:13" x14ac:dyDescent="0.25">
      <c r="A6" s="56" t="s">
        <v>62</v>
      </c>
      <c r="B6" s="64">
        <v>32</v>
      </c>
      <c r="C6" s="64">
        <v>0.4</v>
      </c>
      <c r="D6" s="68">
        <f t="shared" si="0"/>
        <v>128</v>
      </c>
      <c r="E6" s="45">
        <f t="shared" si="1"/>
        <v>3.1250000000000002E-3</v>
      </c>
      <c r="F6" s="45">
        <f t="shared" si="2"/>
        <v>5.2083333333333333E-4</v>
      </c>
      <c r="H6" s="56"/>
      <c r="I6" s="64"/>
      <c r="J6" s="64"/>
      <c r="K6" s="68"/>
      <c r="L6" s="45"/>
      <c r="M6" s="45"/>
    </row>
    <row r="7" spans="1:13" x14ac:dyDescent="0.25">
      <c r="A7" s="56" t="s">
        <v>63</v>
      </c>
      <c r="B7" s="64">
        <v>365</v>
      </c>
      <c r="C7" s="64">
        <v>94</v>
      </c>
      <c r="D7" s="68">
        <f t="shared" si="0"/>
        <v>1460</v>
      </c>
      <c r="E7" s="45">
        <f t="shared" si="1"/>
        <v>6.4383561643835616E-2</v>
      </c>
      <c r="F7" s="45">
        <f t="shared" si="2"/>
        <v>1.0730593607305937E-2</v>
      </c>
      <c r="H7" s="56"/>
      <c r="I7" s="64"/>
      <c r="J7" s="64"/>
      <c r="K7" s="68"/>
      <c r="L7" s="45"/>
      <c r="M7" s="45"/>
    </row>
    <row r="8" spans="1:13" x14ac:dyDescent="0.25">
      <c r="A8" s="56" t="s">
        <v>64</v>
      </c>
      <c r="B8" s="64">
        <v>362</v>
      </c>
      <c r="C8" s="64">
        <v>90</v>
      </c>
      <c r="D8" s="68">
        <f t="shared" si="0"/>
        <v>1448</v>
      </c>
      <c r="E8" s="45">
        <f t="shared" si="1"/>
        <v>6.2154696132596686E-2</v>
      </c>
      <c r="F8" s="45">
        <f t="shared" si="2"/>
        <v>1.0359116022099447E-2</v>
      </c>
      <c r="H8" s="56"/>
      <c r="I8" s="64"/>
      <c r="J8" s="64"/>
      <c r="K8" s="68"/>
      <c r="L8" s="45"/>
      <c r="M8" s="45"/>
    </row>
    <row r="9" spans="1:13" x14ac:dyDescent="0.25">
      <c r="A9" s="56" t="s">
        <v>65</v>
      </c>
      <c r="B9" s="64">
        <v>340</v>
      </c>
      <c r="C9" s="64">
        <v>44</v>
      </c>
      <c r="D9" s="68">
        <f t="shared" si="0"/>
        <v>1360</v>
      </c>
      <c r="E9" s="45">
        <f t="shared" si="1"/>
        <v>3.2352941176470591E-2</v>
      </c>
      <c r="F9" s="45">
        <f t="shared" si="2"/>
        <v>5.392156862745098E-3</v>
      </c>
      <c r="H9" s="56"/>
      <c r="I9" s="64"/>
      <c r="J9" s="64"/>
      <c r="K9" s="68"/>
      <c r="L9" s="45"/>
      <c r="M9" s="45"/>
    </row>
    <row r="10" spans="1:13" x14ac:dyDescent="0.25">
      <c r="A10" s="56" t="s">
        <v>66</v>
      </c>
      <c r="B10" s="64">
        <v>205</v>
      </c>
      <c r="C10" s="64">
        <v>21</v>
      </c>
      <c r="D10" s="68">
        <f t="shared" si="0"/>
        <v>820</v>
      </c>
      <c r="E10" s="45">
        <f t="shared" si="1"/>
        <v>2.5609756097560974E-2</v>
      </c>
      <c r="F10" s="45">
        <f t="shared" si="2"/>
        <v>4.2682926829268296E-3</v>
      </c>
      <c r="H10" s="56"/>
      <c r="I10" s="64"/>
      <c r="J10" s="64"/>
      <c r="K10" s="68"/>
      <c r="L10" s="45"/>
      <c r="M10" s="45"/>
    </row>
    <row r="11" spans="1:13" x14ac:dyDescent="0.25">
      <c r="A11" s="56" t="s">
        <v>67</v>
      </c>
      <c r="B11" s="65">
        <v>100</v>
      </c>
      <c r="C11" s="65">
        <v>20</v>
      </c>
      <c r="D11" s="65">
        <f t="shared" si="0"/>
        <v>400</v>
      </c>
      <c r="E11" s="69">
        <f t="shared" si="1"/>
        <v>0.05</v>
      </c>
      <c r="F11" s="69">
        <f t="shared" si="2"/>
        <v>8.3333333333333332E-3</v>
      </c>
      <c r="H11" s="56"/>
      <c r="I11" s="65"/>
      <c r="J11" s="65"/>
      <c r="K11" s="65"/>
      <c r="L11" s="69"/>
      <c r="M11" s="69"/>
    </row>
    <row r="12" spans="1:13" x14ac:dyDescent="0.25">
      <c r="B12" s="64">
        <f>SUM(B4:B11)</f>
        <v>2122</v>
      </c>
      <c r="C12" s="64">
        <f>SUM(C4:C11)</f>
        <v>538.4</v>
      </c>
      <c r="D12" s="64">
        <f>SUM(D4:D11)</f>
        <v>8488</v>
      </c>
      <c r="E12" s="45">
        <f>C12/D12</f>
        <v>6.3430725730442977E-2</v>
      </c>
      <c r="F12" s="45">
        <f t="shared" si="2"/>
        <v>1.0571787621740497E-2</v>
      </c>
      <c r="I12" s="64">
        <f>SUM(I4:I11)</f>
        <v>500</v>
      </c>
      <c r="J12" s="64">
        <f>SUM(J4:J11)</f>
        <v>374</v>
      </c>
      <c r="K12" s="64">
        <f>SUM(K4:K11)</f>
        <v>2000</v>
      </c>
      <c r="L12" s="45">
        <f>J12/K12</f>
        <v>0.187</v>
      </c>
      <c r="M12" s="45">
        <f t="shared" si="5"/>
        <v>3.1166666666666665E-2</v>
      </c>
    </row>
    <row r="14" spans="1:13" x14ac:dyDescent="0.25">
      <c r="B14" s="2" t="s">
        <v>33</v>
      </c>
      <c r="C14" s="2" t="s">
        <v>84</v>
      </c>
    </row>
    <row r="15" spans="1:13" x14ac:dyDescent="0.25">
      <c r="B15" s="63">
        <f>C12/B12</f>
        <v>0.25372290292177191</v>
      </c>
      <c r="C15" s="63">
        <f>J12/I12</f>
        <v>0.748</v>
      </c>
      <c r="D15" s="1" t="s">
        <v>68</v>
      </c>
    </row>
    <row r="16" spans="1:13" x14ac:dyDescent="0.25">
      <c r="B16" s="45">
        <f>C12/(B12*24)</f>
        <v>1.0571787621740497E-2</v>
      </c>
      <c r="C16" s="45">
        <f>J12/(I12*24)</f>
        <v>3.1166666666666665E-2</v>
      </c>
      <c r="D16" s="1" t="s">
        <v>69</v>
      </c>
    </row>
    <row r="18" spans="2:4" x14ac:dyDescent="0.25">
      <c r="B18" s="27">
        <v>4.01</v>
      </c>
      <c r="C18" s="27">
        <v>4.01</v>
      </c>
      <c r="D18" s="1" t="s">
        <v>72</v>
      </c>
    </row>
    <row r="20" spans="2:4" x14ac:dyDescent="0.25">
      <c r="B20" s="63">
        <f>B18*B15</f>
        <v>1.0174288407163052</v>
      </c>
      <c r="C20" s="63">
        <f>C18*C15</f>
        <v>2.9994799999999997</v>
      </c>
      <c r="D20" s="1" t="s">
        <v>73</v>
      </c>
    </row>
    <row r="22" spans="2:4" x14ac:dyDescent="0.25">
      <c r="B22" s="64">
        <f>B20*365</f>
        <v>371.36152686145141</v>
      </c>
      <c r="C22" s="64">
        <f>C20*365</f>
        <v>1094.8101999999999</v>
      </c>
      <c r="D22" s="1" t="s">
        <v>74</v>
      </c>
    </row>
    <row r="24" spans="2:4" x14ac:dyDescent="0.25">
      <c r="B24" s="27">
        <v>12</v>
      </c>
      <c r="C24" s="27">
        <v>12</v>
      </c>
      <c r="D24" s="1" t="s">
        <v>79</v>
      </c>
    </row>
    <row r="26" spans="2:4" x14ac:dyDescent="0.25">
      <c r="B26" s="64">
        <f>B22+B24</f>
        <v>383.36152686145141</v>
      </c>
      <c r="C26" s="64">
        <f>C22+C24</f>
        <v>1106.8101999999999</v>
      </c>
      <c r="D26" s="1" t="s">
        <v>80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WSS-7 p1 (KU)</vt:lpstr>
      <vt:lpstr>WSS-7 p2 (LG&amp;E)</vt:lpstr>
      <vt:lpstr>WSS-7 p3 (Rev Effect)</vt:lpstr>
      <vt:lpstr>ECR FAC TCJA</vt:lpstr>
      <vt:lpstr>WACC - Carrying Charges</vt:lpstr>
      <vt:lpstr>2017 EV Usage Data</vt:lpstr>
      <vt:lpstr>'WSS-7 p3 (Rev Effect)'!Print_Area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2018-09-27T20:28:24Z</dcterms:created>
  <dcterms:modified xsi:type="dcterms:W3CDTF">2018-09-27T20:28:49Z</dcterms:modified>
</cp:coreProperties>
</file>