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6" windowWidth="18192" windowHeight="11256" tabRatio="774"/>
  </bookViews>
  <sheets>
    <sheet name="Balance Sheet" sheetId="2" r:id="rId1"/>
    <sheet name="KU Provision" sheetId="12" r:id="rId2"/>
    <sheet name="UIGET-KU" sheetId="13" r:id="rId3"/>
    <sheet name="Reg Asset and Liab" sheetId="14" r:id="rId4"/>
    <sheet name="Reg Asset and Liab 2018-2020" sheetId="17" r:id="rId5"/>
    <sheet name="Income Tax Detail - Monthly" sheetId="16" r:id="rId6"/>
  </sheets>
  <definedNames>
    <definedName name="_xlnm.Print_Area" localSheetId="0">'Balance Sheet'!$G$4:$BA$110</definedName>
    <definedName name="_xlnm.Print_Titles" localSheetId="0">'Balance Sheet'!$A:$A,'Balance Sheet'!$1:$3</definedName>
  </definedNames>
  <calcPr calcId="152511"/>
</workbook>
</file>

<file path=xl/calcChain.xml><?xml version="1.0" encoding="utf-8"?>
<calcChain xmlns="http://schemas.openxmlformats.org/spreadsheetml/2006/main">
  <c r="BA14" i="2" l="1"/>
  <c r="Z46" i="17" l="1"/>
  <c r="R32" i="17"/>
  <c r="Q32" i="17"/>
  <c r="N46" i="17"/>
  <c r="N40" i="17"/>
  <c r="K40" i="17"/>
  <c r="N32" i="17"/>
  <c r="K32" i="17"/>
  <c r="AC46" i="17"/>
  <c r="AC40" i="17"/>
  <c r="R28" i="17"/>
  <c r="AC66" i="17"/>
  <c r="Q66" i="17"/>
  <c r="N66" i="17"/>
  <c r="N65" i="17" s="1"/>
  <c r="K66" i="17"/>
  <c r="N68" i="17" s="1"/>
  <c r="E50" i="14"/>
  <c r="D50" i="14"/>
  <c r="E44" i="14"/>
  <c r="E46" i="14" s="1"/>
  <c r="E48" i="14" s="1"/>
  <c r="D42" i="14"/>
  <c r="E36" i="14"/>
  <c r="AC32" i="17" s="1"/>
  <c r="D36" i="14"/>
  <c r="D38" i="14" s="1"/>
  <c r="C32" i="14"/>
  <c r="C34" i="14" s="1"/>
  <c r="C71" i="14"/>
  <c r="D71" i="14"/>
  <c r="E71" i="14"/>
  <c r="E91" i="14"/>
  <c r="D91" i="14"/>
  <c r="D44" i="14" s="1"/>
  <c r="C91" i="14"/>
  <c r="E83" i="14"/>
  <c r="C83" i="14"/>
  <c r="C84" i="14"/>
  <c r="E82" i="14"/>
  <c r="E84" i="14" s="1"/>
  <c r="D82" i="14"/>
  <c r="C80" i="14"/>
  <c r="D79" i="14"/>
  <c r="E79" i="14" s="1"/>
  <c r="D78" i="14"/>
  <c r="D83" i="14" s="1"/>
  <c r="D84" i="14" s="1"/>
  <c r="D40" i="14" s="1"/>
  <c r="E77" i="14"/>
  <c r="E80" i="14" s="1"/>
  <c r="D77" i="14"/>
  <c r="E68" i="14"/>
  <c r="E73" i="14"/>
  <c r="E70" i="14" s="1"/>
  <c r="D68" i="14"/>
  <c r="D73" i="14" s="1"/>
  <c r="D70" i="14" s="1"/>
  <c r="C68" i="14"/>
  <c r="C73" i="14"/>
  <c r="C38" i="14"/>
  <c r="C46" i="14"/>
  <c r="C48" i="14" s="1"/>
  <c r="E52" i="14"/>
  <c r="D52" i="14"/>
  <c r="C52" i="14"/>
  <c r="C70" i="14"/>
  <c r="A1" i="12"/>
  <c r="C151" i="12"/>
  <c r="D151" i="12"/>
  <c r="E151" i="12"/>
  <c r="E254" i="2"/>
  <c r="AJ195" i="2"/>
  <c r="AJ254" i="2" s="1"/>
  <c r="AI195" i="2"/>
  <c r="AG195" i="2"/>
  <c r="AG254" i="2" s="1"/>
  <c r="AF195" i="2"/>
  <c r="AF254" i="2" s="1"/>
  <c r="AD195" i="2"/>
  <c r="AD254" i="2" s="1"/>
  <c r="AC195" i="2"/>
  <c r="AC254" i="2" s="1"/>
  <c r="AA195" i="2"/>
  <c r="AA254" i="2" s="1"/>
  <c r="Z195" i="2"/>
  <c r="Z254" i="2" s="1"/>
  <c r="X195" i="2"/>
  <c r="X254" i="2" s="1"/>
  <c r="W195" i="2"/>
  <c r="W254" i="2" s="1"/>
  <c r="U195" i="2"/>
  <c r="U254" i="2" s="1"/>
  <c r="T195" i="2"/>
  <c r="T254" i="2" s="1"/>
  <c r="R195" i="2"/>
  <c r="R254" i="2" s="1"/>
  <c r="Q195" i="2"/>
  <c r="Q254" i="2" s="1"/>
  <c r="O195" i="2"/>
  <c r="O254" i="2" s="1"/>
  <c r="N195" i="2"/>
  <c r="N254" i="2" s="1"/>
  <c r="L195" i="2"/>
  <c r="L254" i="2" s="1"/>
  <c r="K195" i="2"/>
  <c r="K254" i="2" s="1"/>
  <c r="I195" i="2"/>
  <c r="I254" i="2" s="1"/>
  <c r="H195" i="2"/>
  <c r="H254" i="2" s="1"/>
  <c r="H71" i="2" s="1"/>
  <c r="P123" i="2"/>
  <c r="P233" i="2" s="1"/>
  <c r="J123" i="2"/>
  <c r="M123" i="2" s="1"/>
  <c r="M233" i="2" s="1"/>
  <c r="J160" i="2"/>
  <c r="J266" i="2" s="1"/>
  <c r="AB67" i="17"/>
  <c r="AA67" i="17"/>
  <c r="P67" i="17"/>
  <c r="O67" i="17"/>
  <c r="D67" i="17"/>
  <c r="C67" i="17"/>
  <c r="AK65" i="17"/>
  <c r="AK64" i="17"/>
  <c r="AK67" i="17"/>
  <c r="AJ65" i="17"/>
  <c r="AJ64" i="17" s="1"/>
  <c r="AH65" i="17"/>
  <c r="AH64" i="17"/>
  <c r="AH67" i="17"/>
  <c r="AG65" i="17"/>
  <c r="AG64" i="17"/>
  <c r="AG67" i="17"/>
  <c r="AE65" i="17"/>
  <c r="AE64" i="17" s="1"/>
  <c r="AE67" i="17" s="1"/>
  <c r="AD65" i="17"/>
  <c r="Y65" i="17"/>
  <c r="Y64" i="17" s="1"/>
  <c r="Y67" i="17" s="1"/>
  <c r="X65" i="17"/>
  <c r="X64" i="17"/>
  <c r="X67" i="17" s="1"/>
  <c r="V65" i="17"/>
  <c r="V64" i="17"/>
  <c r="V67" i="17"/>
  <c r="U65" i="17"/>
  <c r="U64" i="17"/>
  <c r="U67" i="17"/>
  <c r="S65" i="17"/>
  <c r="S64" i="17" s="1"/>
  <c r="R65" i="17"/>
  <c r="R64" i="17" s="1"/>
  <c r="H65" i="17"/>
  <c r="H64" i="17"/>
  <c r="H67" i="17" s="1"/>
  <c r="E65" i="17"/>
  <c r="E64" i="17"/>
  <c r="E67" i="17"/>
  <c r="M64" i="17"/>
  <c r="M67" i="17"/>
  <c r="L64" i="17"/>
  <c r="L67" i="17"/>
  <c r="J64" i="17"/>
  <c r="J67" i="17"/>
  <c r="I64" i="17"/>
  <c r="I67" i="17"/>
  <c r="G64" i="17"/>
  <c r="G67" i="17"/>
  <c r="F64" i="17"/>
  <c r="F67" i="17"/>
  <c r="R36" i="17"/>
  <c r="K28" i="17"/>
  <c r="N28" i="17"/>
  <c r="J7" i="17"/>
  <c r="J8" i="17"/>
  <c r="AH41" i="17" s="1"/>
  <c r="AH42" i="17" s="1"/>
  <c r="AI41" i="17"/>
  <c r="I7" i="17"/>
  <c r="I8" i="17" s="1"/>
  <c r="I13" i="17" s="1"/>
  <c r="I16" i="17" s="1"/>
  <c r="AJ41" i="17"/>
  <c r="AJ42" i="17" s="1"/>
  <c r="AA41" i="17"/>
  <c r="AA42" i="17"/>
  <c r="AC41" i="17"/>
  <c r="J208" i="2"/>
  <c r="J269" i="2" s="1"/>
  <c r="AF40" i="17"/>
  <c r="AF46" i="17"/>
  <c r="W32" i="17"/>
  <c r="AK160" i="2"/>
  <c r="AK266" i="2" s="1"/>
  <c r="AJ160" i="2"/>
  <c r="AJ266" i="2" s="1"/>
  <c r="AI160" i="2"/>
  <c r="AI266" i="2" s="1"/>
  <c r="AH160" i="2"/>
  <c r="AH266" i="2" s="1"/>
  <c r="AG160" i="2"/>
  <c r="AG266" i="2" s="1"/>
  <c r="AF160" i="2"/>
  <c r="AF266" i="2" s="1"/>
  <c r="AE160" i="2"/>
  <c r="AE266" i="2" s="1"/>
  <c r="AD160" i="2"/>
  <c r="AD266" i="2" s="1"/>
  <c r="AC160" i="2"/>
  <c r="AC266" i="2" s="1"/>
  <c r="AB160" i="2"/>
  <c r="AB266" i="2" s="1"/>
  <c r="AA160" i="2"/>
  <c r="AA266" i="2" s="1"/>
  <c r="Z160" i="2"/>
  <c r="Z266" i="2" s="1"/>
  <c r="Y160" i="2"/>
  <c r="Y266" i="2" s="1"/>
  <c r="X160" i="2"/>
  <c r="X266" i="2" s="1"/>
  <c r="W160" i="2"/>
  <c r="W266" i="2" s="1"/>
  <c r="V160" i="2"/>
  <c r="V266" i="2" s="1"/>
  <c r="U160" i="2"/>
  <c r="U266" i="2" s="1"/>
  <c r="T160" i="2"/>
  <c r="T266" i="2" s="1"/>
  <c r="S160" i="2"/>
  <c r="S266" i="2" s="1"/>
  <c r="R160" i="2"/>
  <c r="R266" i="2" s="1"/>
  <c r="Q160" i="2"/>
  <c r="Q266" i="2" s="1"/>
  <c r="P160" i="2"/>
  <c r="P266" i="2" s="1"/>
  <c r="O160" i="2"/>
  <c r="O266" i="2" s="1"/>
  <c r="N160" i="2"/>
  <c r="N266" i="2" s="1"/>
  <c r="M160" i="2"/>
  <c r="M266" i="2" s="1"/>
  <c r="L160" i="2"/>
  <c r="L266" i="2" s="1"/>
  <c r="K160" i="2"/>
  <c r="K266" i="2" s="1"/>
  <c r="AK163" i="2"/>
  <c r="AJ163" i="2"/>
  <c r="AJ270" i="2" s="1"/>
  <c r="AI163" i="2"/>
  <c r="AI270" i="2" s="1"/>
  <c r="AH163" i="2"/>
  <c r="AG163" i="2"/>
  <c r="AG270" i="2" s="1"/>
  <c r="AF163" i="2"/>
  <c r="AF270" i="2" s="1"/>
  <c r="AE163" i="2"/>
  <c r="AD163" i="2"/>
  <c r="AD270" i="2" s="1"/>
  <c r="AC163" i="2"/>
  <c r="AC270" i="2" s="1"/>
  <c r="AG267" i="2"/>
  <c r="AH267" i="2"/>
  <c r="AJ267" i="2"/>
  <c r="AK267" i="2"/>
  <c r="AF269" i="2"/>
  <c r="AG269" i="2"/>
  <c r="AI269" i="2"/>
  <c r="AJ269" i="2"/>
  <c r="AD267" i="2"/>
  <c r="AE267" i="2"/>
  <c r="AC269" i="2"/>
  <c r="AD269" i="2"/>
  <c r="Z267" i="2"/>
  <c r="AA267" i="2"/>
  <c r="AB267" i="2"/>
  <c r="Z269" i="2"/>
  <c r="AA269" i="2"/>
  <c r="AA268" i="2" s="1"/>
  <c r="AJ259" i="2"/>
  <c r="AI259" i="2"/>
  <c r="AG259" i="2"/>
  <c r="AF259" i="2"/>
  <c r="AD259" i="2"/>
  <c r="AC259" i="2"/>
  <c r="AA259" i="2"/>
  <c r="Z259" i="2"/>
  <c r="AJ233" i="2"/>
  <c r="AI233" i="2"/>
  <c r="AG233" i="2"/>
  <c r="AF233" i="2"/>
  <c r="AD233" i="2"/>
  <c r="AC233" i="2"/>
  <c r="AA233" i="2"/>
  <c r="Z233" i="2"/>
  <c r="O249" i="2"/>
  <c r="AJ203" i="2"/>
  <c r="AJ263" i="2" s="1"/>
  <c r="AI203" i="2"/>
  <c r="AI263" i="2" s="1"/>
  <c r="AG203" i="2"/>
  <c r="AG263" i="2" s="1"/>
  <c r="AF203" i="2"/>
  <c r="AF263" i="2" s="1"/>
  <c r="AD203" i="2"/>
  <c r="AD263" i="2" s="1"/>
  <c r="AC203" i="2"/>
  <c r="AC263" i="2" s="1"/>
  <c r="AA203" i="2"/>
  <c r="AA263" i="2" s="1"/>
  <c r="Z203" i="2"/>
  <c r="Z263" i="2" s="1"/>
  <c r="AJ202" i="2"/>
  <c r="AJ262" i="2" s="1"/>
  <c r="AI202" i="2"/>
  <c r="AI262" i="2" s="1"/>
  <c r="AG202" i="2"/>
  <c r="AG262" i="2" s="1"/>
  <c r="AF202" i="2"/>
  <c r="AF262" i="2" s="1"/>
  <c r="AD202" i="2"/>
  <c r="AD262" i="2" s="1"/>
  <c r="AC202" i="2"/>
  <c r="AC262" i="2" s="1"/>
  <c r="AA202" i="2"/>
  <c r="AA262" i="2" s="1"/>
  <c r="Z202" i="2"/>
  <c r="Z262" i="2" s="1"/>
  <c r="AJ201" i="2"/>
  <c r="AJ261" i="2" s="1"/>
  <c r="AI201" i="2"/>
  <c r="AI261" i="2" s="1"/>
  <c r="AG201" i="2"/>
  <c r="AG261" i="2" s="1"/>
  <c r="AF201" i="2"/>
  <c r="AF261" i="2" s="1"/>
  <c r="AD201" i="2"/>
  <c r="AD261" i="2" s="1"/>
  <c r="AC201" i="2"/>
  <c r="AC261" i="2" s="1"/>
  <c r="AA201" i="2"/>
  <c r="AA261" i="2" s="1"/>
  <c r="Z201" i="2"/>
  <c r="Z261" i="2" s="1"/>
  <c r="AJ200" i="2"/>
  <c r="AJ260" i="2" s="1"/>
  <c r="AI200" i="2"/>
  <c r="AI260" i="2" s="1"/>
  <c r="AG200" i="2"/>
  <c r="AG260" i="2" s="1"/>
  <c r="AF200" i="2"/>
  <c r="AF260" i="2" s="1"/>
  <c r="AD200" i="2"/>
  <c r="AD260" i="2" s="1"/>
  <c r="AC200" i="2"/>
  <c r="AC260" i="2" s="1"/>
  <c r="AA200" i="2"/>
  <c r="AA260" i="2" s="1"/>
  <c r="Z200" i="2"/>
  <c r="Z260" i="2" s="1"/>
  <c r="AJ199" i="2"/>
  <c r="AJ258" i="2" s="1"/>
  <c r="AI199" i="2"/>
  <c r="AI258" i="2" s="1"/>
  <c r="AG199" i="2"/>
  <c r="AG258" i="2" s="1"/>
  <c r="AF199" i="2"/>
  <c r="AF258" i="2" s="1"/>
  <c r="AD199" i="2"/>
  <c r="AD258" i="2" s="1"/>
  <c r="AC199" i="2"/>
  <c r="AC258" i="2" s="1"/>
  <c r="AA199" i="2"/>
  <c r="AA258" i="2" s="1"/>
  <c r="Z199" i="2"/>
  <c r="Z258" i="2" s="1"/>
  <c r="AJ198" i="2"/>
  <c r="AJ257" i="2" s="1"/>
  <c r="AI198" i="2"/>
  <c r="AI257" i="2" s="1"/>
  <c r="AG198" i="2"/>
  <c r="AG257" i="2" s="1"/>
  <c r="AF198" i="2"/>
  <c r="AF257" i="2" s="1"/>
  <c r="AD198" i="2"/>
  <c r="AD257" i="2" s="1"/>
  <c r="AC198" i="2"/>
  <c r="AC257" i="2" s="1"/>
  <c r="AA198" i="2"/>
  <c r="AA257" i="2" s="1"/>
  <c r="Z198" i="2"/>
  <c r="Z257" i="2" s="1"/>
  <c r="AJ197" i="2"/>
  <c r="AJ256" i="2" s="1"/>
  <c r="AI197" i="2"/>
  <c r="AI256" i="2" s="1"/>
  <c r="AG197" i="2"/>
  <c r="AG256" i="2" s="1"/>
  <c r="AF197" i="2"/>
  <c r="AF256" i="2" s="1"/>
  <c r="AD197" i="2"/>
  <c r="AD256" i="2" s="1"/>
  <c r="AC197" i="2"/>
  <c r="AC256" i="2" s="1"/>
  <c r="AA197" i="2"/>
  <c r="AA256" i="2" s="1"/>
  <c r="Z197" i="2"/>
  <c r="Z256" i="2" s="1"/>
  <c r="AJ196" i="2"/>
  <c r="AJ255" i="2" s="1"/>
  <c r="AI196" i="2"/>
  <c r="AI254" i="2"/>
  <c r="AG196" i="2"/>
  <c r="AG255" i="2" s="1"/>
  <c r="AF196" i="2"/>
  <c r="AD196" i="2"/>
  <c r="AD255" i="2" s="1"/>
  <c r="AC196" i="2"/>
  <c r="AC255" i="2" s="1"/>
  <c r="AA196" i="2"/>
  <c r="AA255" i="2" s="1"/>
  <c r="Z196" i="2"/>
  <c r="Z255" i="2" s="1"/>
  <c r="AJ194" i="2"/>
  <c r="AJ253" i="2" s="1"/>
  <c r="AI194" i="2"/>
  <c r="AI253" i="2" s="1"/>
  <c r="AG194" i="2"/>
  <c r="AG253" i="2" s="1"/>
  <c r="AF194" i="2"/>
  <c r="AF253" i="2" s="1"/>
  <c r="AD194" i="2"/>
  <c r="AD253" i="2" s="1"/>
  <c r="AC194" i="2"/>
  <c r="AC253" i="2" s="1"/>
  <c r="AA194" i="2"/>
  <c r="AA253" i="2" s="1"/>
  <c r="Z194" i="2"/>
  <c r="Z253" i="2" s="1"/>
  <c r="AJ193" i="2"/>
  <c r="AJ252" i="2" s="1"/>
  <c r="AI193" i="2"/>
  <c r="AI252" i="2" s="1"/>
  <c r="AG193" i="2"/>
  <c r="AG252" i="2" s="1"/>
  <c r="AF193" i="2"/>
  <c r="AF252" i="2" s="1"/>
  <c r="AD193" i="2"/>
  <c r="AD252" i="2" s="1"/>
  <c r="AC193" i="2"/>
  <c r="AC252" i="2" s="1"/>
  <c r="AA193" i="2"/>
  <c r="AA252" i="2" s="1"/>
  <c r="Z193" i="2"/>
  <c r="Z252" i="2" s="1"/>
  <c r="AJ192" i="2"/>
  <c r="AJ251" i="2" s="1"/>
  <c r="AI192" i="2"/>
  <c r="AI251" i="2" s="1"/>
  <c r="AG192" i="2"/>
  <c r="AG251" i="2" s="1"/>
  <c r="AF192" i="2"/>
  <c r="AF251" i="2" s="1"/>
  <c r="AD192" i="2"/>
  <c r="AD251" i="2" s="1"/>
  <c r="AC192" i="2"/>
  <c r="AC251" i="2" s="1"/>
  <c r="AA192" i="2"/>
  <c r="AA251" i="2" s="1"/>
  <c r="Z192" i="2"/>
  <c r="Z251" i="2" s="1"/>
  <c r="AJ191" i="2"/>
  <c r="AJ250" i="2" s="1"/>
  <c r="AI191" i="2"/>
  <c r="AI250" i="2" s="1"/>
  <c r="AG191" i="2"/>
  <c r="AG250" i="2" s="1"/>
  <c r="AF191" i="2"/>
  <c r="AF250" i="2" s="1"/>
  <c r="AD191" i="2"/>
  <c r="AD250" i="2" s="1"/>
  <c r="AC191" i="2"/>
  <c r="AC250" i="2" s="1"/>
  <c r="AA191" i="2"/>
  <c r="AA250" i="2" s="1"/>
  <c r="Z191" i="2"/>
  <c r="Z250" i="2" s="1"/>
  <c r="AJ190" i="2"/>
  <c r="AJ249" i="2" s="1"/>
  <c r="AI190" i="2"/>
  <c r="AI249" i="2" s="1"/>
  <c r="AG190" i="2"/>
  <c r="AG249" i="2" s="1"/>
  <c r="AF190" i="2"/>
  <c r="AF249" i="2" s="1"/>
  <c r="AD190" i="2"/>
  <c r="AD249" i="2" s="1"/>
  <c r="AC190" i="2"/>
  <c r="AC249" i="2" s="1"/>
  <c r="AA190" i="2"/>
  <c r="AA249" i="2" s="1"/>
  <c r="Z190" i="2"/>
  <c r="Z249" i="2" s="1"/>
  <c r="AJ189" i="2"/>
  <c r="AJ248" i="2" s="1"/>
  <c r="AI189" i="2"/>
  <c r="AI248" i="2" s="1"/>
  <c r="AG189" i="2"/>
  <c r="AG248" i="2" s="1"/>
  <c r="AF189" i="2"/>
  <c r="AF248" i="2" s="1"/>
  <c r="AD189" i="2"/>
  <c r="AD248" i="2" s="1"/>
  <c r="AC189" i="2"/>
  <c r="AC248" i="2" s="1"/>
  <c r="AA189" i="2"/>
  <c r="AA248" i="2" s="1"/>
  <c r="Z189" i="2"/>
  <c r="Z248" i="2" s="1"/>
  <c r="AJ188" i="2"/>
  <c r="AJ247" i="2" s="1"/>
  <c r="AI188" i="2"/>
  <c r="AI247" i="2" s="1"/>
  <c r="AG188" i="2"/>
  <c r="AG247" i="2" s="1"/>
  <c r="AF188" i="2"/>
  <c r="AF247" i="2" s="1"/>
  <c r="AD188" i="2"/>
  <c r="AD247" i="2" s="1"/>
  <c r="AC188" i="2"/>
  <c r="AC247" i="2" s="1"/>
  <c r="AA188" i="2"/>
  <c r="AA247" i="2" s="1"/>
  <c r="Z188" i="2"/>
  <c r="Z247" i="2" s="1"/>
  <c r="AJ187" i="2"/>
  <c r="AJ246" i="2"/>
  <c r="AI187" i="2"/>
  <c r="AI246" i="2" s="1"/>
  <c r="AG187" i="2"/>
  <c r="AG246" i="2" s="1"/>
  <c r="AF187" i="2"/>
  <c r="AF246" i="2" s="1"/>
  <c r="AD187" i="2"/>
  <c r="AD246" i="2" s="1"/>
  <c r="AC187" i="2"/>
  <c r="AC246" i="2" s="1"/>
  <c r="AA187" i="2"/>
  <c r="AA246" i="2" s="1"/>
  <c r="Z187" i="2"/>
  <c r="Z246" i="2" s="1"/>
  <c r="AJ186" i="2"/>
  <c r="AJ245" i="2" s="1"/>
  <c r="AI186" i="2"/>
  <c r="AI245" i="2" s="1"/>
  <c r="AG186" i="2"/>
  <c r="AG245" i="2" s="1"/>
  <c r="AF186" i="2"/>
  <c r="AF245" i="2" s="1"/>
  <c r="AD186" i="2"/>
  <c r="AD245" i="2" s="1"/>
  <c r="AC186" i="2"/>
  <c r="AC245" i="2" s="1"/>
  <c r="AA186" i="2"/>
  <c r="AA245" i="2" s="1"/>
  <c r="Z186" i="2"/>
  <c r="Z245" i="2" s="1"/>
  <c r="AJ185" i="2"/>
  <c r="AJ244" i="2" s="1"/>
  <c r="AI185" i="2"/>
  <c r="AI244" i="2" s="1"/>
  <c r="AG185" i="2"/>
  <c r="AG244" i="2" s="1"/>
  <c r="AF185" i="2"/>
  <c r="AF244" i="2" s="1"/>
  <c r="AD185" i="2"/>
  <c r="AD244" i="2" s="1"/>
  <c r="AC185" i="2"/>
  <c r="AC244" i="2" s="1"/>
  <c r="AA185" i="2"/>
  <c r="AA244" i="2" s="1"/>
  <c r="Z185" i="2"/>
  <c r="Z244" i="2" s="1"/>
  <c r="AJ184" i="2"/>
  <c r="AJ243" i="2" s="1"/>
  <c r="AI184" i="2"/>
  <c r="AI243" i="2" s="1"/>
  <c r="AG184" i="2"/>
  <c r="AG243" i="2" s="1"/>
  <c r="AF184" i="2"/>
  <c r="AF243" i="2" s="1"/>
  <c r="AD184" i="2"/>
  <c r="AD243" i="2" s="1"/>
  <c r="AC184" i="2"/>
  <c r="AC243" i="2" s="1"/>
  <c r="AA184" i="2"/>
  <c r="AA243" i="2" s="1"/>
  <c r="Z184" i="2"/>
  <c r="Z243" i="2" s="1"/>
  <c r="AJ183" i="2"/>
  <c r="AJ242" i="2" s="1"/>
  <c r="AI183" i="2"/>
  <c r="AI242" i="2" s="1"/>
  <c r="AG183" i="2"/>
  <c r="AG242" i="2" s="1"/>
  <c r="AF183" i="2"/>
  <c r="AF242" i="2" s="1"/>
  <c r="AD183" i="2"/>
  <c r="AD242" i="2" s="1"/>
  <c r="AC183" i="2"/>
  <c r="AC242" i="2" s="1"/>
  <c r="AA183" i="2"/>
  <c r="AA242" i="2" s="1"/>
  <c r="Z183" i="2"/>
  <c r="Z242" i="2"/>
  <c r="AJ182" i="2"/>
  <c r="AJ241" i="2" s="1"/>
  <c r="AI182" i="2"/>
  <c r="AI241" i="2" s="1"/>
  <c r="AG182" i="2"/>
  <c r="AG241" i="2" s="1"/>
  <c r="AF182" i="2"/>
  <c r="AF241" i="2" s="1"/>
  <c r="AD182" i="2"/>
  <c r="AD241" i="2" s="1"/>
  <c r="AC182" i="2"/>
  <c r="AC241" i="2" s="1"/>
  <c r="AA182" i="2"/>
  <c r="AA241" i="2" s="1"/>
  <c r="Z182" i="2"/>
  <c r="Z241" i="2" s="1"/>
  <c r="AJ181" i="2"/>
  <c r="AJ240" i="2" s="1"/>
  <c r="AI181" i="2"/>
  <c r="AI240" i="2" s="1"/>
  <c r="AG181" i="2"/>
  <c r="AG240" i="2" s="1"/>
  <c r="AF181" i="2"/>
  <c r="AF240" i="2" s="1"/>
  <c r="AD181" i="2"/>
  <c r="AD240" i="2" s="1"/>
  <c r="AC181" i="2"/>
  <c r="AC240" i="2" s="1"/>
  <c r="AA181" i="2"/>
  <c r="AA240" i="2" s="1"/>
  <c r="Z181" i="2"/>
  <c r="Z240" i="2" s="1"/>
  <c r="AJ180" i="2"/>
  <c r="AJ239" i="2" s="1"/>
  <c r="AI180" i="2"/>
  <c r="AI239" i="2" s="1"/>
  <c r="AG180" i="2"/>
  <c r="AG239" i="2" s="1"/>
  <c r="AF180" i="2"/>
  <c r="AF239" i="2" s="1"/>
  <c r="AD180" i="2"/>
  <c r="AD239" i="2" s="1"/>
  <c r="AC180" i="2"/>
  <c r="AC239" i="2" s="1"/>
  <c r="AA180" i="2"/>
  <c r="AA239" i="2" s="1"/>
  <c r="Z180" i="2"/>
  <c r="Z239" i="2" s="1"/>
  <c r="AJ179" i="2"/>
  <c r="AJ238" i="2" s="1"/>
  <c r="AI179" i="2"/>
  <c r="AI238" i="2" s="1"/>
  <c r="AG179" i="2"/>
  <c r="AG238" i="2" s="1"/>
  <c r="AF179" i="2"/>
  <c r="AF238" i="2" s="1"/>
  <c r="AD179" i="2"/>
  <c r="AD238" i="2" s="1"/>
  <c r="AC179" i="2"/>
  <c r="AC238" i="2" s="1"/>
  <c r="AA179" i="2"/>
  <c r="AA238" i="2" s="1"/>
  <c r="Z179" i="2"/>
  <c r="Z238" i="2"/>
  <c r="AJ178" i="2"/>
  <c r="AJ237" i="2" s="1"/>
  <c r="AI178" i="2"/>
  <c r="AI237" i="2" s="1"/>
  <c r="AG178" i="2"/>
  <c r="AF178" i="2"/>
  <c r="AF237" i="2" s="1"/>
  <c r="AD178" i="2"/>
  <c r="AD237" i="2" s="1"/>
  <c r="AC178" i="2"/>
  <c r="AC237" i="2" s="1"/>
  <c r="AA178" i="2"/>
  <c r="AA237" i="2" s="1"/>
  <c r="Z178" i="2"/>
  <c r="Z237" i="2" s="1"/>
  <c r="AJ177" i="2"/>
  <c r="AJ236" i="2"/>
  <c r="AI177" i="2"/>
  <c r="AI236" i="2" s="1"/>
  <c r="AG177" i="2"/>
  <c r="AG236" i="2" s="1"/>
  <c r="AF177" i="2"/>
  <c r="AF236" i="2" s="1"/>
  <c r="AD177" i="2"/>
  <c r="AD236" i="2" s="1"/>
  <c r="AC177" i="2"/>
  <c r="AC236" i="2" s="1"/>
  <c r="AA177" i="2"/>
  <c r="AA236" i="2" s="1"/>
  <c r="Z177" i="2"/>
  <c r="Z236" i="2" s="1"/>
  <c r="AJ176" i="2"/>
  <c r="AJ235" i="2" s="1"/>
  <c r="AI176" i="2"/>
  <c r="AI235" i="2" s="1"/>
  <c r="AG176" i="2"/>
  <c r="AG235" i="2" s="1"/>
  <c r="AF176" i="2"/>
  <c r="AF235" i="2" s="1"/>
  <c r="AD176" i="2"/>
  <c r="AD235" i="2" s="1"/>
  <c r="AC176" i="2"/>
  <c r="AC235" i="2" s="1"/>
  <c r="AA176" i="2"/>
  <c r="AA235" i="2" s="1"/>
  <c r="Z176" i="2"/>
  <c r="Z235" i="2" s="1"/>
  <c r="AJ175" i="2"/>
  <c r="AJ234" i="2" s="1"/>
  <c r="AI175" i="2"/>
  <c r="AI234" i="2" s="1"/>
  <c r="AG175" i="2"/>
  <c r="AG234" i="2" s="1"/>
  <c r="AF175" i="2"/>
  <c r="AF234" i="2" s="1"/>
  <c r="AD175" i="2"/>
  <c r="AD234" i="2" s="1"/>
  <c r="AC175" i="2"/>
  <c r="AC234" i="2" s="1"/>
  <c r="AA175" i="2"/>
  <c r="AA234" i="2" s="1"/>
  <c r="Z175" i="2"/>
  <c r="Z234" i="2" s="1"/>
  <c r="Z170" i="2"/>
  <c r="Z228" i="2" s="1"/>
  <c r="AA170" i="2"/>
  <c r="AA228" i="2" s="1"/>
  <c r="AC170" i="2"/>
  <c r="AC228" i="2" s="1"/>
  <c r="AD170" i="2"/>
  <c r="AD228" i="2" s="1"/>
  <c r="AF170" i="2"/>
  <c r="AF228" i="2" s="1"/>
  <c r="AG170" i="2"/>
  <c r="AG228" i="2" s="1"/>
  <c r="AI170" i="2"/>
  <c r="AI228" i="2" s="1"/>
  <c r="AJ170" i="2"/>
  <c r="AJ228" i="2" s="1"/>
  <c r="Z171" i="2"/>
  <c r="Z229" i="2" s="1"/>
  <c r="AA171" i="2"/>
  <c r="AA229" i="2" s="1"/>
  <c r="AC171" i="2"/>
  <c r="AC229" i="2" s="1"/>
  <c r="AD171" i="2"/>
  <c r="AD229" i="2" s="1"/>
  <c r="AF171" i="2"/>
  <c r="AF229" i="2" s="1"/>
  <c r="AG171" i="2"/>
  <c r="AG229" i="2" s="1"/>
  <c r="AI171" i="2"/>
  <c r="AI229" i="2" s="1"/>
  <c r="AJ171" i="2"/>
  <c r="AJ229" i="2" s="1"/>
  <c r="Z172" i="2"/>
  <c r="Z230" i="2" s="1"/>
  <c r="AA172" i="2"/>
  <c r="AA230" i="2" s="1"/>
  <c r="AC172" i="2"/>
  <c r="AC230" i="2" s="1"/>
  <c r="AD172" i="2"/>
  <c r="AD230" i="2" s="1"/>
  <c r="AF172" i="2"/>
  <c r="AF230" i="2" s="1"/>
  <c r="AG172" i="2"/>
  <c r="AG230" i="2" s="1"/>
  <c r="AI172" i="2"/>
  <c r="AI230" i="2" s="1"/>
  <c r="AJ172" i="2"/>
  <c r="AJ230" i="2" s="1"/>
  <c r="Z173" i="2"/>
  <c r="Z231" i="2" s="1"/>
  <c r="AA173" i="2"/>
  <c r="AA231" i="2" s="1"/>
  <c r="AC173" i="2"/>
  <c r="AC231" i="2" s="1"/>
  <c r="AD173" i="2"/>
  <c r="AD231" i="2" s="1"/>
  <c r="AF173" i="2"/>
  <c r="AF231" i="2" s="1"/>
  <c r="AG173" i="2"/>
  <c r="AG231" i="2" s="1"/>
  <c r="AI173" i="2"/>
  <c r="AI231" i="2"/>
  <c r="AJ173" i="2"/>
  <c r="AJ231" i="2" s="1"/>
  <c r="Z174" i="2"/>
  <c r="Z232" i="2" s="1"/>
  <c r="AA174" i="2"/>
  <c r="AA232" i="2" s="1"/>
  <c r="AC174" i="2"/>
  <c r="AC232" i="2" s="1"/>
  <c r="AD174" i="2"/>
  <c r="AD232" i="2" s="1"/>
  <c r="AF174" i="2"/>
  <c r="AF232" i="2" s="1"/>
  <c r="AG174" i="2"/>
  <c r="AG232" i="2" s="1"/>
  <c r="AI174" i="2"/>
  <c r="AI232" i="2" s="1"/>
  <c r="AJ174" i="2"/>
  <c r="AJ232" i="2" s="1"/>
  <c r="Z204" i="2"/>
  <c r="Z265" i="2" s="1"/>
  <c r="AA204" i="2"/>
  <c r="AA265" i="2" s="1"/>
  <c r="AB149" i="2"/>
  <c r="AB200" i="2" s="1"/>
  <c r="AB260" i="2" s="1"/>
  <c r="AB163" i="2"/>
  <c r="AA163" i="2"/>
  <c r="AA270" i="2" s="1"/>
  <c r="Z163" i="2"/>
  <c r="Z270" i="2" s="1"/>
  <c r="Y163" i="2"/>
  <c r="X163" i="2"/>
  <c r="X270" i="2" s="1"/>
  <c r="W163" i="2"/>
  <c r="W270" i="2" s="1"/>
  <c r="V163" i="2"/>
  <c r="U163" i="2"/>
  <c r="U270" i="2" s="1"/>
  <c r="T163" i="2"/>
  <c r="T270" i="2" s="1"/>
  <c r="V209" i="2"/>
  <c r="Y209" i="2" s="1"/>
  <c r="AB209" i="2" s="1"/>
  <c r="AB270" i="2" s="1"/>
  <c r="S163" i="2"/>
  <c r="S270" i="2" s="1"/>
  <c r="R163" i="2"/>
  <c r="R270" i="2" s="1"/>
  <c r="Q163" i="2"/>
  <c r="Q270" i="2" s="1"/>
  <c r="P163" i="2"/>
  <c r="O163" i="2"/>
  <c r="O270" i="2" s="1"/>
  <c r="N163" i="2"/>
  <c r="N270" i="2" s="1"/>
  <c r="AK154" i="2"/>
  <c r="AK264" i="2" s="1"/>
  <c r="AJ154" i="2"/>
  <c r="AJ264" i="2" s="1"/>
  <c r="AI154" i="2"/>
  <c r="AI264" i="2" s="1"/>
  <c r="AH154" i="2"/>
  <c r="AH264" i="2" s="1"/>
  <c r="AG154" i="2"/>
  <c r="AG155" i="2" s="1"/>
  <c r="AF154" i="2"/>
  <c r="AF264" i="2" s="1"/>
  <c r="AE154" i="2"/>
  <c r="AE264" i="2" s="1"/>
  <c r="AD154" i="2"/>
  <c r="AD264" i="2" s="1"/>
  <c r="AC154" i="2"/>
  <c r="AC264" i="2" s="1"/>
  <c r="AB154" i="2"/>
  <c r="AB264" i="2" s="1"/>
  <c r="AA154" i="2"/>
  <c r="AA264" i="2" s="1"/>
  <c r="Z154" i="2"/>
  <c r="Z155" i="2" s="1"/>
  <c r="Y154" i="2"/>
  <c r="Y264" i="2" s="1"/>
  <c r="X154" i="2"/>
  <c r="X264" i="2" s="1"/>
  <c r="W154" i="2"/>
  <c r="W155" i="2" s="1"/>
  <c r="V154" i="2"/>
  <c r="V264" i="2" s="1"/>
  <c r="U154" i="2"/>
  <c r="U264" i="2" s="1"/>
  <c r="T154" i="2"/>
  <c r="T264" i="2" s="1"/>
  <c r="S154" i="2"/>
  <c r="S264" i="2" s="1"/>
  <c r="R154" i="2"/>
  <c r="R264" i="2" s="1"/>
  <c r="Q154" i="2"/>
  <c r="Q155" i="2" s="1"/>
  <c r="P154" i="2"/>
  <c r="P264" i="2" s="1"/>
  <c r="O154" i="2"/>
  <c r="N154" i="2"/>
  <c r="N155" i="2" s="1"/>
  <c r="AJ162" i="2"/>
  <c r="AG162" i="2"/>
  <c r="AG268" i="2" s="1"/>
  <c r="AF162" i="2"/>
  <c r="AD162" i="2"/>
  <c r="AA162" i="2"/>
  <c r="Z162" i="2"/>
  <c r="X162" i="2"/>
  <c r="W162" i="2"/>
  <c r="U162" i="2"/>
  <c r="T162" i="2"/>
  <c r="O162" i="2"/>
  <c r="N162" i="2"/>
  <c r="J163" i="2"/>
  <c r="J270" i="2"/>
  <c r="I163" i="2"/>
  <c r="I270" i="2" s="1"/>
  <c r="H163" i="2"/>
  <c r="H270" i="2" s="1"/>
  <c r="H84" i="2" s="1"/>
  <c r="I84" i="2" s="1"/>
  <c r="H266" i="2"/>
  <c r="H47" i="2"/>
  <c r="E266" i="2"/>
  <c r="I160" i="2"/>
  <c r="I266" i="2" s="1"/>
  <c r="M208" i="2"/>
  <c r="M269" i="2" s="1"/>
  <c r="J149" i="2"/>
  <c r="M149" i="2" s="1"/>
  <c r="E249" i="2"/>
  <c r="E228" i="2"/>
  <c r="E229" i="2"/>
  <c r="E230" i="2"/>
  <c r="E231" i="2"/>
  <c r="E232" i="2"/>
  <c r="K228" i="2"/>
  <c r="L228" i="2"/>
  <c r="N228" i="2"/>
  <c r="O228" i="2"/>
  <c r="Q228" i="2"/>
  <c r="R228" i="2"/>
  <c r="T228" i="2"/>
  <c r="U228" i="2"/>
  <c r="W228" i="2"/>
  <c r="X228" i="2"/>
  <c r="K229" i="2"/>
  <c r="L229" i="2"/>
  <c r="N229" i="2"/>
  <c r="O229" i="2"/>
  <c r="Q229" i="2"/>
  <c r="R229" i="2"/>
  <c r="T229" i="2"/>
  <c r="U229" i="2"/>
  <c r="W229" i="2"/>
  <c r="X229" i="2"/>
  <c r="K230" i="2"/>
  <c r="L230" i="2"/>
  <c r="N230" i="2"/>
  <c r="O230" i="2"/>
  <c r="Q230" i="2"/>
  <c r="R230" i="2"/>
  <c r="T230" i="2"/>
  <c r="U230" i="2"/>
  <c r="W230" i="2"/>
  <c r="X230" i="2"/>
  <c r="Q190" i="2"/>
  <c r="Q249" i="2" s="1"/>
  <c r="R190" i="2"/>
  <c r="R249" i="2" s="1"/>
  <c r="T190" i="2"/>
  <c r="T249" i="2" s="1"/>
  <c r="U190" i="2"/>
  <c r="U249" i="2" s="1"/>
  <c r="W190" i="2"/>
  <c r="W249" i="2" s="1"/>
  <c r="X190" i="2"/>
  <c r="X249" i="2" s="1"/>
  <c r="H28" i="2"/>
  <c r="I28" i="2"/>
  <c r="H29" i="2"/>
  <c r="I29" i="2" s="1"/>
  <c r="I7" i="14"/>
  <c r="I8" i="14" s="1"/>
  <c r="I13" i="14" s="1"/>
  <c r="I16" i="14" s="1"/>
  <c r="C16" i="14"/>
  <c r="J7" i="14"/>
  <c r="J8" i="14" s="1"/>
  <c r="J13" i="14" s="1"/>
  <c r="J16" i="14"/>
  <c r="H61" i="2"/>
  <c r="I61" i="2" s="1"/>
  <c r="H27" i="2"/>
  <c r="I27" i="2" s="1"/>
  <c r="P209" i="2"/>
  <c r="M163" i="2"/>
  <c r="M154" i="2"/>
  <c r="M264" i="2" s="1"/>
  <c r="L163" i="2"/>
  <c r="L270" i="2"/>
  <c r="K163" i="2"/>
  <c r="K270" i="2" s="1"/>
  <c r="L154" i="2"/>
  <c r="L264" i="2" s="1"/>
  <c r="K154" i="2"/>
  <c r="K155" i="2" s="1"/>
  <c r="J154" i="2"/>
  <c r="J264" i="2" s="1"/>
  <c r="I154" i="2"/>
  <c r="H154" i="2"/>
  <c r="H264" i="2" s="1"/>
  <c r="H64" i="2" s="1"/>
  <c r="H94" i="2"/>
  <c r="I94" i="2" s="1"/>
  <c r="J94" i="2" s="1"/>
  <c r="K94" i="2" s="1"/>
  <c r="L94" i="2" s="1"/>
  <c r="M94" i="2" s="1"/>
  <c r="N94" i="2" s="1"/>
  <c r="O94" i="2" s="1"/>
  <c r="P94" i="2" s="1"/>
  <c r="Q94" i="2" s="1"/>
  <c r="H93" i="2"/>
  <c r="I93" i="2" s="1"/>
  <c r="J93" i="2" s="1"/>
  <c r="K93" i="2" s="1"/>
  <c r="L93" i="2" s="1"/>
  <c r="M93" i="2" s="1"/>
  <c r="N93" i="2" s="1"/>
  <c r="O93" i="2" s="1"/>
  <c r="P93" i="2" s="1"/>
  <c r="Q93" i="2" s="1"/>
  <c r="AM93" i="2" s="1"/>
  <c r="H92" i="2"/>
  <c r="I92" i="2" s="1"/>
  <c r="J92" i="2" s="1"/>
  <c r="K92" i="2" s="1"/>
  <c r="L92" i="2" s="1"/>
  <c r="M92" i="2" s="1"/>
  <c r="N92" i="2" s="1"/>
  <c r="O92" i="2" s="1"/>
  <c r="P92" i="2" s="1"/>
  <c r="Q92" i="2" s="1"/>
  <c r="H91" i="2"/>
  <c r="I91" i="2" s="1"/>
  <c r="J91" i="2" s="1"/>
  <c r="K91" i="2" s="1"/>
  <c r="L91" i="2" s="1"/>
  <c r="M91" i="2" s="1"/>
  <c r="N91" i="2" s="1"/>
  <c r="O91" i="2" s="1"/>
  <c r="P91" i="2" s="1"/>
  <c r="Q91" i="2" s="1"/>
  <c r="R91" i="2" s="1"/>
  <c r="S91" i="2" s="1"/>
  <c r="T91" i="2" s="1"/>
  <c r="U91" i="2" s="1"/>
  <c r="V91" i="2" s="1"/>
  <c r="W91" i="2" s="1"/>
  <c r="X91" i="2" s="1"/>
  <c r="Y91" i="2" s="1"/>
  <c r="Z91" i="2" s="1"/>
  <c r="AA91" i="2" s="1"/>
  <c r="AB91" i="2" s="1"/>
  <c r="AC91" i="2" s="1"/>
  <c r="AZ91" i="2" s="1"/>
  <c r="H86" i="2"/>
  <c r="I86" i="2" s="1"/>
  <c r="J86" i="2" s="1"/>
  <c r="K86" i="2" s="1"/>
  <c r="L86" i="2" s="1"/>
  <c r="M86" i="2" s="1"/>
  <c r="N86" i="2" s="1"/>
  <c r="O86" i="2" s="1"/>
  <c r="P86" i="2" s="1"/>
  <c r="Q86" i="2" s="1"/>
  <c r="AM86" i="2" s="1"/>
  <c r="H85" i="2"/>
  <c r="I85" i="2" s="1"/>
  <c r="J85" i="2" s="1"/>
  <c r="K85" i="2" s="1"/>
  <c r="L85" i="2" s="1"/>
  <c r="M85" i="2" s="1"/>
  <c r="N85" i="2" s="1"/>
  <c r="O85" i="2" s="1"/>
  <c r="P85" i="2" s="1"/>
  <c r="Q85" i="2" s="1"/>
  <c r="H87" i="2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H35" i="2"/>
  <c r="I35" i="2" s="1"/>
  <c r="J35" i="2" s="1"/>
  <c r="K35" i="2" s="1"/>
  <c r="L35" i="2" s="1"/>
  <c r="M35" i="2" s="1"/>
  <c r="N35" i="2" s="1"/>
  <c r="O35" i="2" s="1"/>
  <c r="P35" i="2" s="1"/>
  <c r="Q35" i="2" s="1"/>
  <c r="H77" i="2"/>
  <c r="I77" i="2" s="1"/>
  <c r="J77" i="2" s="1"/>
  <c r="K77" i="2" s="1"/>
  <c r="L77" i="2" s="1"/>
  <c r="M77" i="2" s="1"/>
  <c r="N77" i="2" s="1"/>
  <c r="O77" i="2" s="1"/>
  <c r="P77" i="2" s="1"/>
  <c r="Q77" i="2" s="1"/>
  <c r="H90" i="2"/>
  <c r="I90" i="2" s="1"/>
  <c r="J90" i="2" s="1"/>
  <c r="K90" i="2" s="1"/>
  <c r="L90" i="2" s="1"/>
  <c r="M90" i="2" s="1"/>
  <c r="N90" i="2" s="1"/>
  <c r="O90" i="2" s="1"/>
  <c r="P90" i="2" s="1"/>
  <c r="Q90" i="2" s="1"/>
  <c r="AM90" i="2" s="1"/>
  <c r="H79" i="2"/>
  <c r="I79" i="2" s="1"/>
  <c r="J79" i="2" s="1"/>
  <c r="K79" i="2" s="1"/>
  <c r="L79" i="2" s="1"/>
  <c r="M79" i="2" s="1"/>
  <c r="N79" i="2" s="1"/>
  <c r="O79" i="2" s="1"/>
  <c r="P79" i="2" s="1"/>
  <c r="Q79" i="2" s="1"/>
  <c r="R79" i="2" s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H78" i="2"/>
  <c r="I78" i="2" s="1"/>
  <c r="J78" i="2" s="1"/>
  <c r="K78" i="2" s="1"/>
  <c r="L78" i="2" s="1"/>
  <c r="M78" i="2" s="1"/>
  <c r="N78" i="2" s="1"/>
  <c r="O78" i="2" s="1"/>
  <c r="P78" i="2" s="1"/>
  <c r="Q78" i="2" s="1"/>
  <c r="H70" i="2"/>
  <c r="I70" i="2" s="1"/>
  <c r="J70" i="2" s="1"/>
  <c r="K70" i="2" s="1"/>
  <c r="L70" i="2" s="1"/>
  <c r="M70" i="2" s="1"/>
  <c r="N70" i="2" s="1"/>
  <c r="O70" i="2" s="1"/>
  <c r="P70" i="2" s="1"/>
  <c r="Q70" i="2" s="1"/>
  <c r="R70" i="2" s="1"/>
  <c r="S70" i="2" s="1"/>
  <c r="T70" i="2" s="1"/>
  <c r="U70" i="2" s="1"/>
  <c r="V70" i="2" s="1"/>
  <c r="W70" i="2" s="1"/>
  <c r="X70" i="2" s="1"/>
  <c r="Y70" i="2" s="1"/>
  <c r="Z70" i="2" s="1"/>
  <c r="AA70" i="2" s="1"/>
  <c r="AB70" i="2" s="1"/>
  <c r="AC70" i="2" s="1"/>
  <c r="H69" i="2"/>
  <c r="I69" i="2" s="1"/>
  <c r="J69" i="2" s="1"/>
  <c r="K69" i="2" s="1"/>
  <c r="L69" i="2" s="1"/>
  <c r="M69" i="2" s="1"/>
  <c r="N69" i="2" s="1"/>
  <c r="O69" i="2" s="1"/>
  <c r="P69" i="2" s="1"/>
  <c r="Q69" i="2" s="1"/>
  <c r="H68" i="2"/>
  <c r="I68" i="2" s="1"/>
  <c r="J68" i="2" s="1"/>
  <c r="K68" i="2" s="1"/>
  <c r="L68" i="2" s="1"/>
  <c r="M68" i="2" s="1"/>
  <c r="N68" i="2" s="1"/>
  <c r="O68" i="2" s="1"/>
  <c r="P68" i="2" s="1"/>
  <c r="Q68" i="2" s="1"/>
  <c r="H67" i="2"/>
  <c r="I67" i="2" s="1"/>
  <c r="J67" i="2" s="1"/>
  <c r="K67" i="2" s="1"/>
  <c r="L67" i="2" s="1"/>
  <c r="M67" i="2" s="1"/>
  <c r="N67" i="2" s="1"/>
  <c r="O67" i="2" s="1"/>
  <c r="P67" i="2" s="1"/>
  <c r="Q67" i="2" s="1"/>
  <c r="AM67" i="2" s="1"/>
  <c r="H66" i="2"/>
  <c r="I66" i="2" s="1"/>
  <c r="J66" i="2" s="1"/>
  <c r="K66" i="2" s="1"/>
  <c r="L66" i="2" s="1"/>
  <c r="M66" i="2" s="1"/>
  <c r="N66" i="2" s="1"/>
  <c r="O66" i="2" s="1"/>
  <c r="P66" i="2" s="1"/>
  <c r="Q66" i="2" s="1"/>
  <c r="H56" i="2"/>
  <c r="I56" i="2" s="1"/>
  <c r="J56" i="2" s="1"/>
  <c r="K56" i="2" s="1"/>
  <c r="L56" i="2" s="1"/>
  <c r="M56" i="2" s="1"/>
  <c r="N56" i="2" s="1"/>
  <c r="O56" i="2" s="1"/>
  <c r="P56" i="2" s="1"/>
  <c r="Q56" i="2" s="1"/>
  <c r="AM56" i="2" s="1"/>
  <c r="H55" i="2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Z55" i="2" s="1"/>
  <c r="AA55" i="2" s="1"/>
  <c r="AB55" i="2" s="1"/>
  <c r="AC55" i="2" s="1"/>
  <c r="H54" i="2"/>
  <c r="I54" i="2" s="1"/>
  <c r="J54" i="2" s="1"/>
  <c r="K54" i="2" s="1"/>
  <c r="L54" i="2" s="1"/>
  <c r="M54" i="2" s="1"/>
  <c r="N54" i="2" s="1"/>
  <c r="O54" i="2" s="1"/>
  <c r="P54" i="2" s="1"/>
  <c r="Q54" i="2" s="1"/>
  <c r="H53" i="2"/>
  <c r="I53" i="2" s="1"/>
  <c r="J53" i="2" s="1"/>
  <c r="K53" i="2" s="1"/>
  <c r="L53" i="2" s="1"/>
  <c r="M53" i="2" s="1"/>
  <c r="N53" i="2" s="1"/>
  <c r="O53" i="2" s="1"/>
  <c r="P53" i="2" s="1"/>
  <c r="Q53" i="2" s="1"/>
  <c r="H50" i="2"/>
  <c r="I50" i="2" s="1"/>
  <c r="J50" i="2" s="1"/>
  <c r="K50" i="2" s="1"/>
  <c r="L50" i="2" s="1"/>
  <c r="M50" i="2" s="1"/>
  <c r="N50" i="2" s="1"/>
  <c r="O50" i="2" s="1"/>
  <c r="P50" i="2" s="1"/>
  <c r="Q50" i="2" s="1"/>
  <c r="H48" i="2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W48" i="2" s="1"/>
  <c r="X48" i="2" s="1"/>
  <c r="Y48" i="2" s="1"/>
  <c r="Z48" i="2" s="1"/>
  <c r="AA48" i="2" s="1"/>
  <c r="AB48" i="2" s="1"/>
  <c r="AC48" i="2" s="1"/>
  <c r="H44" i="2"/>
  <c r="I44" i="2" s="1"/>
  <c r="J44" i="2" s="1"/>
  <c r="K44" i="2" s="1"/>
  <c r="L44" i="2" s="1"/>
  <c r="M44" i="2" s="1"/>
  <c r="N44" i="2" s="1"/>
  <c r="O44" i="2" s="1"/>
  <c r="P44" i="2" s="1"/>
  <c r="Q44" i="2" s="1"/>
  <c r="AM44" i="2" s="1"/>
  <c r="H42" i="2"/>
  <c r="I42" i="2" s="1"/>
  <c r="J42" i="2" s="1"/>
  <c r="K42" i="2" s="1"/>
  <c r="L42" i="2" s="1"/>
  <c r="M42" i="2" s="1"/>
  <c r="N42" i="2" s="1"/>
  <c r="O42" i="2" s="1"/>
  <c r="P42" i="2" s="1"/>
  <c r="Q42" i="2" s="1"/>
  <c r="H40" i="2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H38" i="2"/>
  <c r="I38" i="2" s="1"/>
  <c r="J38" i="2" s="1"/>
  <c r="K38" i="2" s="1"/>
  <c r="L38" i="2" s="1"/>
  <c r="M38" i="2" s="1"/>
  <c r="N38" i="2" s="1"/>
  <c r="O38" i="2" s="1"/>
  <c r="P38" i="2" s="1"/>
  <c r="Q38" i="2" s="1"/>
  <c r="H34" i="2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Z34" i="2" s="1"/>
  <c r="H33" i="2"/>
  <c r="I33" i="2" s="1"/>
  <c r="J33" i="2" s="1"/>
  <c r="K33" i="2" s="1"/>
  <c r="L33" i="2" s="1"/>
  <c r="M33" i="2" s="1"/>
  <c r="N33" i="2" s="1"/>
  <c r="O33" i="2" s="1"/>
  <c r="P33" i="2" s="1"/>
  <c r="Q33" i="2" s="1"/>
  <c r="AM33" i="2" s="1"/>
  <c r="H30" i="2"/>
  <c r="I30" i="2" s="1"/>
  <c r="J30" i="2" s="1"/>
  <c r="K30" i="2" s="1"/>
  <c r="L30" i="2" s="1"/>
  <c r="M30" i="2" s="1"/>
  <c r="N30" i="2" s="1"/>
  <c r="O30" i="2" s="1"/>
  <c r="P30" i="2" s="1"/>
  <c r="Q30" i="2" s="1"/>
  <c r="AM30" i="2" s="1"/>
  <c r="H25" i="2"/>
  <c r="I25" i="2" s="1"/>
  <c r="J25" i="2" s="1"/>
  <c r="I166" i="2"/>
  <c r="I224" i="2" s="1"/>
  <c r="I168" i="2"/>
  <c r="I226" i="2" s="1"/>
  <c r="I173" i="2"/>
  <c r="I231" i="2" s="1"/>
  <c r="I233" i="2"/>
  <c r="I175" i="2"/>
  <c r="I234" i="2" s="1"/>
  <c r="I176" i="2"/>
  <c r="I178" i="2"/>
  <c r="I237" i="2" s="1"/>
  <c r="I179" i="2"/>
  <c r="I238" i="2" s="1"/>
  <c r="I182" i="2"/>
  <c r="I241" i="2" s="1"/>
  <c r="I183" i="2"/>
  <c r="I242" i="2" s="1"/>
  <c r="I184" i="2"/>
  <c r="I243" i="2" s="1"/>
  <c r="I185" i="2"/>
  <c r="I244" i="2" s="1"/>
  <c r="I186" i="2"/>
  <c r="I245" i="2" s="1"/>
  <c r="I187" i="2"/>
  <c r="I246" i="2" s="1"/>
  <c r="I188" i="2"/>
  <c r="I247" i="2" s="1"/>
  <c r="I191" i="2"/>
  <c r="I250" i="2" s="1"/>
  <c r="I192" i="2"/>
  <c r="I251" i="2" s="1"/>
  <c r="I196" i="2"/>
  <c r="I255" i="2" s="1"/>
  <c r="I198" i="2"/>
  <c r="I257" i="2" s="1"/>
  <c r="I199" i="2"/>
  <c r="I258" i="2" s="1"/>
  <c r="H200" i="2"/>
  <c r="H260" i="2" s="1"/>
  <c r="H82" i="2" s="1"/>
  <c r="I200" i="2"/>
  <c r="I260" i="2" s="1"/>
  <c r="I82" i="2" s="1"/>
  <c r="I201" i="2"/>
  <c r="I261" i="2" s="1"/>
  <c r="I259" i="2"/>
  <c r="H267" i="2"/>
  <c r="H76" i="2" s="1"/>
  <c r="I161" i="2"/>
  <c r="I267" i="2" s="1"/>
  <c r="I265" i="2"/>
  <c r="I208" i="2"/>
  <c r="I162" i="2" s="1"/>
  <c r="H212" i="2"/>
  <c r="H271" i="2" s="1"/>
  <c r="H103" i="2" s="1"/>
  <c r="I212" i="2"/>
  <c r="I271" i="2" s="1"/>
  <c r="H213" i="2"/>
  <c r="H272" i="2" s="1"/>
  <c r="H104" i="2" s="1"/>
  <c r="I213" i="2"/>
  <c r="I272" i="2" s="1"/>
  <c r="H214" i="2"/>
  <c r="H273" i="2" s="1"/>
  <c r="H105" i="2" s="1"/>
  <c r="I214" i="2"/>
  <c r="I273" i="2" s="1"/>
  <c r="H215" i="2"/>
  <c r="H274" i="2" s="1"/>
  <c r="H106" i="2" s="1"/>
  <c r="I215" i="2"/>
  <c r="I274" i="2" s="1"/>
  <c r="X10" i="2"/>
  <c r="K273" i="2"/>
  <c r="L273" i="2"/>
  <c r="K274" i="2"/>
  <c r="L274" i="2"/>
  <c r="E273" i="2"/>
  <c r="E224" i="2"/>
  <c r="K216" i="2"/>
  <c r="L216" i="2"/>
  <c r="X203" i="2"/>
  <c r="X263" i="2" s="1"/>
  <c r="W203" i="2"/>
  <c r="W263" i="2" s="1"/>
  <c r="U203" i="2"/>
  <c r="U263" i="2" s="1"/>
  <c r="T203" i="2"/>
  <c r="T263" i="2" s="1"/>
  <c r="R203" i="2"/>
  <c r="R263" i="2" s="1"/>
  <c r="Q203" i="2"/>
  <c r="O203" i="2"/>
  <c r="O263" i="2" s="1"/>
  <c r="N203" i="2"/>
  <c r="N263" i="2" s="1"/>
  <c r="L203" i="2"/>
  <c r="L263" i="2" s="1"/>
  <c r="K203" i="2"/>
  <c r="K263" i="2" s="1"/>
  <c r="X202" i="2"/>
  <c r="X262" i="2" s="1"/>
  <c r="W202" i="2"/>
  <c r="W262" i="2" s="1"/>
  <c r="U202" i="2"/>
  <c r="U262" i="2" s="1"/>
  <c r="T202" i="2"/>
  <c r="T262" i="2" s="1"/>
  <c r="R202" i="2"/>
  <c r="R262" i="2" s="1"/>
  <c r="Q202" i="2"/>
  <c r="Q262" i="2" s="1"/>
  <c r="O202" i="2"/>
  <c r="O262" i="2" s="1"/>
  <c r="N202" i="2"/>
  <c r="N262" i="2" s="1"/>
  <c r="L202" i="2"/>
  <c r="L262" i="2" s="1"/>
  <c r="K202" i="2"/>
  <c r="K262" i="2" s="1"/>
  <c r="X201" i="2"/>
  <c r="X261" i="2" s="1"/>
  <c r="W201" i="2"/>
  <c r="W261" i="2" s="1"/>
  <c r="U201" i="2"/>
  <c r="U261" i="2" s="1"/>
  <c r="T201" i="2"/>
  <c r="T261" i="2" s="1"/>
  <c r="R201" i="2"/>
  <c r="R261" i="2" s="1"/>
  <c r="Q201" i="2"/>
  <c r="Q261" i="2" s="1"/>
  <c r="O201" i="2"/>
  <c r="O261" i="2" s="1"/>
  <c r="N201" i="2"/>
  <c r="N261" i="2" s="1"/>
  <c r="L201" i="2"/>
  <c r="L261" i="2" s="1"/>
  <c r="K201" i="2"/>
  <c r="K261" i="2" s="1"/>
  <c r="X200" i="2"/>
  <c r="X260" i="2" s="1"/>
  <c r="W200" i="2"/>
  <c r="W260" i="2" s="1"/>
  <c r="U200" i="2"/>
  <c r="U260" i="2" s="1"/>
  <c r="T200" i="2"/>
  <c r="T260" i="2" s="1"/>
  <c r="R200" i="2"/>
  <c r="R260" i="2" s="1"/>
  <c r="Q200" i="2"/>
  <c r="Q260" i="2" s="1"/>
  <c r="O200" i="2"/>
  <c r="O260" i="2" s="1"/>
  <c r="N200" i="2"/>
  <c r="N260" i="2" s="1"/>
  <c r="L200" i="2"/>
  <c r="L260" i="2" s="1"/>
  <c r="K200" i="2"/>
  <c r="K260" i="2" s="1"/>
  <c r="X199" i="2"/>
  <c r="X258" i="2" s="1"/>
  <c r="W199" i="2"/>
  <c r="W258" i="2" s="1"/>
  <c r="U199" i="2"/>
  <c r="U258" i="2"/>
  <c r="T199" i="2"/>
  <c r="T258" i="2" s="1"/>
  <c r="R199" i="2"/>
  <c r="R258" i="2" s="1"/>
  <c r="Q199" i="2"/>
  <c r="Q258" i="2" s="1"/>
  <c r="O199" i="2"/>
  <c r="O258" i="2" s="1"/>
  <c r="N199" i="2"/>
  <c r="N258" i="2" s="1"/>
  <c r="L199" i="2"/>
  <c r="L258" i="2" s="1"/>
  <c r="K199" i="2"/>
  <c r="K258" i="2" s="1"/>
  <c r="X198" i="2"/>
  <c r="X257" i="2" s="1"/>
  <c r="W198" i="2"/>
  <c r="W257" i="2" s="1"/>
  <c r="U198" i="2"/>
  <c r="U257" i="2" s="1"/>
  <c r="T198" i="2"/>
  <c r="T257" i="2" s="1"/>
  <c r="R198" i="2"/>
  <c r="R257" i="2" s="1"/>
  <c r="Q198" i="2"/>
  <c r="Q257" i="2" s="1"/>
  <c r="O198" i="2"/>
  <c r="O257" i="2" s="1"/>
  <c r="N198" i="2"/>
  <c r="N257" i="2" s="1"/>
  <c r="L198" i="2"/>
  <c r="L257" i="2"/>
  <c r="K198" i="2"/>
  <c r="K257" i="2" s="1"/>
  <c r="X197" i="2"/>
  <c r="X256" i="2" s="1"/>
  <c r="W197" i="2"/>
  <c r="W256" i="2" s="1"/>
  <c r="U197" i="2"/>
  <c r="U256" i="2" s="1"/>
  <c r="T197" i="2"/>
  <c r="T256" i="2" s="1"/>
  <c r="R197" i="2"/>
  <c r="R256" i="2" s="1"/>
  <c r="Q197" i="2"/>
  <c r="Q256" i="2" s="1"/>
  <c r="O197" i="2"/>
  <c r="O256" i="2" s="1"/>
  <c r="N197" i="2"/>
  <c r="N256" i="2" s="1"/>
  <c r="L197" i="2"/>
  <c r="L256" i="2" s="1"/>
  <c r="K197" i="2"/>
  <c r="K256" i="2" s="1"/>
  <c r="X196" i="2"/>
  <c r="X255" i="2" s="1"/>
  <c r="W196" i="2"/>
  <c r="W255" i="2" s="1"/>
  <c r="U196" i="2"/>
  <c r="U255" i="2" s="1"/>
  <c r="T196" i="2"/>
  <c r="T255" i="2" s="1"/>
  <c r="R196" i="2"/>
  <c r="R255" i="2" s="1"/>
  <c r="Q196" i="2"/>
  <c r="Q255" i="2" s="1"/>
  <c r="O196" i="2"/>
  <c r="O255" i="2" s="1"/>
  <c r="N196" i="2"/>
  <c r="N255" i="2" s="1"/>
  <c r="L196" i="2"/>
  <c r="L255" i="2" s="1"/>
  <c r="K196" i="2"/>
  <c r="K255" i="2" s="1"/>
  <c r="X194" i="2"/>
  <c r="X253" i="2" s="1"/>
  <c r="W194" i="2"/>
  <c r="W253" i="2" s="1"/>
  <c r="U194" i="2"/>
  <c r="U253" i="2" s="1"/>
  <c r="T194" i="2"/>
  <c r="T253" i="2" s="1"/>
  <c r="R194" i="2"/>
  <c r="R253" i="2" s="1"/>
  <c r="Q194" i="2"/>
  <c r="Q253" i="2" s="1"/>
  <c r="O194" i="2"/>
  <c r="O253" i="2" s="1"/>
  <c r="N194" i="2"/>
  <c r="N253" i="2" s="1"/>
  <c r="L194" i="2"/>
  <c r="L253" i="2" s="1"/>
  <c r="K194" i="2"/>
  <c r="K253" i="2" s="1"/>
  <c r="X193" i="2"/>
  <c r="X252" i="2" s="1"/>
  <c r="W193" i="2"/>
  <c r="W252" i="2" s="1"/>
  <c r="U193" i="2"/>
  <c r="U252" i="2" s="1"/>
  <c r="T193" i="2"/>
  <c r="T252" i="2" s="1"/>
  <c r="R193" i="2"/>
  <c r="R252" i="2" s="1"/>
  <c r="Q193" i="2"/>
  <c r="O193" i="2"/>
  <c r="O252" i="2" s="1"/>
  <c r="N193" i="2"/>
  <c r="N252" i="2" s="1"/>
  <c r="L193" i="2"/>
  <c r="L252" i="2" s="1"/>
  <c r="K193" i="2"/>
  <c r="K252" i="2" s="1"/>
  <c r="X192" i="2"/>
  <c r="X251" i="2" s="1"/>
  <c r="W192" i="2"/>
  <c r="U192" i="2"/>
  <c r="U251" i="2" s="1"/>
  <c r="T192" i="2"/>
  <c r="T251" i="2" s="1"/>
  <c r="R192" i="2"/>
  <c r="R251" i="2" s="1"/>
  <c r="Q192" i="2"/>
  <c r="Q251" i="2" s="1"/>
  <c r="O192" i="2"/>
  <c r="O251" i="2" s="1"/>
  <c r="N192" i="2"/>
  <c r="N251" i="2" s="1"/>
  <c r="L192" i="2"/>
  <c r="L251" i="2" s="1"/>
  <c r="K192" i="2"/>
  <c r="K251" i="2" s="1"/>
  <c r="X191" i="2"/>
  <c r="X250" i="2" s="1"/>
  <c r="W191" i="2"/>
  <c r="W250" i="2" s="1"/>
  <c r="U191" i="2"/>
  <c r="U250" i="2" s="1"/>
  <c r="T191" i="2"/>
  <c r="R191" i="2"/>
  <c r="R250" i="2" s="1"/>
  <c r="Q191" i="2"/>
  <c r="Q250" i="2" s="1"/>
  <c r="O191" i="2"/>
  <c r="O250" i="2" s="1"/>
  <c r="N191" i="2"/>
  <c r="N250" i="2" s="1"/>
  <c r="L191" i="2"/>
  <c r="L250" i="2" s="1"/>
  <c r="K191" i="2"/>
  <c r="K250" i="2" s="1"/>
  <c r="X189" i="2"/>
  <c r="X248" i="2" s="1"/>
  <c r="W189" i="2"/>
  <c r="W248" i="2" s="1"/>
  <c r="U189" i="2"/>
  <c r="U248" i="2"/>
  <c r="T189" i="2"/>
  <c r="T248" i="2" s="1"/>
  <c r="R189" i="2"/>
  <c r="R248" i="2" s="1"/>
  <c r="Q189" i="2"/>
  <c r="Q248" i="2" s="1"/>
  <c r="O189" i="2"/>
  <c r="O248" i="2" s="1"/>
  <c r="N189" i="2"/>
  <c r="N248" i="2" s="1"/>
  <c r="L189" i="2"/>
  <c r="L248" i="2" s="1"/>
  <c r="K189" i="2"/>
  <c r="K248" i="2" s="1"/>
  <c r="X188" i="2"/>
  <c r="X247" i="2" s="1"/>
  <c r="W188" i="2"/>
  <c r="W247" i="2" s="1"/>
  <c r="U188" i="2"/>
  <c r="U247" i="2" s="1"/>
  <c r="T188" i="2"/>
  <c r="T247" i="2" s="1"/>
  <c r="R188" i="2"/>
  <c r="R247" i="2" s="1"/>
  <c r="Q188" i="2"/>
  <c r="Q247" i="2" s="1"/>
  <c r="O188" i="2"/>
  <c r="O247" i="2" s="1"/>
  <c r="N188" i="2"/>
  <c r="N247" i="2" s="1"/>
  <c r="L188" i="2"/>
  <c r="L247" i="2"/>
  <c r="K188" i="2"/>
  <c r="K247" i="2" s="1"/>
  <c r="X187" i="2"/>
  <c r="X246" i="2" s="1"/>
  <c r="W187" i="2"/>
  <c r="W246" i="2" s="1"/>
  <c r="U187" i="2"/>
  <c r="U246" i="2" s="1"/>
  <c r="T187" i="2"/>
  <c r="T246" i="2" s="1"/>
  <c r="R187" i="2"/>
  <c r="R246" i="2" s="1"/>
  <c r="Q187" i="2"/>
  <c r="Q246" i="2" s="1"/>
  <c r="O187" i="2"/>
  <c r="O246" i="2" s="1"/>
  <c r="N187" i="2"/>
  <c r="N246" i="2" s="1"/>
  <c r="L187" i="2"/>
  <c r="L246" i="2" s="1"/>
  <c r="K187" i="2"/>
  <c r="K246" i="2" s="1"/>
  <c r="X186" i="2"/>
  <c r="X245" i="2" s="1"/>
  <c r="W186" i="2"/>
  <c r="W245" i="2" s="1"/>
  <c r="U186" i="2"/>
  <c r="U245" i="2" s="1"/>
  <c r="T186" i="2"/>
  <c r="T245" i="2" s="1"/>
  <c r="R186" i="2"/>
  <c r="R245" i="2" s="1"/>
  <c r="Q186" i="2"/>
  <c r="Q245" i="2" s="1"/>
  <c r="O186" i="2"/>
  <c r="O245" i="2" s="1"/>
  <c r="N186" i="2"/>
  <c r="N245" i="2" s="1"/>
  <c r="L186" i="2"/>
  <c r="L245" i="2" s="1"/>
  <c r="K186" i="2"/>
  <c r="K245" i="2" s="1"/>
  <c r="X185" i="2"/>
  <c r="X244" i="2" s="1"/>
  <c r="W185" i="2"/>
  <c r="W244" i="2" s="1"/>
  <c r="U185" i="2"/>
  <c r="U244" i="2" s="1"/>
  <c r="T185" i="2"/>
  <c r="T244" i="2" s="1"/>
  <c r="R185" i="2"/>
  <c r="R244" i="2" s="1"/>
  <c r="Q185" i="2"/>
  <c r="Q244" i="2" s="1"/>
  <c r="O185" i="2"/>
  <c r="O244" i="2" s="1"/>
  <c r="N185" i="2"/>
  <c r="N244" i="2" s="1"/>
  <c r="L185" i="2"/>
  <c r="L244" i="2" s="1"/>
  <c r="K185" i="2"/>
  <c r="K244" i="2" s="1"/>
  <c r="X184" i="2"/>
  <c r="X243" i="2" s="1"/>
  <c r="W184" i="2"/>
  <c r="W243" i="2" s="1"/>
  <c r="U184" i="2"/>
  <c r="U243" i="2" s="1"/>
  <c r="T184" i="2"/>
  <c r="T243" i="2" s="1"/>
  <c r="R184" i="2"/>
  <c r="R243" i="2" s="1"/>
  <c r="Q184" i="2"/>
  <c r="Q243" i="2" s="1"/>
  <c r="O184" i="2"/>
  <c r="O243" i="2" s="1"/>
  <c r="N184" i="2"/>
  <c r="N243" i="2" s="1"/>
  <c r="L184" i="2"/>
  <c r="L243" i="2" s="1"/>
  <c r="K184" i="2"/>
  <c r="K243" i="2" s="1"/>
  <c r="X183" i="2"/>
  <c r="X242" i="2" s="1"/>
  <c r="W183" i="2"/>
  <c r="W242" i="2" s="1"/>
  <c r="U183" i="2"/>
  <c r="U242" i="2" s="1"/>
  <c r="T183" i="2"/>
  <c r="T242" i="2" s="1"/>
  <c r="R183" i="2"/>
  <c r="R242" i="2" s="1"/>
  <c r="Q183" i="2"/>
  <c r="Q242" i="2" s="1"/>
  <c r="O183" i="2"/>
  <c r="O242" i="2" s="1"/>
  <c r="N183" i="2"/>
  <c r="N242" i="2" s="1"/>
  <c r="L183" i="2"/>
  <c r="L242" i="2" s="1"/>
  <c r="K183" i="2"/>
  <c r="K242" i="2" s="1"/>
  <c r="X182" i="2"/>
  <c r="X241" i="2" s="1"/>
  <c r="W182" i="2"/>
  <c r="W241" i="2" s="1"/>
  <c r="U182" i="2"/>
  <c r="U241" i="2" s="1"/>
  <c r="T182" i="2"/>
  <c r="T241" i="2" s="1"/>
  <c r="R182" i="2"/>
  <c r="R241" i="2" s="1"/>
  <c r="Q182" i="2"/>
  <c r="Q241" i="2" s="1"/>
  <c r="O182" i="2"/>
  <c r="O241" i="2" s="1"/>
  <c r="N182" i="2"/>
  <c r="N241" i="2" s="1"/>
  <c r="L182" i="2"/>
  <c r="L241" i="2" s="1"/>
  <c r="K182" i="2"/>
  <c r="K241" i="2" s="1"/>
  <c r="X181" i="2"/>
  <c r="X240" i="2" s="1"/>
  <c r="W181" i="2"/>
  <c r="W240" i="2" s="1"/>
  <c r="U181" i="2"/>
  <c r="U240" i="2" s="1"/>
  <c r="T181" i="2"/>
  <c r="T240" i="2" s="1"/>
  <c r="R181" i="2"/>
  <c r="R240" i="2" s="1"/>
  <c r="Q181" i="2"/>
  <c r="Q240" i="2" s="1"/>
  <c r="O181" i="2"/>
  <c r="O240" i="2" s="1"/>
  <c r="N181" i="2"/>
  <c r="N240" i="2" s="1"/>
  <c r="L181" i="2"/>
  <c r="L240" i="2" s="1"/>
  <c r="K181" i="2"/>
  <c r="K240" i="2" s="1"/>
  <c r="X180" i="2"/>
  <c r="X239" i="2" s="1"/>
  <c r="W180" i="2"/>
  <c r="W239" i="2" s="1"/>
  <c r="U180" i="2"/>
  <c r="U239" i="2" s="1"/>
  <c r="T180" i="2"/>
  <c r="T239" i="2" s="1"/>
  <c r="R180" i="2"/>
  <c r="R239" i="2" s="1"/>
  <c r="Q180" i="2"/>
  <c r="Q239" i="2" s="1"/>
  <c r="O180" i="2"/>
  <c r="O239" i="2" s="1"/>
  <c r="N180" i="2"/>
  <c r="N239" i="2" s="1"/>
  <c r="L180" i="2"/>
  <c r="L239" i="2" s="1"/>
  <c r="K180" i="2"/>
  <c r="K239" i="2" s="1"/>
  <c r="X179" i="2"/>
  <c r="X238" i="2" s="1"/>
  <c r="W179" i="2"/>
  <c r="W238" i="2" s="1"/>
  <c r="U179" i="2"/>
  <c r="U238" i="2" s="1"/>
  <c r="T179" i="2"/>
  <c r="T238" i="2" s="1"/>
  <c r="R179" i="2"/>
  <c r="R238" i="2" s="1"/>
  <c r="Q179" i="2"/>
  <c r="Q238" i="2" s="1"/>
  <c r="O179" i="2"/>
  <c r="O238" i="2" s="1"/>
  <c r="N179" i="2"/>
  <c r="N238" i="2" s="1"/>
  <c r="L179" i="2"/>
  <c r="L238" i="2" s="1"/>
  <c r="K179" i="2"/>
  <c r="K238" i="2" s="1"/>
  <c r="X178" i="2"/>
  <c r="X237" i="2" s="1"/>
  <c r="W178" i="2"/>
  <c r="W237" i="2" s="1"/>
  <c r="U178" i="2"/>
  <c r="U237" i="2" s="1"/>
  <c r="T178" i="2"/>
  <c r="T237" i="2" s="1"/>
  <c r="R178" i="2"/>
  <c r="R237" i="2" s="1"/>
  <c r="Q178" i="2"/>
  <c r="Q237" i="2" s="1"/>
  <c r="O178" i="2"/>
  <c r="O237" i="2" s="1"/>
  <c r="N178" i="2"/>
  <c r="N237" i="2" s="1"/>
  <c r="L178" i="2"/>
  <c r="L237" i="2" s="1"/>
  <c r="K178" i="2"/>
  <c r="K237" i="2" s="1"/>
  <c r="X177" i="2"/>
  <c r="X236" i="2" s="1"/>
  <c r="W177" i="2"/>
  <c r="W236" i="2" s="1"/>
  <c r="U177" i="2"/>
  <c r="U236" i="2" s="1"/>
  <c r="T177" i="2"/>
  <c r="T236" i="2" s="1"/>
  <c r="R177" i="2"/>
  <c r="R236" i="2" s="1"/>
  <c r="Q177" i="2"/>
  <c r="Q236" i="2" s="1"/>
  <c r="O177" i="2"/>
  <c r="O236" i="2" s="1"/>
  <c r="N177" i="2"/>
  <c r="N236" i="2" s="1"/>
  <c r="L177" i="2"/>
  <c r="L236" i="2" s="1"/>
  <c r="K177" i="2"/>
  <c r="K236" i="2" s="1"/>
  <c r="X176" i="2"/>
  <c r="X235" i="2" s="1"/>
  <c r="W176" i="2"/>
  <c r="W235" i="2" s="1"/>
  <c r="U176" i="2"/>
  <c r="U235" i="2" s="1"/>
  <c r="T176" i="2"/>
  <c r="T235" i="2" s="1"/>
  <c r="R176" i="2"/>
  <c r="R235" i="2" s="1"/>
  <c r="Q176" i="2"/>
  <c r="Q235" i="2" s="1"/>
  <c r="O176" i="2"/>
  <c r="O235" i="2" s="1"/>
  <c r="N176" i="2"/>
  <c r="N235" i="2" s="1"/>
  <c r="L176" i="2"/>
  <c r="L235" i="2" s="1"/>
  <c r="K176" i="2"/>
  <c r="K235" i="2" s="1"/>
  <c r="X175" i="2"/>
  <c r="X234" i="2" s="1"/>
  <c r="W175" i="2"/>
  <c r="W234" i="2" s="1"/>
  <c r="U175" i="2"/>
  <c r="U234" i="2" s="1"/>
  <c r="T175" i="2"/>
  <c r="T234" i="2" s="1"/>
  <c r="R175" i="2"/>
  <c r="R234" i="2" s="1"/>
  <c r="Q175" i="2"/>
  <c r="Q234" i="2" s="1"/>
  <c r="O175" i="2"/>
  <c r="O234" i="2" s="1"/>
  <c r="N175" i="2"/>
  <c r="N234" i="2" s="1"/>
  <c r="L175" i="2"/>
  <c r="L234" i="2" s="1"/>
  <c r="K175" i="2"/>
  <c r="K234" i="2" s="1"/>
  <c r="X233" i="2"/>
  <c r="W233" i="2"/>
  <c r="U233" i="2"/>
  <c r="R233" i="2"/>
  <c r="Q233" i="2"/>
  <c r="L233" i="2"/>
  <c r="K233" i="2"/>
  <c r="X174" i="2"/>
  <c r="X232" i="2" s="1"/>
  <c r="W174" i="2"/>
  <c r="W232" i="2" s="1"/>
  <c r="U174" i="2"/>
  <c r="U232" i="2" s="1"/>
  <c r="T174" i="2"/>
  <c r="R174" i="2"/>
  <c r="R232" i="2" s="1"/>
  <c r="Q174" i="2"/>
  <c r="Q232" i="2" s="1"/>
  <c r="O174" i="2"/>
  <c r="O232" i="2" s="1"/>
  <c r="N174" i="2"/>
  <c r="N232" i="2" s="1"/>
  <c r="L174" i="2"/>
  <c r="L232" i="2" s="1"/>
  <c r="K174" i="2"/>
  <c r="K232" i="2" s="1"/>
  <c r="X173" i="2"/>
  <c r="X231" i="2" s="1"/>
  <c r="W173" i="2"/>
  <c r="W231" i="2" s="1"/>
  <c r="U173" i="2"/>
  <c r="U231" i="2" s="1"/>
  <c r="T173" i="2"/>
  <c r="T231" i="2" s="1"/>
  <c r="R173" i="2"/>
  <c r="R231" i="2" s="1"/>
  <c r="Q173" i="2"/>
  <c r="Q231" i="2" s="1"/>
  <c r="O173" i="2"/>
  <c r="O231" i="2" s="1"/>
  <c r="N173" i="2"/>
  <c r="N231" i="2" s="1"/>
  <c r="L173" i="2"/>
  <c r="L231" i="2" s="1"/>
  <c r="K173" i="2"/>
  <c r="K231" i="2" s="1"/>
  <c r="AJ169" i="2"/>
  <c r="AJ227" i="2" s="1"/>
  <c r="AG169" i="2"/>
  <c r="AG227" i="2" s="1"/>
  <c r="AD169" i="2"/>
  <c r="AD227" i="2" s="1"/>
  <c r="AA169" i="2"/>
  <c r="AA227" i="2" s="1"/>
  <c r="Z169" i="2"/>
  <c r="Z227" i="2" s="1"/>
  <c r="X169" i="2"/>
  <c r="W169" i="2"/>
  <c r="W227" i="2" s="1"/>
  <c r="U169" i="2"/>
  <c r="U227" i="2" s="1"/>
  <c r="T169" i="2"/>
  <c r="T227" i="2" s="1"/>
  <c r="R169" i="2"/>
  <c r="R227" i="2" s="1"/>
  <c r="Q169" i="2"/>
  <c r="Q227" i="2" s="1"/>
  <c r="O169" i="2"/>
  <c r="O227" i="2" s="1"/>
  <c r="N169" i="2"/>
  <c r="N227" i="2" s="1"/>
  <c r="L169" i="2"/>
  <c r="K169" i="2"/>
  <c r="K227" i="2" s="1"/>
  <c r="AJ168" i="2"/>
  <c r="AJ226" i="2" s="1"/>
  <c r="AG168" i="2"/>
  <c r="AG226" i="2" s="1"/>
  <c r="AD168" i="2"/>
  <c r="AD226" i="2" s="1"/>
  <c r="AA168" i="2"/>
  <c r="Z168" i="2"/>
  <c r="Z226" i="2" s="1"/>
  <c r="X168" i="2"/>
  <c r="X226" i="2" s="1"/>
  <c r="W168" i="2"/>
  <c r="U168" i="2"/>
  <c r="U226" i="2" s="1"/>
  <c r="T168" i="2"/>
  <c r="T226" i="2" s="1"/>
  <c r="R168" i="2"/>
  <c r="Q168" i="2"/>
  <c r="Q226" i="2" s="1"/>
  <c r="O168" i="2"/>
  <c r="O226" i="2" s="1"/>
  <c r="N168" i="2"/>
  <c r="N226" i="2" s="1"/>
  <c r="L168" i="2"/>
  <c r="L226" i="2" s="1"/>
  <c r="K168" i="2"/>
  <c r="K226" i="2" s="1"/>
  <c r="AJ167" i="2"/>
  <c r="AJ225" i="2" s="1"/>
  <c r="AG167" i="2"/>
  <c r="AG225" i="2" s="1"/>
  <c r="AD167" i="2"/>
  <c r="AD225" i="2" s="1"/>
  <c r="AA167" i="2"/>
  <c r="AA225" i="2" s="1"/>
  <c r="Z167" i="2"/>
  <c r="Z225" i="2" s="1"/>
  <c r="X167" i="2"/>
  <c r="X225" i="2" s="1"/>
  <c r="W167" i="2"/>
  <c r="W225" i="2" s="1"/>
  <c r="U167" i="2"/>
  <c r="U225" i="2" s="1"/>
  <c r="T167" i="2"/>
  <c r="T225" i="2" s="1"/>
  <c r="R167" i="2"/>
  <c r="R225" i="2" s="1"/>
  <c r="Q167" i="2"/>
  <c r="Q225" i="2" s="1"/>
  <c r="O167" i="2"/>
  <c r="O225" i="2" s="1"/>
  <c r="N167" i="2"/>
  <c r="N225" i="2" s="1"/>
  <c r="L167" i="2"/>
  <c r="L225" i="2" s="1"/>
  <c r="K167" i="2"/>
  <c r="K225" i="2" s="1"/>
  <c r="AJ166" i="2"/>
  <c r="AJ224" i="2" s="1"/>
  <c r="AG166" i="2"/>
  <c r="AD166" i="2"/>
  <c r="AD224" i="2" s="1"/>
  <c r="AA166" i="2"/>
  <c r="Z166" i="2"/>
  <c r="Z224" i="2" s="1"/>
  <c r="X166" i="2"/>
  <c r="W166" i="2"/>
  <c r="W224" i="2" s="1"/>
  <c r="U166" i="2"/>
  <c r="T166" i="2"/>
  <c r="R166" i="2"/>
  <c r="Q166" i="2"/>
  <c r="Q224" i="2" s="1"/>
  <c r="O166" i="2"/>
  <c r="N166" i="2"/>
  <c r="N224" i="2" s="1"/>
  <c r="L166" i="2"/>
  <c r="L224" i="2" s="1"/>
  <c r="K166" i="2"/>
  <c r="K224" i="2" s="1"/>
  <c r="E253" i="2"/>
  <c r="E252" i="2"/>
  <c r="E251" i="2"/>
  <c r="E250" i="2"/>
  <c r="E248" i="2"/>
  <c r="E245" i="2"/>
  <c r="E244" i="2"/>
  <c r="E243" i="2"/>
  <c r="E242" i="2"/>
  <c r="E241" i="2"/>
  <c r="E240" i="2"/>
  <c r="E239" i="2"/>
  <c r="K271" i="2"/>
  <c r="L271" i="2"/>
  <c r="K272" i="2"/>
  <c r="L272" i="2"/>
  <c r="K269" i="2"/>
  <c r="K268" i="2" s="1"/>
  <c r="L269" i="2"/>
  <c r="L268" i="2" s="1"/>
  <c r="N269" i="2"/>
  <c r="O269" i="2"/>
  <c r="O268" i="2" s="1"/>
  <c r="Q269" i="2"/>
  <c r="R269" i="2"/>
  <c r="T269" i="2"/>
  <c r="U269" i="2"/>
  <c r="U268" i="2" s="1"/>
  <c r="W269" i="2"/>
  <c r="X269" i="2"/>
  <c r="X268" i="2" s="1"/>
  <c r="K267" i="2"/>
  <c r="L267" i="2"/>
  <c r="X265" i="2"/>
  <c r="W265" i="2"/>
  <c r="U265" i="2"/>
  <c r="T265" i="2"/>
  <c r="R265" i="2"/>
  <c r="Q265" i="2"/>
  <c r="O265" i="2"/>
  <c r="N265" i="2"/>
  <c r="L265" i="2"/>
  <c r="K265" i="2"/>
  <c r="E274" i="2"/>
  <c r="E272" i="2"/>
  <c r="E271" i="2"/>
  <c r="E270" i="2"/>
  <c r="E269" i="2"/>
  <c r="E268" i="2"/>
  <c r="E267" i="2"/>
  <c r="E265" i="2"/>
  <c r="E264" i="2"/>
  <c r="E263" i="2"/>
  <c r="E262" i="2"/>
  <c r="E261" i="2"/>
  <c r="E260" i="2"/>
  <c r="E259" i="2"/>
  <c r="E258" i="2"/>
  <c r="E257" i="2"/>
  <c r="E256" i="2"/>
  <c r="E255" i="2"/>
  <c r="E238" i="2"/>
  <c r="E237" i="2"/>
  <c r="E236" i="2"/>
  <c r="E235" i="2"/>
  <c r="E234" i="2"/>
  <c r="E233" i="2"/>
  <c r="E227" i="2"/>
  <c r="E226" i="2"/>
  <c r="E225" i="2"/>
  <c r="N233" i="2"/>
  <c r="O233" i="2"/>
  <c r="T233" i="2"/>
  <c r="K259" i="2"/>
  <c r="L259" i="2"/>
  <c r="N259" i="2"/>
  <c r="O259" i="2"/>
  <c r="Q259" i="2"/>
  <c r="R259" i="2"/>
  <c r="T259" i="2"/>
  <c r="U259" i="2"/>
  <c r="W259" i="2"/>
  <c r="X259" i="2"/>
  <c r="C10" i="2"/>
  <c r="D10" i="2"/>
  <c r="E10" i="2"/>
  <c r="F10" i="2"/>
  <c r="G10" i="2"/>
  <c r="H10" i="2"/>
  <c r="I10" i="2"/>
  <c r="J10" i="2"/>
  <c r="K10" i="2"/>
  <c r="L10" i="2"/>
  <c r="M10" i="2"/>
  <c r="N10" i="2"/>
  <c r="N11" i="2" s="1"/>
  <c r="O10" i="2"/>
  <c r="P11" i="2" s="1"/>
  <c r="P10" i="2"/>
  <c r="Q10" i="2"/>
  <c r="R10" i="2"/>
  <c r="S10" i="2"/>
  <c r="T10" i="2"/>
  <c r="U10" i="2"/>
  <c r="U11" i="2" s="1"/>
  <c r="V10" i="2"/>
  <c r="W10" i="2"/>
  <c r="Y10" i="2"/>
  <c r="Z10" i="2"/>
  <c r="AA10" i="2"/>
  <c r="AB10" i="2"/>
  <c r="AC10" i="2"/>
  <c r="AD10" i="2"/>
  <c r="AE10" i="2"/>
  <c r="AF10" i="2"/>
  <c r="AG11" i="2" s="1"/>
  <c r="AG10" i="2"/>
  <c r="AH10" i="2"/>
  <c r="AI10" i="2"/>
  <c r="AJ10" i="2"/>
  <c r="AK10" i="2"/>
  <c r="B10" i="2"/>
  <c r="P149" i="2"/>
  <c r="P200" i="2" s="1"/>
  <c r="I203" i="2"/>
  <c r="I263" i="2" s="1"/>
  <c r="I197" i="2"/>
  <c r="I256" i="2" s="1"/>
  <c r="G107" i="2"/>
  <c r="G16" i="2" s="1"/>
  <c r="I202" i="2"/>
  <c r="I262" i="2" s="1"/>
  <c r="I181" i="2"/>
  <c r="I240" i="2" s="1"/>
  <c r="I169" i="2"/>
  <c r="I227" i="2" s="1"/>
  <c r="I180" i="2"/>
  <c r="I239" i="2" s="1"/>
  <c r="I177" i="2"/>
  <c r="I236" i="2" s="1"/>
  <c r="W267" i="2"/>
  <c r="I193" i="2"/>
  <c r="I252" i="2" s="1"/>
  <c r="I189" i="2"/>
  <c r="I248" i="2" s="1"/>
  <c r="X267" i="2"/>
  <c r="T267" i="2"/>
  <c r="I167" i="2"/>
  <c r="H269" i="2"/>
  <c r="I174" i="2"/>
  <c r="I232" i="2" s="1"/>
  <c r="I194" i="2"/>
  <c r="I253" i="2" s="1"/>
  <c r="G95" i="2"/>
  <c r="G14" i="2" s="1"/>
  <c r="H233" i="2"/>
  <c r="H31" i="2" s="1"/>
  <c r="I31" i="2" s="1"/>
  <c r="H180" i="2"/>
  <c r="H239" i="2" s="1"/>
  <c r="H49" i="2" s="1"/>
  <c r="H259" i="2"/>
  <c r="H80" i="2" s="1"/>
  <c r="I80" i="2" s="1"/>
  <c r="H201" i="2"/>
  <c r="H261" i="2" s="1"/>
  <c r="H83" i="2" s="1"/>
  <c r="H182" i="2"/>
  <c r="H241" i="2" s="1"/>
  <c r="H265" i="2"/>
  <c r="H81" i="2" s="1"/>
  <c r="H177" i="2"/>
  <c r="H236" i="2" s="1"/>
  <c r="H39" i="2" s="1"/>
  <c r="H198" i="2"/>
  <c r="H257" i="2"/>
  <c r="H74" i="2" s="1"/>
  <c r="H194" i="2"/>
  <c r="H253" i="2" s="1"/>
  <c r="H65" i="2"/>
  <c r="I65" i="2" s="1"/>
  <c r="H168" i="2"/>
  <c r="H184" i="2"/>
  <c r="H243" i="2" s="1"/>
  <c r="H183" i="2"/>
  <c r="H242" i="2" s="1"/>
  <c r="H173" i="2"/>
  <c r="H231" i="2" s="1"/>
  <c r="H36" i="2" s="1"/>
  <c r="H169" i="2"/>
  <c r="H227" i="2" s="1"/>
  <c r="H26" i="2" s="1"/>
  <c r="H189" i="2"/>
  <c r="H248" i="2" s="1"/>
  <c r="H179" i="2"/>
  <c r="H238" i="2" s="1"/>
  <c r="H43" i="2" s="1"/>
  <c r="H188" i="2"/>
  <c r="H247" i="2" s="1"/>
  <c r="H59" i="2" s="1"/>
  <c r="I59" i="2" s="1"/>
  <c r="H185" i="2"/>
  <c r="H244" i="2" s="1"/>
  <c r="H202" i="2"/>
  <c r="H262" i="2" s="1"/>
  <c r="H88" i="2" s="1"/>
  <c r="I88" i="2" s="1"/>
  <c r="O267" i="2"/>
  <c r="Q267" i="2"/>
  <c r="N267" i="2"/>
  <c r="U267" i="2"/>
  <c r="R267" i="2"/>
  <c r="H187" i="2"/>
  <c r="H246" i="2" s="1"/>
  <c r="H60" i="2" s="1"/>
  <c r="I60" i="2" s="1"/>
  <c r="H203" i="2"/>
  <c r="H263" i="2" s="1"/>
  <c r="H89" i="2"/>
  <c r="H174" i="2"/>
  <c r="H232" i="2" s="1"/>
  <c r="H175" i="2"/>
  <c r="H234" i="2" s="1"/>
  <c r="H32" i="2" s="1"/>
  <c r="H167" i="2"/>
  <c r="H225" i="2" s="1"/>
  <c r="H23" i="2" s="1"/>
  <c r="H193" i="2"/>
  <c r="H252" i="2" s="1"/>
  <c r="H178" i="2"/>
  <c r="H237" i="2" s="1"/>
  <c r="H41" i="2" s="1"/>
  <c r="I41" i="2" s="1"/>
  <c r="H186" i="2"/>
  <c r="H245" i="2" s="1"/>
  <c r="H58" i="2" s="1"/>
  <c r="H196" i="2"/>
  <c r="H255" i="2" s="1"/>
  <c r="H72" i="2" s="1"/>
  <c r="H166" i="2"/>
  <c r="H224" i="2" s="1"/>
  <c r="H22" i="2" s="1"/>
  <c r="I22" i="2" s="1"/>
  <c r="H192" i="2"/>
  <c r="H251" i="2" s="1"/>
  <c r="H63" i="2" s="1"/>
  <c r="I63" i="2" s="1"/>
  <c r="H181" i="2"/>
  <c r="H240" i="2" s="1"/>
  <c r="H51" i="2" s="1"/>
  <c r="H176" i="2"/>
  <c r="H235" i="2" s="1"/>
  <c r="H197" i="2"/>
  <c r="H256" i="2" s="1"/>
  <c r="H73" i="2" s="1"/>
  <c r="H199" i="2"/>
  <c r="H258" i="2" s="1"/>
  <c r="H75" i="2" s="1"/>
  <c r="I75" i="2" s="1"/>
  <c r="H191" i="2"/>
  <c r="H250" i="2" s="1"/>
  <c r="H62" i="2" s="1"/>
  <c r="I62" i="2" s="1"/>
  <c r="M209" i="2"/>
  <c r="M270" i="2" s="1"/>
  <c r="AC204" i="2"/>
  <c r="AF204" i="2" s="1"/>
  <c r="AC169" i="2"/>
  <c r="AC227" i="2"/>
  <c r="AC166" i="2"/>
  <c r="AC224" i="2" s="1"/>
  <c r="AC168" i="2"/>
  <c r="AC226" i="2" s="1"/>
  <c r="AC167" i="2"/>
  <c r="AC225" i="2"/>
  <c r="AF166" i="2"/>
  <c r="AF224" i="2" s="1"/>
  <c r="AF169" i="2"/>
  <c r="AF227" i="2" s="1"/>
  <c r="AF168" i="2"/>
  <c r="AF167" i="2"/>
  <c r="AF225" i="2" s="1"/>
  <c r="AI167" i="2"/>
  <c r="AI225" i="2" s="1"/>
  <c r="AI168" i="2"/>
  <c r="AI226" i="2" s="1"/>
  <c r="AI166" i="2"/>
  <c r="AI224" i="2" s="1"/>
  <c r="AI169" i="2"/>
  <c r="AI227" i="2" s="1"/>
  <c r="H99" i="2"/>
  <c r="I99" i="2" s="1"/>
  <c r="J99" i="2" s="1"/>
  <c r="K99" i="2" s="1"/>
  <c r="L99" i="2" s="1"/>
  <c r="M99" i="2" s="1"/>
  <c r="N99" i="2" s="1"/>
  <c r="O99" i="2" s="1"/>
  <c r="P99" i="2" s="1"/>
  <c r="Q99" i="2" s="1"/>
  <c r="AF155" i="2"/>
  <c r="AD155" i="2"/>
  <c r="AG237" i="2"/>
  <c r="T224" i="2"/>
  <c r="AB233" i="2"/>
  <c r="AE123" i="2"/>
  <c r="AE233" i="2" s="1"/>
  <c r="T32" i="17"/>
  <c r="R224" i="2"/>
  <c r="AC42" i="17"/>
  <c r="I41" i="17"/>
  <c r="I42" i="17"/>
  <c r="Y41" i="17"/>
  <c r="Y42" i="17"/>
  <c r="AK41" i="17"/>
  <c r="AK42" i="17"/>
  <c r="AL41" i="17"/>
  <c r="X41" i="17"/>
  <c r="X42" i="17" s="1"/>
  <c r="O41" i="17"/>
  <c r="O42" i="17" s="1"/>
  <c r="U41" i="17"/>
  <c r="U42" i="17" s="1"/>
  <c r="E41" i="17"/>
  <c r="E42" i="17" s="1"/>
  <c r="E44" i="17" s="1"/>
  <c r="Z41" i="17"/>
  <c r="AD41" i="17"/>
  <c r="AD42" i="17" s="1"/>
  <c r="AF41" i="17"/>
  <c r="AF42" i="17" s="1"/>
  <c r="AF44" i="17" s="1"/>
  <c r="AE215" i="2" s="1"/>
  <c r="AE274" i="2" s="1"/>
  <c r="L41" i="17"/>
  <c r="L42" i="17" s="1"/>
  <c r="D41" i="17"/>
  <c r="D42" i="17"/>
  <c r="D44" i="17" s="1"/>
  <c r="AE41" i="17"/>
  <c r="AE42" i="17" s="1"/>
  <c r="AE44" i="17" s="1"/>
  <c r="AD215" i="2" s="1"/>
  <c r="AD274" i="2" s="1"/>
  <c r="W41" i="17"/>
  <c r="C41" i="17"/>
  <c r="C42" i="17" s="1"/>
  <c r="R41" i="17"/>
  <c r="R42" i="17" s="1"/>
  <c r="V41" i="17"/>
  <c r="V42" i="17"/>
  <c r="V44" i="17" s="1"/>
  <c r="U215" i="2" s="1"/>
  <c r="U274" i="2" s="1"/>
  <c r="F41" i="17"/>
  <c r="F42" i="17"/>
  <c r="AG41" i="17"/>
  <c r="AG42" i="17"/>
  <c r="AB41" i="17"/>
  <c r="AB42" i="17"/>
  <c r="AB44" i="17" s="1"/>
  <c r="AA215" i="2" s="1"/>
  <c r="AA274" i="2" s="1"/>
  <c r="T41" i="17"/>
  <c r="S41" i="17"/>
  <c r="S42" i="17"/>
  <c r="K41" i="17"/>
  <c r="K42" i="17" s="1"/>
  <c r="K44" i="17"/>
  <c r="M41" i="17"/>
  <c r="M42" i="17"/>
  <c r="J13" i="17"/>
  <c r="Q41" i="17"/>
  <c r="J41" i="17"/>
  <c r="J42" i="17"/>
  <c r="G41" i="17"/>
  <c r="G42" i="17"/>
  <c r="G44" i="17" s="1"/>
  <c r="H41" i="17"/>
  <c r="H42" i="17"/>
  <c r="N41" i="17"/>
  <c r="N42" i="17" s="1"/>
  <c r="P41" i="17"/>
  <c r="P42" i="17" s="1"/>
  <c r="P44" i="17" s="1"/>
  <c r="M43" i="17"/>
  <c r="P47" i="17"/>
  <c r="P48" i="17"/>
  <c r="E47" i="17"/>
  <c r="E48" i="17" s="1"/>
  <c r="S37" i="17"/>
  <c r="S38" i="17"/>
  <c r="AH47" i="17"/>
  <c r="AH48" i="17" s="1"/>
  <c r="AG213" i="2" s="1"/>
  <c r="AG272" i="2" s="1"/>
  <c r="J33" i="17"/>
  <c r="J34" i="17"/>
  <c r="AC33" i="17"/>
  <c r="AC34" i="17" s="1"/>
  <c r="V33" i="17"/>
  <c r="V34" i="17"/>
  <c r="AJ33" i="17"/>
  <c r="AJ34" i="17"/>
  <c r="AI213" i="2" s="1"/>
  <c r="AI272" i="2" s="1"/>
  <c r="AH33" i="17"/>
  <c r="AH34" i="17"/>
  <c r="Y47" i="17"/>
  <c r="Y48" i="17"/>
  <c r="AE43" i="17"/>
  <c r="AI33" i="17"/>
  <c r="X37" i="17"/>
  <c r="X38" i="17"/>
  <c r="W214" i="2" s="1"/>
  <c r="W47" i="17"/>
  <c r="W48" i="17"/>
  <c r="AK43" i="17"/>
  <c r="U47" i="17"/>
  <c r="U48" i="17"/>
  <c r="G43" i="17"/>
  <c r="O37" i="17"/>
  <c r="O38" i="17"/>
  <c r="AL43" i="17"/>
  <c r="AF33" i="17"/>
  <c r="F33" i="17"/>
  <c r="F34" i="17"/>
  <c r="N33" i="17"/>
  <c r="AG37" i="17"/>
  <c r="AG38" i="17" s="1"/>
  <c r="AF37" i="17"/>
  <c r="N37" i="17"/>
  <c r="M33" i="17"/>
  <c r="M34" i="17" s="1"/>
  <c r="U37" i="17"/>
  <c r="U38" i="17"/>
  <c r="R37" i="17"/>
  <c r="R38" i="17" s="1"/>
  <c r="P37" i="17"/>
  <c r="P38" i="17"/>
  <c r="Y37" i="17"/>
  <c r="Y38" i="17" s="1"/>
  <c r="Q33" i="17"/>
  <c r="AD47" i="17"/>
  <c r="AD48" i="17" s="1"/>
  <c r="H47" i="17"/>
  <c r="H48" i="17" s="1"/>
  <c r="V43" i="17"/>
  <c r="J16" i="17"/>
  <c r="Q29" i="17" s="1"/>
  <c r="N29" i="17"/>
  <c r="N30" i="17" s="1"/>
  <c r="M212" i="2" s="1"/>
  <c r="M271" i="2" s="1"/>
  <c r="U29" i="17"/>
  <c r="U30" i="17" s="1"/>
  <c r="G29" i="17"/>
  <c r="G30" i="17" s="1"/>
  <c r="D29" i="17"/>
  <c r="D30" i="17" s="1"/>
  <c r="AJ155" i="2"/>
  <c r="AG264" i="2"/>
  <c r="X214" i="2"/>
  <c r="X273" i="2" s="1"/>
  <c r="S21" i="17"/>
  <c r="R214" i="2"/>
  <c r="R273" i="2" s="1"/>
  <c r="W273" i="2"/>
  <c r="AF214" i="2"/>
  <c r="AF273" i="2" s="1"/>
  <c r="AG224" i="2"/>
  <c r="L29" i="17"/>
  <c r="L30" i="17" s="1"/>
  <c r="L50" i="17" s="1"/>
  <c r="L59" i="17" s="1"/>
  <c r="W29" i="17"/>
  <c r="S29" i="17"/>
  <c r="S30" i="17" s="1"/>
  <c r="AE29" i="17"/>
  <c r="AE30" i="17"/>
  <c r="I29" i="17"/>
  <c r="I30" i="17"/>
  <c r="I50" i="17" s="1"/>
  <c r="I59" i="17" s="1"/>
  <c r="AK29" i="17"/>
  <c r="AK30" i="17" s="1"/>
  <c r="AI29" i="17"/>
  <c r="AA47" i="17"/>
  <c r="AA48" i="17"/>
  <c r="K47" i="17"/>
  <c r="K48" i="17" s="1"/>
  <c r="AG43" i="17"/>
  <c r="D47" i="17"/>
  <c r="D48" i="17" s="1"/>
  <c r="K37" i="17"/>
  <c r="G33" i="17"/>
  <c r="G34" i="17"/>
  <c r="M47" i="17"/>
  <c r="M48" i="17" s="1"/>
  <c r="Z43" i="17"/>
  <c r="Z37" i="17"/>
  <c r="U43" i="17"/>
  <c r="U44" i="17" s="1"/>
  <c r="T215" i="2" s="1"/>
  <c r="T274" i="2" s="1"/>
  <c r="Z47" i="17"/>
  <c r="Z48" i="17"/>
  <c r="AJ47" i="17"/>
  <c r="AJ48" i="17"/>
  <c r="N47" i="17"/>
  <c r="Q47" i="17"/>
  <c r="Q48" i="17" s="1"/>
  <c r="P213" i="2" s="1"/>
  <c r="P272" i="2" s="1"/>
  <c r="D43" i="17"/>
  <c r="AH43" i="17"/>
  <c r="AH44" i="17"/>
  <c r="AG215" i="2"/>
  <c r="AG274" i="2" s="1"/>
  <c r="W43" i="17"/>
  <c r="L47" i="17"/>
  <c r="L48" i="17"/>
  <c r="D37" i="17"/>
  <c r="D38" i="17" s="1"/>
  <c r="D21" i="17" s="1"/>
  <c r="AL33" i="17"/>
  <c r="Y43" i="17"/>
  <c r="AF43" i="17"/>
  <c r="T43" i="17"/>
  <c r="C37" i="17"/>
  <c r="C38" i="17"/>
  <c r="C21" i="17" s="1"/>
  <c r="H37" i="17"/>
  <c r="V37" i="17"/>
  <c r="V38" i="17"/>
  <c r="J37" i="17"/>
  <c r="J38" i="17" s="1"/>
  <c r="J21" i="17" s="1"/>
  <c r="AB33" i="17"/>
  <c r="AB34" i="17"/>
  <c r="AE37" i="17"/>
  <c r="AE38" i="17" s="1"/>
  <c r="Q37" i="17"/>
  <c r="AD43" i="17"/>
  <c r="S47" i="17"/>
  <c r="S48" i="17" s="1"/>
  <c r="AF47" i="17"/>
  <c r="N43" i="17"/>
  <c r="J43" i="17"/>
  <c r="J44" i="17" s="1"/>
  <c r="AA33" i="17"/>
  <c r="AA34" i="17"/>
  <c r="AC37" i="17"/>
  <c r="AC47" i="17"/>
  <c r="AC48" i="17" s="1"/>
  <c r="O43" i="17"/>
  <c r="AI47" i="17"/>
  <c r="L43" i="17"/>
  <c r="L44" i="17"/>
  <c r="AA37" i="17"/>
  <c r="AA38" i="17" s="1"/>
  <c r="Z214" i="2" s="1"/>
  <c r="Z273" i="2" s="1"/>
  <c r="AH37" i="17"/>
  <c r="AH38" i="17"/>
  <c r="M37" i="17"/>
  <c r="M38" i="17" s="1"/>
  <c r="O214" i="2" s="1"/>
  <c r="O273" i="2" s="1"/>
  <c r="O47" i="17"/>
  <c r="O48" i="17"/>
  <c r="AK47" i="17"/>
  <c r="AK48" i="17" s="1"/>
  <c r="AI43" i="17"/>
  <c r="I47" i="17"/>
  <c r="I48" i="17"/>
  <c r="AI37" i="17"/>
  <c r="C33" i="17"/>
  <c r="C34" i="17"/>
  <c r="P33" i="17"/>
  <c r="P34" i="17" s="1"/>
  <c r="O213" i="2" s="1"/>
  <c r="O272" i="2" s="1"/>
  <c r="F37" i="17"/>
  <c r="F38" i="17" s="1"/>
  <c r="S33" i="17"/>
  <c r="S34" i="17"/>
  <c r="AL37" i="17"/>
  <c r="K43" i="17"/>
  <c r="C43" i="17"/>
  <c r="C44" i="17"/>
  <c r="AB37" i="17"/>
  <c r="AB38" i="17" s="1"/>
  <c r="Q43" i="17"/>
  <c r="D33" i="17"/>
  <c r="D34" i="17"/>
  <c r="H33" i="17"/>
  <c r="H34" i="17"/>
  <c r="Z33" i="17"/>
  <c r="R47" i="17"/>
  <c r="R48" i="17"/>
  <c r="I37" i="17"/>
  <c r="I38" i="17"/>
  <c r="I21" i="17" s="1"/>
  <c r="E43" i="17"/>
  <c r="X43" i="17"/>
  <c r="AB43" i="17"/>
  <c r="AK33" i="17"/>
  <c r="AK34" i="17"/>
  <c r="AJ213" i="2" s="1"/>
  <c r="AJ272" i="2" s="1"/>
  <c r="V47" i="17"/>
  <c r="V48" i="17"/>
  <c r="U213" i="2"/>
  <c r="U272" i="2" s="1"/>
  <c r="H43" i="17"/>
  <c r="H44" i="17"/>
  <c r="G37" i="17"/>
  <c r="G38" i="17"/>
  <c r="O33" i="17"/>
  <c r="O34" i="17"/>
  <c r="AC43" i="17"/>
  <c r="AC44" i="17" s="1"/>
  <c r="AB215" i="2" s="1"/>
  <c r="AB274" i="2" s="1"/>
  <c r="J47" i="17"/>
  <c r="J48" i="17" s="1"/>
  <c r="AE33" i="17"/>
  <c r="AE34" i="17"/>
  <c r="AD213" i="2"/>
  <c r="AD272" i="2" s="1"/>
  <c r="X47" i="17"/>
  <c r="X48" i="17"/>
  <c r="E33" i="17"/>
  <c r="E34" i="17" s="1"/>
  <c r="AJ43" i="17"/>
  <c r="AJ44" i="17"/>
  <c r="AI215" i="2" s="1"/>
  <c r="AI274" i="2" s="1"/>
  <c r="X33" i="17"/>
  <c r="X34" i="17"/>
  <c r="W213" i="2"/>
  <c r="W272" i="2" s="1"/>
  <c r="AB47" i="17"/>
  <c r="AB48" i="17"/>
  <c r="AA213" i="2" s="1"/>
  <c r="AA272" i="2" s="1"/>
  <c r="AJ37" i="17"/>
  <c r="AJ38" i="17" s="1"/>
  <c r="F47" i="17"/>
  <c r="F48" i="17"/>
  <c r="AG33" i="17"/>
  <c r="AG34" i="17"/>
  <c r="AF213" i="2" s="1"/>
  <c r="AF272" i="2" s="1"/>
  <c r="R43" i="17"/>
  <c r="R44" i="17"/>
  <c r="Q215" i="2" s="1"/>
  <c r="Q274" i="2" s="1"/>
  <c r="AD37" i="17"/>
  <c r="L33" i="17"/>
  <c r="L34" i="17" s="1"/>
  <c r="E37" i="17"/>
  <c r="AK37" i="17"/>
  <c r="AK38" i="17"/>
  <c r="AG47" i="17"/>
  <c r="AG48" i="17"/>
  <c r="U33" i="17"/>
  <c r="U34" i="17"/>
  <c r="T213" i="2" s="1"/>
  <c r="T272" i="2" s="1"/>
  <c r="T37" i="17"/>
  <c r="T38" i="17" s="1"/>
  <c r="S214" i="2" s="1"/>
  <c r="S273" i="2" s="1"/>
  <c r="L37" i="17"/>
  <c r="L38" i="17"/>
  <c r="L21" i="17" s="1"/>
  <c r="P43" i="17"/>
  <c r="AE47" i="17"/>
  <c r="AE48" i="17"/>
  <c r="G47" i="17"/>
  <c r="G48" i="17" s="1"/>
  <c r="I43" i="17"/>
  <c r="I44" i="17"/>
  <c r="W33" i="17"/>
  <c r="AD33" i="17"/>
  <c r="W37" i="17"/>
  <c r="T33" i="17"/>
  <c r="F43" i="17"/>
  <c r="Y33" i="17"/>
  <c r="Y34" i="17"/>
  <c r="T47" i="17"/>
  <c r="T48" i="17" s="1"/>
  <c r="C47" i="17"/>
  <c r="C48" i="17"/>
  <c r="R33" i="17"/>
  <c r="R34" i="17" s="1"/>
  <c r="Q213" i="2" s="1"/>
  <c r="Q272" i="2"/>
  <c r="S43" i="17"/>
  <c r="S44" i="17"/>
  <c r="R215" i="2"/>
  <c r="R274" i="2"/>
  <c r="AL47" i="17"/>
  <c r="AA43" i="17"/>
  <c r="K33" i="17"/>
  <c r="K34" i="17"/>
  <c r="I33" i="17"/>
  <c r="I34" i="17"/>
  <c r="AG44" i="17"/>
  <c r="AF215" i="2" s="1"/>
  <c r="AF274" i="2" s="1"/>
  <c r="AK44" i="17"/>
  <c r="AJ215" i="2"/>
  <c r="AJ274" i="2" s="1"/>
  <c r="X44" i="17"/>
  <c r="AA44" i="17"/>
  <c r="Q28" i="17"/>
  <c r="S67" i="17"/>
  <c r="R162" i="2"/>
  <c r="AJ67" i="17"/>
  <c r="AI162" i="2"/>
  <c r="K264" i="2"/>
  <c r="AI214" i="2"/>
  <c r="AI273" i="2" s="1"/>
  <c r="Z213" i="2"/>
  <c r="Z272" i="2" s="1"/>
  <c r="Z215" i="2"/>
  <c r="Z274" i="2" s="1"/>
  <c r="N214" i="2"/>
  <c r="N273" i="2" s="1"/>
  <c r="AG21" i="17"/>
  <c r="AA21" i="17"/>
  <c r="U214" i="2"/>
  <c r="U273" i="2"/>
  <c r="X213" i="2"/>
  <c r="X272" i="2" s="1"/>
  <c r="AA214" i="2"/>
  <c r="AA273" i="2" s="1"/>
  <c r="R226" i="2"/>
  <c r="W251" i="2"/>
  <c r="Q263" i="2"/>
  <c r="AA224" i="2"/>
  <c r="AA155" i="2"/>
  <c r="Y270" i="2"/>
  <c r="H98" i="2"/>
  <c r="I98" i="2" s="1"/>
  <c r="AI32" i="17"/>
  <c r="AB213" i="2"/>
  <c r="AB272" i="2" s="1"/>
  <c r="AD32" i="17"/>
  <c r="AD34" i="17" s="1"/>
  <c r="AF66" i="17"/>
  <c r="AC65" i="17"/>
  <c r="AC64" i="17"/>
  <c r="AC67" i="17" s="1"/>
  <c r="Q34" i="17"/>
  <c r="K65" i="17"/>
  <c r="L155" i="2"/>
  <c r="AF255" i="2"/>
  <c r="AI255" i="2"/>
  <c r="W264" i="2"/>
  <c r="U155" i="2"/>
  <c r="R155" i="2"/>
  <c r="I235" i="2"/>
  <c r="I155" i="2"/>
  <c r="I264" i="2"/>
  <c r="I64" i="2" s="1"/>
  <c r="J64" i="2" s="1"/>
  <c r="K64" i="2" s="1"/>
  <c r="L64" i="2" s="1"/>
  <c r="M64" i="2" s="1"/>
  <c r="AE149" i="2"/>
  <c r="R67" i="17"/>
  <c r="Q162" i="2"/>
  <c r="AI34" i="17"/>
  <c r="AL32" i="17"/>
  <c r="N64" i="17"/>
  <c r="Q65" i="17"/>
  <c r="Q64" i="17" s="1"/>
  <c r="Q67" i="17" s="1"/>
  <c r="T66" i="17"/>
  <c r="T65" i="17"/>
  <c r="T64" i="17" s="1"/>
  <c r="AF48" i="17"/>
  <c r="AI46" i="17"/>
  <c r="AL46" i="17" s="1"/>
  <c r="AL48" i="17"/>
  <c r="Q214" i="2"/>
  <c r="Q273" i="2" s="1"/>
  <c r="R21" i="17"/>
  <c r="AF65" i="17"/>
  <c r="W66" i="17"/>
  <c r="W65" i="17" s="1"/>
  <c r="C17" i="14"/>
  <c r="C56" i="14"/>
  <c r="AI40" i="17"/>
  <c r="AI42" i="17" s="1"/>
  <c r="AI48" i="17"/>
  <c r="I71" i="2"/>
  <c r="Q264" i="2"/>
  <c r="AI155" i="2"/>
  <c r="I104" i="2"/>
  <c r="J104" i="2" s="1"/>
  <c r="K104" i="2" s="1"/>
  <c r="AE209" i="2"/>
  <c r="AE270" i="2" s="1"/>
  <c r="T232" i="2"/>
  <c r="X224" i="2"/>
  <c r="AA226" i="2"/>
  <c r="G100" i="2"/>
  <c r="J233" i="2"/>
  <c r="D87" i="12"/>
  <c r="P204" i="2" s="1"/>
  <c r="D45" i="12"/>
  <c r="P132" i="2" s="1"/>
  <c r="E122" i="12"/>
  <c r="AB208" i="2"/>
  <c r="AB269" i="2" s="1"/>
  <c r="E148" i="12"/>
  <c r="E123" i="12"/>
  <c r="E124" i="12" s="1"/>
  <c r="E121" i="12"/>
  <c r="C109" i="12"/>
  <c r="D67" i="12"/>
  <c r="D86" i="12"/>
  <c r="D84" i="12"/>
  <c r="C94" i="12"/>
  <c r="C105" i="12"/>
  <c r="C111" i="12" s="1"/>
  <c r="E105" i="12"/>
  <c r="C61" i="12"/>
  <c r="C12" i="12"/>
  <c r="C83" i="12" s="1"/>
  <c r="E109" i="12"/>
  <c r="D61" i="12"/>
  <c r="P116" i="2" s="1"/>
  <c r="C38" i="12"/>
  <c r="J145" i="2" s="1"/>
  <c r="J196" i="2" s="1"/>
  <c r="D73" i="12"/>
  <c r="C10" i="12"/>
  <c r="C87" i="12"/>
  <c r="J204" i="2" s="1"/>
  <c r="C50" i="12"/>
  <c r="J134" i="2"/>
  <c r="M134" i="2" s="1"/>
  <c r="M185" i="2" s="1"/>
  <c r="D44" i="12"/>
  <c r="P131" i="2" s="1"/>
  <c r="C65" i="12"/>
  <c r="J127" i="2" s="1"/>
  <c r="J178" i="2" s="1"/>
  <c r="J237" i="2" s="1"/>
  <c r="C108" i="12"/>
  <c r="D15" i="12"/>
  <c r="D16" i="12" s="1"/>
  <c r="E87" i="12"/>
  <c r="C58" i="12"/>
  <c r="C84" i="12"/>
  <c r="E108" i="12"/>
  <c r="D148" i="12"/>
  <c r="C59" i="12"/>
  <c r="J121" i="2" s="1"/>
  <c r="M121" i="2" s="1"/>
  <c r="M173" i="2" s="1"/>
  <c r="M231" i="2" s="1"/>
  <c r="D122" i="12"/>
  <c r="P208" i="2" s="1"/>
  <c r="D59" i="12"/>
  <c r="P121" i="2" s="1"/>
  <c r="S121" i="2" s="1"/>
  <c r="E73" i="12"/>
  <c r="D5" i="12"/>
  <c r="D66" i="12"/>
  <c r="P138" i="2" s="1"/>
  <c r="E46" i="12"/>
  <c r="D65" i="12"/>
  <c r="P127" i="2" s="1"/>
  <c r="C57" i="12"/>
  <c r="D121" i="12"/>
  <c r="E65" i="12"/>
  <c r="E62" i="12"/>
  <c r="AB124" i="2" s="1"/>
  <c r="E15" i="12"/>
  <c r="E16" i="12" s="1"/>
  <c r="D36" i="12"/>
  <c r="P139" i="2" s="1"/>
  <c r="E12" i="12"/>
  <c r="E83" i="12" s="1"/>
  <c r="D49" i="12"/>
  <c r="E94" i="12"/>
  <c r="C121" i="12"/>
  <c r="D62" i="12"/>
  <c r="P124" i="2" s="1"/>
  <c r="E57" i="12"/>
  <c r="E84" i="12"/>
  <c r="C9" i="12"/>
  <c r="D105" i="12"/>
  <c r="C8" i="12"/>
  <c r="D64" i="12"/>
  <c r="P125" i="2" s="1"/>
  <c r="S125" i="2" s="1"/>
  <c r="V125" i="2" s="1"/>
  <c r="Y125" i="2" s="1"/>
  <c r="Y176" i="2" s="1"/>
  <c r="D12" i="12"/>
  <c r="D83" i="12" s="1"/>
  <c r="E8" i="12"/>
  <c r="C73" i="12"/>
  <c r="E77" i="12"/>
  <c r="E107" i="12"/>
  <c r="C46" i="12"/>
  <c r="E66" i="12"/>
  <c r="AB138" i="2" s="1"/>
  <c r="AB189" i="2" s="1"/>
  <c r="AB248" i="2" s="1"/>
  <c r="E35" i="12"/>
  <c r="AB142" i="2" s="1"/>
  <c r="AB193" i="2" s="1"/>
  <c r="D60" i="12"/>
  <c r="C49" i="12"/>
  <c r="E5" i="12"/>
  <c r="D10" i="12"/>
  <c r="E38" i="12"/>
  <c r="AB145" i="2" s="1"/>
  <c r="E78" i="12"/>
  <c r="C67" i="12"/>
  <c r="C86" i="12"/>
  <c r="C7" i="12"/>
  <c r="C13" i="12" s="1"/>
  <c r="C123" i="12"/>
  <c r="E49" i="12"/>
  <c r="C45" i="12"/>
  <c r="J132" i="2" s="1"/>
  <c r="D50" i="12"/>
  <c r="P134" i="2" s="1"/>
  <c r="E7" i="12"/>
  <c r="C5" i="12"/>
  <c r="C128" i="12" s="1"/>
  <c r="E44" i="12"/>
  <c r="AB131" i="2" s="1"/>
  <c r="AE131" i="2" s="1"/>
  <c r="AH131" i="2" s="1"/>
  <c r="AH182" i="2" s="1"/>
  <c r="AH241" i="2" s="1"/>
  <c r="C64" i="12"/>
  <c r="J125" i="2" s="1"/>
  <c r="D110" i="12"/>
  <c r="D134" i="12" s="1"/>
  <c r="C110" i="12"/>
  <c r="C134" i="12" s="1"/>
  <c r="E67" i="12"/>
  <c r="AB153" i="2" s="1"/>
  <c r="E86" i="12"/>
  <c r="E110" i="12"/>
  <c r="E134" i="12" s="1"/>
  <c r="C148" i="12"/>
  <c r="D145" i="12"/>
  <c r="D123" i="12"/>
  <c r="C35" i="12"/>
  <c r="E59" i="12"/>
  <c r="AB121" i="2" s="1"/>
  <c r="AE121" i="2" s="1"/>
  <c r="AE173" i="2" s="1"/>
  <c r="D9" i="12"/>
  <c r="D108" i="12"/>
  <c r="D111" i="12" s="1"/>
  <c r="C44" i="12"/>
  <c r="D78" i="12"/>
  <c r="E36" i="12"/>
  <c r="AB139" i="2"/>
  <c r="E50" i="12"/>
  <c r="AB134" i="2" s="1"/>
  <c r="AE134" i="2" s="1"/>
  <c r="D94" i="12"/>
  <c r="E60" i="12"/>
  <c r="E85" i="12"/>
  <c r="E45" i="12"/>
  <c r="D109" i="12"/>
  <c r="C62" i="12"/>
  <c r="J124" i="2" s="1"/>
  <c r="J175" i="2" s="1"/>
  <c r="D58" i="12"/>
  <c r="D57" i="12"/>
  <c r="D35" i="12"/>
  <c r="P142" i="2" s="1"/>
  <c r="P193" i="2" s="1"/>
  <c r="D46" i="12"/>
  <c r="C36" i="12"/>
  <c r="E58" i="12"/>
  <c r="C77" i="12"/>
  <c r="C107" i="12"/>
  <c r="J161" i="2" s="1"/>
  <c r="J267" i="2" s="1"/>
  <c r="C122" i="12"/>
  <c r="E9" i="12"/>
  <c r="E64" i="12"/>
  <c r="AB125" i="2" s="1"/>
  <c r="E10" i="12"/>
  <c r="C66" i="12"/>
  <c r="J138" i="2" s="1"/>
  <c r="D7" i="12"/>
  <c r="D8" i="12"/>
  <c r="C15" i="12"/>
  <c r="C16" i="12" s="1"/>
  <c r="E61" i="12"/>
  <c r="AB116" i="2" s="1"/>
  <c r="D38" i="12"/>
  <c r="D77" i="12"/>
  <c r="D107" i="12"/>
  <c r="C60" i="12"/>
  <c r="C85" i="12"/>
  <c r="C145" i="12"/>
  <c r="C78" i="12"/>
  <c r="E145" i="12"/>
  <c r="E53" i="12"/>
  <c r="J116" i="2"/>
  <c r="AB204" i="2"/>
  <c r="J122" i="2"/>
  <c r="M122" i="2" s="1"/>
  <c r="E18" i="12"/>
  <c r="AB129" i="2" s="1"/>
  <c r="D18" i="12"/>
  <c r="AB127" i="2"/>
  <c r="P133" i="2"/>
  <c r="P184" i="2" s="1"/>
  <c r="P243" i="2" s="1"/>
  <c r="C18" i="12"/>
  <c r="E31" i="12"/>
  <c r="J133" i="2"/>
  <c r="AB133" i="2"/>
  <c r="C34" i="12"/>
  <c r="J144" i="2" s="1"/>
  <c r="M144" i="2" s="1"/>
  <c r="M195" i="2" s="1"/>
  <c r="M254" i="2" s="1"/>
  <c r="J142" i="2"/>
  <c r="M142" i="2" s="1"/>
  <c r="J131" i="2"/>
  <c r="AB132" i="2"/>
  <c r="D31" i="12"/>
  <c r="J139" i="2"/>
  <c r="AB122" i="2"/>
  <c r="AB174" i="2" s="1"/>
  <c r="AB232" i="2" s="1"/>
  <c r="D34" i="12"/>
  <c r="P144" i="2" s="1"/>
  <c r="P195" i="2" s="1"/>
  <c r="C31" i="12"/>
  <c r="P145" i="2"/>
  <c r="Z66" i="17"/>
  <c r="Z65" i="17" s="1"/>
  <c r="AL40" i="17"/>
  <c r="AL42" i="17" s="1"/>
  <c r="AL44" i="17" s="1"/>
  <c r="AK215" i="2" s="1"/>
  <c r="AK274" i="2"/>
  <c r="AI44" i="17"/>
  <c r="AH215" i="2" s="1"/>
  <c r="AH274" i="2" s="1"/>
  <c r="C51" i="12"/>
  <c r="J152" i="2"/>
  <c r="M152" i="2" s="1"/>
  <c r="M203" i="2" s="1"/>
  <c r="M263" i="2" s="1"/>
  <c r="C47" i="12"/>
  <c r="J117" i="2" s="1"/>
  <c r="M117" i="2" s="1"/>
  <c r="E39" i="12"/>
  <c r="AB143" i="2" s="1"/>
  <c r="D25" i="12"/>
  <c r="P114" i="2"/>
  <c r="P166" i="2" s="1"/>
  <c r="D30" i="12"/>
  <c r="P126" i="2" s="1"/>
  <c r="P177" i="2" s="1"/>
  <c r="E47" i="12"/>
  <c r="AB117" i="2"/>
  <c r="C42" i="12"/>
  <c r="J130" i="2" s="1"/>
  <c r="D40" i="12"/>
  <c r="P147" i="2"/>
  <c r="D27" i="12"/>
  <c r="P136" i="2" s="1"/>
  <c r="P187" i="2" s="1"/>
  <c r="D54" i="12"/>
  <c r="P115" i="2" s="1"/>
  <c r="S115" i="2" s="1"/>
  <c r="D43" i="12"/>
  <c r="P128" i="2" s="1"/>
  <c r="P179" i="2" s="1"/>
  <c r="E42" i="12"/>
  <c r="AB130" i="2"/>
  <c r="AE130" i="2" s="1"/>
  <c r="AE181" i="2" s="1"/>
  <c r="E28" i="12"/>
  <c r="AB137" i="2" s="1"/>
  <c r="E128" i="12"/>
  <c r="C48" i="12"/>
  <c r="J140" i="2" s="1"/>
  <c r="E48" i="12"/>
  <c r="AB140" i="2"/>
  <c r="E41" i="12"/>
  <c r="AB146" i="2" s="1"/>
  <c r="AB197" i="2" s="1"/>
  <c r="C20" i="12"/>
  <c r="J151" i="2" s="1"/>
  <c r="M151" i="2" s="1"/>
  <c r="E40" i="12"/>
  <c r="AB147" i="2" s="1"/>
  <c r="AB198" i="2" s="1"/>
  <c r="AB257" i="2" s="1"/>
  <c r="E29" i="12"/>
  <c r="AB135" i="2" s="1"/>
  <c r="D42" i="12"/>
  <c r="P130" i="2"/>
  <c r="D29" i="12"/>
  <c r="P135" i="2" s="1"/>
  <c r="D53" i="12"/>
  <c r="P118" i="2" s="1"/>
  <c r="E54" i="12"/>
  <c r="AB115" i="2" s="1"/>
  <c r="D48" i="12"/>
  <c r="P140" i="2" s="1"/>
  <c r="E25" i="12"/>
  <c r="AB114" i="2" s="1"/>
  <c r="D128" i="12"/>
  <c r="E43" i="12"/>
  <c r="AB128" i="2" s="1"/>
  <c r="AE128" i="2" s="1"/>
  <c r="D37" i="12"/>
  <c r="P141" i="2"/>
  <c r="E51" i="12"/>
  <c r="AB152" i="2"/>
  <c r="D47" i="12"/>
  <c r="P117" i="2" s="1"/>
  <c r="S117" i="2" s="1"/>
  <c r="V117" i="2" s="1"/>
  <c r="D32" i="12"/>
  <c r="E52" i="12"/>
  <c r="AB148" i="2" s="1"/>
  <c r="D39" i="12"/>
  <c r="P143" i="2" s="1"/>
  <c r="D52" i="12"/>
  <c r="P148" i="2"/>
  <c r="E20" i="12"/>
  <c r="AB151" i="2"/>
  <c r="AE151" i="2" s="1"/>
  <c r="AH151" i="2" s="1"/>
  <c r="D20" i="12"/>
  <c r="P151" i="2" s="1"/>
  <c r="C53" i="12"/>
  <c r="J118" i="2" s="1"/>
  <c r="C54" i="12"/>
  <c r="J115" i="2" s="1"/>
  <c r="E30" i="12"/>
  <c r="AB126" i="2" s="1"/>
  <c r="AB177" i="2" s="1"/>
  <c r="E37" i="12"/>
  <c r="AB141" i="2" s="1"/>
  <c r="AE141" i="2" s="1"/>
  <c r="AH141" i="2" s="1"/>
  <c r="AK141" i="2" s="1"/>
  <c r="AK192" i="2" s="1"/>
  <c r="C25" i="12"/>
  <c r="J114" i="2" s="1"/>
  <c r="C28" i="12"/>
  <c r="J137" i="2"/>
  <c r="D28" i="12"/>
  <c r="P137" i="2" s="1"/>
  <c r="E21" i="12"/>
  <c r="C43" i="12"/>
  <c r="J128" i="2"/>
  <c r="E27" i="12"/>
  <c r="AB136" i="2" s="1"/>
  <c r="D33" i="12"/>
  <c r="P119" i="2" s="1"/>
  <c r="P171" i="2" s="1"/>
  <c r="C37" i="12"/>
  <c r="J141" i="2" s="1"/>
  <c r="P120" i="2"/>
  <c r="D21" i="12"/>
  <c r="C39" i="12"/>
  <c r="J143" i="2"/>
  <c r="M143" i="2" s="1"/>
  <c r="M194" i="2" s="1"/>
  <c r="E33" i="12"/>
  <c r="AB119" i="2" s="1"/>
  <c r="AB171" i="2" s="1"/>
  <c r="C32" i="12"/>
  <c r="C27" i="12"/>
  <c r="J136" i="2"/>
  <c r="M136" i="2" s="1"/>
  <c r="C21" i="12"/>
  <c r="J120" i="2" s="1"/>
  <c r="D51" i="12"/>
  <c r="P152" i="2" s="1"/>
  <c r="C41" i="12"/>
  <c r="J146" i="2" s="1"/>
  <c r="J197" i="2" s="1"/>
  <c r="C40" i="12"/>
  <c r="J147" i="2" s="1"/>
  <c r="C52" i="12"/>
  <c r="J148" i="2" s="1"/>
  <c r="M148" i="2" s="1"/>
  <c r="M199" i="2" s="1"/>
  <c r="E32" i="12"/>
  <c r="C30" i="12"/>
  <c r="J126" i="2" s="1"/>
  <c r="C33" i="12"/>
  <c r="J119" i="2" s="1"/>
  <c r="J171" i="2" s="1"/>
  <c r="C29" i="12"/>
  <c r="J135" i="2"/>
  <c r="D41" i="12"/>
  <c r="P146" i="2" s="1"/>
  <c r="P197" i="2" s="1"/>
  <c r="P256" i="2" s="1"/>
  <c r="E34" i="12"/>
  <c r="AB144" i="2" s="1"/>
  <c r="P161" i="2"/>
  <c r="S161" i="2" s="1"/>
  <c r="V161" i="2" s="1"/>
  <c r="V267" i="2" s="1"/>
  <c r="S133" i="2"/>
  <c r="J173" i="2"/>
  <c r="J174" i="2"/>
  <c r="J232" i="2" s="1"/>
  <c r="AB118" i="2"/>
  <c r="AE208" i="2"/>
  <c r="AB150" i="2"/>
  <c r="AB201" i="2" s="1"/>
  <c r="J185" i="2"/>
  <c r="J244" i="2" s="1"/>
  <c r="P150" i="2"/>
  <c r="S150" i="2" s="1"/>
  <c r="S201" i="2" s="1"/>
  <c r="P176" i="2"/>
  <c r="P235" i="2" s="1"/>
  <c r="AB185" i="2"/>
  <c r="AB244" i="2" s="1"/>
  <c r="AB192" i="2"/>
  <c r="P129" i="2"/>
  <c r="P180" i="2" s="1"/>
  <c r="P239" i="2" s="1"/>
  <c r="P173" i="2"/>
  <c r="P231" i="2" s="1"/>
  <c r="P202" i="2"/>
  <c r="AB256" i="2"/>
  <c r="AB120" i="2"/>
  <c r="S144" i="2"/>
  <c r="S140" i="2"/>
  <c r="S129" i="2"/>
  <c r="S180" i="2" s="1"/>
  <c r="AK131" i="2"/>
  <c r="AK182" i="2" s="1"/>
  <c r="AH192" i="2"/>
  <c r="AH251" i="2" s="1"/>
  <c r="Z32" i="17"/>
  <c r="P162" i="2"/>
  <c r="T34" i="17"/>
  <c r="T67" i="17"/>
  <c r="S162" i="2"/>
  <c r="AM79" i="2"/>
  <c r="R33" i="2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J213" i="2"/>
  <c r="J272" i="2" s="1"/>
  <c r="K25" i="2"/>
  <c r="L25" i="2" s="1"/>
  <c r="M25" i="2" s="1"/>
  <c r="N25" i="2" s="1"/>
  <c r="O25" i="2" s="1"/>
  <c r="P25" i="2" s="1"/>
  <c r="Q25" i="2" s="1"/>
  <c r="AM87" i="2"/>
  <c r="R30" i="2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M40" i="2"/>
  <c r="AM92" i="2"/>
  <c r="R92" i="2"/>
  <c r="S92" i="2" s="1"/>
  <c r="T92" i="2" s="1"/>
  <c r="U92" i="2" s="1"/>
  <c r="V92" i="2" s="1"/>
  <c r="W92" i="2" s="1"/>
  <c r="X92" i="2" s="1"/>
  <c r="Y92" i="2" s="1"/>
  <c r="Z92" i="2" s="1"/>
  <c r="AA92" i="2" s="1"/>
  <c r="AB92" i="2" s="1"/>
  <c r="AC92" i="2" s="1"/>
  <c r="AM38" i="2"/>
  <c r="R38" i="2"/>
  <c r="S38" i="2" s="1"/>
  <c r="T38" i="2" s="1"/>
  <c r="U38" i="2" s="1"/>
  <c r="V38" i="2"/>
  <c r="W38" i="2" s="1"/>
  <c r="X38" i="2" s="1"/>
  <c r="Y38" i="2" s="1"/>
  <c r="Z38" i="2" s="1"/>
  <c r="AA38" i="2" s="1"/>
  <c r="AB38" i="2" s="1"/>
  <c r="AC38" i="2" s="1"/>
  <c r="AM48" i="2"/>
  <c r="AM77" i="2"/>
  <c r="R77" i="2"/>
  <c r="S77" i="2" s="1"/>
  <c r="T77" i="2" s="1"/>
  <c r="U77" i="2" s="1"/>
  <c r="V77" i="2" s="1"/>
  <c r="W77" i="2" s="1"/>
  <c r="X77" i="2" s="1"/>
  <c r="Y77" i="2" s="1"/>
  <c r="Z77" i="2" s="1"/>
  <c r="AA77" i="2" s="1"/>
  <c r="AB77" i="2" s="1"/>
  <c r="AC77" i="2" s="1"/>
  <c r="AZ79" i="2"/>
  <c r="AD79" i="2"/>
  <c r="AE79" i="2" s="1"/>
  <c r="AF79" i="2" s="1"/>
  <c r="AG79" i="2" s="1"/>
  <c r="AH79" i="2" s="1"/>
  <c r="AI79" i="2" s="1"/>
  <c r="AJ79" i="2" s="1"/>
  <c r="AK79" i="2" s="1"/>
  <c r="R68" i="2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M68" i="2"/>
  <c r="R78" i="2"/>
  <c r="S78" i="2" s="1"/>
  <c r="T78" i="2" s="1"/>
  <c r="U78" i="2" s="1"/>
  <c r="V78" i="2" s="1"/>
  <c r="W78" i="2" s="1"/>
  <c r="X78" i="2" s="1"/>
  <c r="Y78" i="2" s="1"/>
  <c r="Z78" i="2" s="1"/>
  <c r="AA78" i="2" s="1"/>
  <c r="AB78" i="2" s="1"/>
  <c r="AC78" i="2" s="1"/>
  <c r="AM78" i="2"/>
  <c r="AC213" i="2"/>
  <c r="AF32" i="17"/>
  <c r="AD64" i="17"/>
  <c r="AC162" i="2" s="1"/>
  <c r="AC268" i="2" s="1"/>
  <c r="AL34" i="17"/>
  <c r="AK213" i="2" s="1"/>
  <c r="AK272" i="2" s="1"/>
  <c r="AH213" i="2"/>
  <c r="AH272" i="2" s="1"/>
  <c r="S213" i="2"/>
  <c r="S272" i="2" s="1"/>
  <c r="Z64" i="17"/>
  <c r="Z67" i="17" s="1"/>
  <c r="Z34" i="17"/>
  <c r="AF34" i="17"/>
  <c r="AE213" i="2" s="1"/>
  <c r="AE272" i="2" s="1"/>
  <c r="AF64" i="17"/>
  <c r="AF67" i="17" s="1"/>
  <c r="AC272" i="2"/>
  <c r="AD67" i="17"/>
  <c r="Y213" i="2"/>
  <c r="Y272" i="2" s="1"/>
  <c r="Y162" i="2"/>
  <c r="AE147" i="2" l="1"/>
  <c r="I89" i="2"/>
  <c r="I47" i="2"/>
  <c r="J47" i="2" s="1"/>
  <c r="K47" i="2" s="1"/>
  <c r="L47" i="2" s="1"/>
  <c r="M47" i="2" s="1"/>
  <c r="N47" i="2" s="1"/>
  <c r="O47" i="2" s="1"/>
  <c r="P47" i="2" s="1"/>
  <c r="Q47" i="2" s="1"/>
  <c r="J84" i="2"/>
  <c r="K84" i="2" s="1"/>
  <c r="L84" i="2" s="1"/>
  <c r="M84" i="2" s="1"/>
  <c r="N84" i="2" s="1"/>
  <c r="O84" i="2" s="1"/>
  <c r="AM91" i="2"/>
  <c r="R90" i="2"/>
  <c r="S90" i="2" s="1"/>
  <c r="T90" i="2" s="1"/>
  <c r="U90" i="2" s="1"/>
  <c r="V90" i="2" s="1"/>
  <c r="W90" i="2" s="1"/>
  <c r="X90" i="2" s="1"/>
  <c r="Y90" i="2" s="1"/>
  <c r="Z90" i="2" s="1"/>
  <c r="AA90" i="2" s="1"/>
  <c r="AB90" i="2" s="1"/>
  <c r="AC90" i="2" s="1"/>
  <c r="AZ90" i="2" s="1"/>
  <c r="Y161" i="2"/>
  <c r="Y267" i="2" s="1"/>
  <c r="AE192" i="2"/>
  <c r="AE251" i="2" s="1"/>
  <c r="M258" i="2"/>
  <c r="J202" i="2"/>
  <c r="J262" i="2" s="1"/>
  <c r="J88" i="2" s="1"/>
  <c r="K88" i="2" s="1"/>
  <c r="L88" i="2" s="1"/>
  <c r="J199" i="2"/>
  <c r="I269" i="2"/>
  <c r="I268" i="2" s="1"/>
  <c r="H100" i="2"/>
  <c r="H15" i="2" s="1"/>
  <c r="Z264" i="2"/>
  <c r="AI268" i="2"/>
  <c r="N264" i="2"/>
  <c r="AK11" i="2"/>
  <c r="AC11" i="2"/>
  <c r="Y11" i="2"/>
  <c r="T11" i="2"/>
  <c r="M11" i="2"/>
  <c r="I11" i="2"/>
  <c r="I106" i="2"/>
  <c r="AF268" i="2"/>
  <c r="V270" i="2"/>
  <c r="AU79" i="2"/>
  <c r="P267" i="2"/>
  <c r="AB202" i="2"/>
  <c r="AB262" i="2" s="1"/>
  <c r="AA205" i="2"/>
  <c r="AA207" i="2" s="1"/>
  <c r="AA210" i="2" s="1"/>
  <c r="AA156" i="2" s="1"/>
  <c r="I216" i="2"/>
  <c r="T155" i="2"/>
  <c r="R268" i="2"/>
  <c r="X155" i="2"/>
  <c r="I43" i="2"/>
  <c r="S11" i="2"/>
  <c r="L11" i="2"/>
  <c r="I105" i="2"/>
  <c r="AV91" i="2"/>
  <c r="V176" i="2"/>
  <c r="S239" i="2"/>
  <c r="AE182" i="2"/>
  <c r="AE241" i="2" s="1"/>
  <c r="S176" i="2"/>
  <c r="S235" i="2" s="1"/>
  <c r="P236" i="2"/>
  <c r="S123" i="2"/>
  <c r="V123" i="2" s="1"/>
  <c r="AM34" i="2"/>
  <c r="AU34" i="2" s="1"/>
  <c r="AB229" i="2"/>
  <c r="M127" i="2"/>
  <c r="M178" i="2" s="1"/>
  <c r="I58" i="2"/>
  <c r="I32" i="2"/>
  <c r="I36" i="2"/>
  <c r="AH11" i="2"/>
  <c r="H107" i="2"/>
  <c r="H16" i="2" s="1"/>
  <c r="P260" i="2"/>
  <c r="H216" i="2"/>
  <c r="J41" i="2"/>
  <c r="W268" i="2"/>
  <c r="Z268" i="2"/>
  <c r="H11" i="2"/>
  <c r="C11" i="2"/>
  <c r="N268" i="2"/>
  <c r="I103" i="2"/>
  <c r="I107" i="2" s="1"/>
  <c r="I16" i="2" s="1"/>
  <c r="AJ268" i="2"/>
  <c r="V169" i="2"/>
  <c r="Y117" i="2"/>
  <c r="Y169" i="2" s="1"/>
  <c r="Y227" i="2" s="1"/>
  <c r="R85" i="2"/>
  <c r="S85" i="2" s="1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AE85" i="2" s="1"/>
  <c r="AF85" i="2" s="1"/>
  <c r="AG85" i="2" s="1"/>
  <c r="AH85" i="2" s="1"/>
  <c r="AI85" i="2" s="1"/>
  <c r="AJ85" i="2" s="1"/>
  <c r="AK85" i="2" s="1"/>
  <c r="AM85" i="2"/>
  <c r="J229" i="2"/>
  <c r="J28" i="2" s="1"/>
  <c r="K28" i="2" s="1"/>
  <c r="L28" i="2" s="1"/>
  <c r="K205" i="2"/>
  <c r="K207" i="2" s="1"/>
  <c r="K210" i="2" s="1"/>
  <c r="K156" i="2" s="1"/>
  <c r="K157" i="2" s="1"/>
  <c r="K159" i="2" s="1"/>
  <c r="K164" i="2" s="1"/>
  <c r="K218" i="2" s="1"/>
  <c r="AC155" i="2"/>
  <c r="AD204" i="2"/>
  <c r="AD205" i="2" s="1"/>
  <c r="AD207" i="2" s="1"/>
  <c r="AD210" i="2" s="1"/>
  <c r="AD156" i="2" s="1"/>
  <c r="AD157" i="2" s="1"/>
  <c r="AD159" i="2" s="1"/>
  <c r="AD164" i="2" s="1"/>
  <c r="I81" i="2"/>
  <c r="I26" i="2"/>
  <c r="AD11" i="2"/>
  <c r="V11" i="2"/>
  <c r="M146" i="2"/>
  <c r="M197" i="2" s="1"/>
  <c r="M256" i="2" s="1"/>
  <c r="N64" i="2"/>
  <c r="I74" i="2"/>
  <c r="AO79" i="2"/>
  <c r="S146" i="2"/>
  <c r="V146" i="2" s="1"/>
  <c r="V197" i="2" s="1"/>
  <c r="AB173" i="2"/>
  <c r="AB231" i="2" s="1"/>
  <c r="AE122" i="2"/>
  <c r="AH122" i="2" s="1"/>
  <c r="AE138" i="2"/>
  <c r="AE189" i="2" s="1"/>
  <c r="AC265" i="2"/>
  <c r="H155" i="2"/>
  <c r="I83" i="2"/>
  <c r="I76" i="2"/>
  <c r="J76" i="2" s="1"/>
  <c r="K76" i="2" s="1"/>
  <c r="L76" i="2" s="1"/>
  <c r="AD268" i="2"/>
  <c r="R47" i="2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M47" i="2"/>
  <c r="L227" i="2"/>
  <c r="L275" i="2" s="1"/>
  <c r="L205" i="2"/>
  <c r="L207" i="2" s="1"/>
  <c r="L210" i="2" s="1"/>
  <c r="L156" i="2" s="1"/>
  <c r="L157" i="2" s="1"/>
  <c r="L159" i="2" s="1"/>
  <c r="L164" i="2" s="1"/>
  <c r="L218" i="2" s="1"/>
  <c r="AY79" i="2"/>
  <c r="AE145" i="2"/>
  <c r="AB196" i="2"/>
  <c r="AB255" i="2" s="1"/>
  <c r="J255" i="2"/>
  <c r="M145" i="2"/>
  <c r="M196" i="2" s="1"/>
  <c r="M255" i="2" s="1"/>
  <c r="AH149" i="2"/>
  <c r="AE200" i="2"/>
  <c r="AE260" i="2" s="1"/>
  <c r="I49" i="2"/>
  <c r="R67" i="2"/>
  <c r="S67" i="2" s="1"/>
  <c r="T67" i="2" s="1"/>
  <c r="U67" i="2" s="1"/>
  <c r="V67" i="2" s="1"/>
  <c r="W67" i="2" s="1"/>
  <c r="X67" i="2" s="1"/>
  <c r="Y67" i="2" s="1"/>
  <c r="Z67" i="2" s="1"/>
  <c r="AA67" i="2" s="1"/>
  <c r="AB67" i="2" s="1"/>
  <c r="AC67" i="2" s="1"/>
  <c r="AD67" i="2" s="1"/>
  <c r="AE67" i="2" s="1"/>
  <c r="AF67" i="2" s="1"/>
  <c r="AG67" i="2" s="1"/>
  <c r="AH67" i="2" s="1"/>
  <c r="AI67" i="2" s="1"/>
  <c r="AJ67" i="2" s="1"/>
  <c r="AK67" i="2" s="1"/>
  <c r="S261" i="2"/>
  <c r="AE144" i="2"/>
  <c r="AB195" i="2"/>
  <c r="AB186" i="2"/>
  <c r="AB245" i="2" s="1"/>
  <c r="AE135" i="2"/>
  <c r="P265" i="2"/>
  <c r="S204" i="2"/>
  <c r="V204" i="2" s="1"/>
  <c r="R205" i="2"/>
  <c r="R207" i="2" s="1"/>
  <c r="R210" i="2" s="1"/>
  <c r="R156" i="2" s="1"/>
  <c r="R157" i="2" s="1"/>
  <c r="R159" i="2" s="1"/>
  <c r="R164" i="2" s="1"/>
  <c r="AH209" i="2"/>
  <c r="K41" i="2"/>
  <c r="L41" i="2" s="1"/>
  <c r="J31" i="2"/>
  <c r="K31" i="2" s="1"/>
  <c r="L31" i="2" s="1"/>
  <c r="M31" i="2" s="1"/>
  <c r="N31" i="2" s="1"/>
  <c r="O31" i="2" s="1"/>
  <c r="P31" i="2" s="1"/>
  <c r="Q31" i="2" s="1"/>
  <c r="R35" i="2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M35" i="2"/>
  <c r="X227" i="2"/>
  <c r="X205" i="2"/>
  <c r="X207" i="2" s="1"/>
  <c r="X210" i="2" s="1"/>
  <c r="X156" i="2" s="1"/>
  <c r="X157" i="2" s="1"/>
  <c r="X159" i="2" s="1"/>
  <c r="X164" i="2" s="1"/>
  <c r="T250" i="2"/>
  <c r="T205" i="2"/>
  <c r="T207" i="2" s="1"/>
  <c r="T210" i="2" s="1"/>
  <c r="T156" i="2" s="1"/>
  <c r="T157" i="2" s="1"/>
  <c r="T159" i="2" s="1"/>
  <c r="T164" i="2" s="1"/>
  <c r="Q252" i="2"/>
  <c r="Q205" i="2"/>
  <c r="Q207" i="2" s="1"/>
  <c r="Q210" i="2" s="1"/>
  <c r="Q156" i="2" s="1"/>
  <c r="Q157" i="2" s="1"/>
  <c r="Q159" i="2" s="1"/>
  <c r="Q164" i="2" s="1"/>
  <c r="AM54" i="2"/>
  <c r="R54" i="2"/>
  <c r="S54" i="2" s="1"/>
  <c r="T54" i="2" s="1"/>
  <c r="U54" i="2" s="1"/>
  <c r="V54" i="2" s="1"/>
  <c r="W54" i="2" s="1"/>
  <c r="X54" i="2" s="1"/>
  <c r="Y54" i="2" s="1"/>
  <c r="Z54" i="2" s="1"/>
  <c r="AA54" i="2" s="1"/>
  <c r="AB54" i="2" s="1"/>
  <c r="AC54" i="2" s="1"/>
  <c r="AZ54" i="2" s="1"/>
  <c r="AK122" i="2"/>
  <c r="AK174" i="2" s="1"/>
  <c r="AK232" i="2" s="1"/>
  <c r="AH174" i="2"/>
  <c r="AH232" i="2" s="1"/>
  <c r="AB178" i="2"/>
  <c r="AB237" i="2"/>
  <c r="S233" i="2"/>
  <c r="O155" i="2"/>
  <c r="O264" i="2"/>
  <c r="AM55" i="2"/>
  <c r="AK241" i="2"/>
  <c r="M244" i="2"/>
  <c r="AE150" i="2"/>
  <c r="AB203" i="2"/>
  <c r="AB263" i="2" s="1"/>
  <c r="AE152" i="2"/>
  <c r="AE203" i="2" s="1"/>
  <c r="AE263" i="2" s="1"/>
  <c r="AE179" i="2"/>
  <c r="AE238" i="2"/>
  <c r="G109" i="2"/>
  <c r="G15" i="2"/>
  <c r="G17" i="2" s="1"/>
  <c r="G18" i="2" s="1"/>
  <c r="N205" i="2"/>
  <c r="N207" i="2" s="1"/>
  <c r="N210" i="2" s="1"/>
  <c r="N156" i="2" s="1"/>
  <c r="N157" i="2" s="1"/>
  <c r="N159" i="2" s="1"/>
  <c r="N164" i="2" s="1"/>
  <c r="AI204" i="2"/>
  <c r="AI265" i="2" s="1"/>
  <c r="AF265" i="2"/>
  <c r="I73" i="2"/>
  <c r="H52" i="2"/>
  <c r="I52" i="2" s="1"/>
  <c r="R50" i="2"/>
  <c r="S50" i="2" s="1"/>
  <c r="T50" i="2" s="1"/>
  <c r="U50" i="2" s="1"/>
  <c r="V50" i="2" s="1"/>
  <c r="W50" i="2" s="1"/>
  <c r="X50" i="2" s="1"/>
  <c r="Y50" i="2" s="1"/>
  <c r="Z50" i="2" s="1"/>
  <c r="AA50" i="2" s="1"/>
  <c r="AB50" i="2" s="1"/>
  <c r="AC50" i="2" s="1"/>
  <c r="AZ50" i="2" s="1"/>
  <c r="AM50" i="2"/>
  <c r="AJ11" i="2"/>
  <c r="AI11" i="2"/>
  <c r="AF205" i="2"/>
  <c r="AF207" i="2" s="1"/>
  <c r="AF210" i="2" s="1"/>
  <c r="AF156" i="2" s="1"/>
  <c r="AF157" i="2" s="1"/>
  <c r="AF159" i="2" s="1"/>
  <c r="I72" i="2"/>
  <c r="J72" i="2" s="1"/>
  <c r="K72" i="2" s="1"/>
  <c r="L72" i="2" s="1"/>
  <c r="M119" i="2"/>
  <c r="M171" i="2" s="1"/>
  <c r="M229" i="2" s="1"/>
  <c r="M28" i="2" s="1"/>
  <c r="N28" i="2" s="1"/>
  <c r="O28" i="2" s="1"/>
  <c r="S149" i="2"/>
  <c r="V149" i="2" s="1"/>
  <c r="V200" i="2" s="1"/>
  <c r="V260" i="2" s="1"/>
  <c r="AH123" i="2"/>
  <c r="AC205" i="2"/>
  <c r="AC207" i="2" s="1"/>
  <c r="AC210" i="2" s="1"/>
  <c r="AC156" i="2" s="1"/>
  <c r="AC157" i="2" s="1"/>
  <c r="AC159" i="2" s="1"/>
  <c r="Z11" i="2"/>
  <c r="H37" i="2"/>
  <c r="I37" i="2" s="1"/>
  <c r="AF11" i="2"/>
  <c r="AB11" i="2"/>
  <c r="Q11" i="2"/>
  <c r="J11" i="2"/>
  <c r="O11" i="2"/>
  <c r="Z205" i="2"/>
  <c r="Z207" i="2" s="1"/>
  <c r="Z210" i="2" s="1"/>
  <c r="Z156" i="2" s="1"/>
  <c r="Z157" i="2" s="1"/>
  <c r="Z159" i="2" s="1"/>
  <c r="Z164" i="2" s="1"/>
  <c r="R94" i="2"/>
  <c r="S94" i="2" s="1"/>
  <c r="T94" i="2" s="1"/>
  <c r="U94" i="2" s="1"/>
  <c r="V94" i="2" s="1"/>
  <c r="W94" i="2" s="1"/>
  <c r="X94" i="2" s="1"/>
  <c r="Y94" i="2" s="1"/>
  <c r="Z94" i="2" s="1"/>
  <c r="AA94" i="2" s="1"/>
  <c r="AB94" i="2" s="1"/>
  <c r="AC94" i="2" s="1"/>
  <c r="AZ94" i="2" s="1"/>
  <c r="AM94" i="2"/>
  <c r="R93" i="2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AF93" i="2" s="1"/>
  <c r="AG93" i="2" s="1"/>
  <c r="AH93" i="2" s="1"/>
  <c r="AI93" i="2" s="1"/>
  <c r="AJ93" i="2" s="1"/>
  <c r="AK93" i="2" s="1"/>
  <c r="AD87" i="2"/>
  <c r="AE87" i="2" s="1"/>
  <c r="AF87" i="2" s="1"/>
  <c r="AG87" i="2" s="1"/>
  <c r="AH87" i="2" s="1"/>
  <c r="AI87" i="2" s="1"/>
  <c r="AJ87" i="2" s="1"/>
  <c r="AK87" i="2" s="1"/>
  <c r="AZ87" i="2"/>
  <c r="AN87" i="2" s="1"/>
  <c r="M200" i="2"/>
  <c r="M260" i="2" s="1"/>
  <c r="AD77" i="2"/>
  <c r="AE77" i="2" s="1"/>
  <c r="AF77" i="2" s="1"/>
  <c r="AG77" i="2" s="1"/>
  <c r="AH77" i="2" s="1"/>
  <c r="AI77" i="2" s="1"/>
  <c r="AJ77" i="2" s="1"/>
  <c r="AK77" i="2" s="1"/>
  <c r="AZ77" i="2"/>
  <c r="AS77" i="2" s="1"/>
  <c r="S184" i="2"/>
  <c r="S243" i="2" s="1"/>
  <c r="V133" i="2"/>
  <c r="P196" i="2"/>
  <c r="P255" i="2" s="1"/>
  <c r="J190" i="2"/>
  <c r="J249" i="2" s="1"/>
  <c r="J61" i="2" s="1"/>
  <c r="K61" i="2" s="1"/>
  <c r="L61" i="2" s="1"/>
  <c r="M116" i="2"/>
  <c r="M168" i="2" s="1"/>
  <c r="J168" i="2"/>
  <c r="J226" i="2" s="1"/>
  <c r="S131" i="2"/>
  <c r="P182" i="2"/>
  <c r="P241" i="2" s="1"/>
  <c r="R42" i="2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M42" i="2"/>
  <c r="R25" i="2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Z25" i="2" s="1"/>
  <c r="AM25" i="2"/>
  <c r="M139" i="2"/>
  <c r="M190" i="2" s="1"/>
  <c r="AB187" i="2"/>
  <c r="AE136" i="2"/>
  <c r="P188" i="2"/>
  <c r="P247" i="2" s="1"/>
  <c r="S137" i="2"/>
  <c r="S188" i="2" s="1"/>
  <c r="S247" i="2" s="1"/>
  <c r="AB168" i="2"/>
  <c r="AE116" i="2"/>
  <c r="J189" i="2"/>
  <c r="J248" i="2" s="1"/>
  <c r="M138" i="2"/>
  <c r="M189" i="2" s="1"/>
  <c r="M248" i="2" s="1"/>
  <c r="J176" i="2"/>
  <c r="M125" i="2"/>
  <c r="P185" i="2"/>
  <c r="P244" i="2" s="1"/>
  <c r="S134" i="2"/>
  <c r="AE196" i="2"/>
  <c r="AE255" i="2" s="1"/>
  <c r="AH145" i="2"/>
  <c r="D85" i="12"/>
  <c r="P153" i="2"/>
  <c r="C124" i="12"/>
  <c r="S139" i="2"/>
  <c r="P190" i="2"/>
  <c r="P249" i="2" s="1"/>
  <c r="S138" i="2"/>
  <c r="P189" i="2"/>
  <c r="P248" i="2" s="1"/>
  <c r="P269" i="2"/>
  <c r="P268" i="2" s="1"/>
  <c r="S208" i="2"/>
  <c r="AN79" i="2"/>
  <c r="AQ79" i="2"/>
  <c r="V144" i="2"/>
  <c r="S195" i="2"/>
  <c r="S254" i="2" s="1"/>
  <c r="AH147" i="2"/>
  <c r="AE198" i="2"/>
  <c r="AE257" i="2" s="1"/>
  <c r="AB170" i="2"/>
  <c r="AB228" i="2" s="1"/>
  <c r="AE118" i="2"/>
  <c r="AE170" i="2" s="1"/>
  <c r="AE228" i="2" s="1"/>
  <c r="AB180" i="2"/>
  <c r="AB239" i="2" s="1"/>
  <c r="AE129" i="2"/>
  <c r="J200" i="2"/>
  <c r="J260" i="2" s="1"/>
  <c r="J82" i="2" s="1"/>
  <c r="K82" i="2" s="1"/>
  <c r="L82" i="2" s="1"/>
  <c r="AP91" i="2"/>
  <c r="AV79" i="2"/>
  <c r="AS79" i="2"/>
  <c r="AX79" i="2"/>
  <c r="R86" i="2"/>
  <c r="S86" i="2" s="1"/>
  <c r="T86" i="2" s="1"/>
  <c r="U86" i="2" s="1"/>
  <c r="V86" i="2" s="1"/>
  <c r="W86" i="2" s="1"/>
  <c r="X86" i="2" s="1"/>
  <c r="Y86" i="2" s="1"/>
  <c r="Z86" i="2" s="1"/>
  <c r="AA86" i="2" s="1"/>
  <c r="AB86" i="2" s="1"/>
  <c r="AC86" i="2" s="1"/>
  <c r="AZ86" i="2" s="1"/>
  <c r="AS86" i="2" s="1"/>
  <c r="AE174" i="2"/>
  <c r="AE232" i="2" s="1"/>
  <c r="M253" i="2"/>
  <c r="J192" i="2"/>
  <c r="J251" i="2" s="1"/>
  <c r="J63" i="2" s="1"/>
  <c r="K63" i="2" s="1"/>
  <c r="L63" i="2" s="1"/>
  <c r="AK151" i="2"/>
  <c r="AK202" i="2" s="1"/>
  <c r="AH202" i="2"/>
  <c r="AH262" i="2" s="1"/>
  <c r="V115" i="2"/>
  <c r="S167" i="2"/>
  <c r="S225" i="2" s="1"/>
  <c r="J181" i="2"/>
  <c r="M130" i="2"/>
  <c r="M181" i="2" s="1"/>
  <c r="M240" i="2" s="1"/>
  <c r="J182" i="2"/>
  <c r="M131" i="2"/>
  <c r="M182" i="2" s="1"/>
  <c r="AE153" i="2"/>
  <c r="AB259" i="2"/>
  <c r="V235" i="2"/>
  <c r="C68" i="12"/>
  <c r="AE120" i="2"/>
  <c r="AB172" i="2"/>
  <c r="AB230" i="2" s="1"/>
  <c r="AH134" i="2"/>
  <c r="AE185" i="2"/>
  <c r="AE244" i="2" s="1"/>
  <c r="S118" i="2"/>
  <c r="P170" i="2"/>
  <c r="P228" i="2" s="1"/>
  <c r="AE240" i="2"/>
  <c r="M133" i="2"/>
  <c r="J184" i="2"/>
  <c r="J243" i="2" s="1"/>
  <c r="S200" i="2"/>
  <c r="S267" i="2"/>
  <c r="AH130" i="2"/>
  <c r="M161" i="2"/>
  <c r="M267" i="2" s="1"/>
  <c r="M187" i="2"/>
  <c r="M246" i="2" s="1"/>
  <c r="S136" i="2"/>
  <c r="AB252" i="2"/>
  <c r="AR79" i="2"/>
  <c r="S169" i="2"/>
  <c r="S227" i="2" s="1"/>
  <c r="M174" i="2"/>
  <c r="M232" i="2" s="1"/>
  <c r="P201" i="2"/>
  <c r="P261" i="2" s="1"/>
  <c r="M202" i="2"/>
  <c r="M262" i="2" s="1"/>
  <c r="AB181" i="2"/>
  <c r="AB240" i="2" s="1"/>
  <c r="AE142" i="2"/>
  <c r="AH121" i="2"/>
  <c r="AE231" i="2"/>
  <c r="J150" i="2"/>
  <c r="AB261" i="2"/>
  <c r="P252" i="2"/>
  <c r="M115" i="2"/>
  <c r="M167" i="2" s="1"/>
  <c r="M225" i="2" s="1"/>
  <c r="J167" i="2"/>
  <c r="J225" i="2" s="1"/>
  <c r="AE132" i="2"/>
  <c r="AB183" i="2"/>
  <c r="AB242" i="2" s="1"/>
  <c r="E13" i="12"/>
  <c r="S124" i="2"/>
  <c r="P175" i="2"/>
  <c r="P234" i="2" s="1"/>
  <c r="V121" i="2"/>
  <c r="S173" i="2"/>
  <c r="S231" i="2" s="1"/>
  <c r="V129" i="2"/>
  <c r="Y129" i="2" s="1"/>
  <c r="M193" i="2"/>
  <c r="M252" i="2" s="1"/>
  <c r="AH128" i="2"/>
  <c r="J256" i="2"/>
  <c r="J188" i="2"/>
  <c r="J247" i="2" s="1"/>
  <c r="J59" i="2" s="1"/>
  <c r="K59" i="2" s="1"/>
  <c r="L59" i="2" s="1"/>
  <c r="M137" i="2"/>
  <c r="P194" i="2"/>
  <c r="P253" i="2" s="1"/>
  <c r="S143" i="2"/>
  <c r="P186" i="2"/>
  <c r="P245" i="2" s="1"/>
  <c r="S135" i="2"/>
  <c r="AE140" i="2"/>
  <c r="AB191" i="2"/>
  <c r="AB250" i="2" s="1"/>
  <c r="AE204" i="2"/>
  <c r="AB265" i="2"/>
  <c r="D13" i="12"/>
  <c r="AE125" i="2"/>
  <c r="AB176" i="2"/>
  <c r="AB235" i="2" s="1"/>
  <c r="P178" i="2"/>
  <c r="P237" i="2" s="1"/>
  <c r="S127" i="2"/>
  <c r="AO86" i="2"/>
  <c r="AQ86" i="2"/>
  <c r="AU86" i="2"/>
  <c r="AZ70" i="2"/>
  <c r="AD70" i="2"/>
  <c r="AE70" i="2" s="1"/>
  <c r="AF70" i="2" s="1"/>
  <c r="AG70" i="2" s="1"/>
  <c r="AH70" i="2" s="1"/>
  <c r="AI70" i="2" s="1"/>
  <c r="AJ70" i="2" s="1"/>
  <c r="AK70" i="2" s="1"/>
  <c r="AD33" i="2"/>
  <c r="AE33" i="2" s="1"/>
  <c r="AF33" i="2" s="1"/>
  <c r="AG33" i="2" s="1"/>
  <c r="AH33" i="2" s="1"/>
  <c r="AI33" i="2" s="1"/>
  <c r="AJ33" i="2" s="1"/>
  <c r="AK33" i="2" s="1"/>
  <c r="AZ33" i="2"/>
  <c r="AX77" i="2"/>
  <c r="AS91" i="2"/>
  <c r="AX91" i="2"/>
  <c r="AW91" i="2"/>
  <c r="AO91" i="2"/>
  <c r="AN91" i="2"/>
  <c r="AZ85" i="2"/>
  <c r="AD55" i="2"/>
  <c r="AE55" i="2" s="1"/>
  <c r="AF55" i="2" s="1"/>
  <c r="AG55" i="2" s="1"/>
  <c r="AH55" i="2" s="1"/>
  <c r="AI55" i="2" s="1"/>
  <c r="AJ55" i="2" s="1"/>
  <c r="AK55" i="2" s="1"/>
  <c r="AZ55" i="2"/>
  <c r="AD68" i="2"/>
  <c r="AE68" i="2" s="1"/>
  <c r="AF68" i="2" s="1"/>
  <c r="AG68" i="2" s="1"/>
  <c r="AH68" i="2" s="1"/>
  <c r="AI68" i="2" s="1"/>
  <c r="AJ68" i="2" s="1"/>
  <c r="AK68" i="2" s="1"/>
  <c r="AZ68" i="2"/>
  <c r="AZ93" i="2"/>
  <c r="AZ30" i="2"/>
  <c r="AD30" i="2"/>
  <c r="AE30" i="2" s="1"/>
  <c r="AF30" i="2" s="1"/>
  <c r="AG30" i="2" s="1"/>
  <c r="AH30" i="2" s="1"/>
  <c r="AI30" i="2" s="1"/>
  <c r="AJ30" i="2" s="1"/>
  <c r="AK30" i="2" s="1"/>
  <c r="AW87" i="2"/>
  <c r="AS87" i="2"/>
  <c r="AH118" i="2"/>
  <c r="U22" i="17"/>
  <c r="U50" i="17"/>
  <c r="T212" i="2"/>
  <c r="O215" i="2"/>
  <c r="O274" i="2" s="1"/>
  <c r="P21" i="17"/>
  <c r="J215" i="2"/>
  <c r="J274" i="2" s="1"/>
  <c r="J106" i="2" s="1"/>
  <c r="K106" i="2" s="1"/>
  <c r="L106" i="2" s="1"/>
  <c r="H226" i="2"/>
  <c r="H205" i="2"/>
  <c r="H207" i="2" s="1"/>
  <c r="H210" i="2" s="1"/>
  <c r="H156" i="2" s="1"/>
  <c r="K275" i="2"/>
  <c r="K276" i="2" s="1"/>
  <c r="O224" i="2"/>
  <c r="O205" i="2"/>
  <c r="O207" i="2" s="1"/>
  <c r="O210" i="2" s="1"/>
  <c r="O156" i="2" s="1"/>
  <c r="O157" i="2" s="1"/>
  <c r="O159" i="2" s="1"/>
  <c r="O164" i="2" s="1"/>
  <c r="U224" i="2"/>
  <c r="U205" i="2"/>
  <c r="U207" i="2" s="1"/>
  <c r="U210" i="2" s="1"/>
  <c r="U156" i="2" s="1"/>
  <c r="U157" i="2" s="1"/>
  <c r="U159" i="2" s="1"/>
  <c r="U164" i="2" s="1"/>
  <c r="AM53" i="2"/>
  <c r="R53" i="2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E162" i="2"/>
  <c r="AR91" i="2"/>
  <c r="AD86" i="2"/>
  <c r="AE86" i="2" s="1"/>
  <c r="AF86" i="2" s="1"/>
  <c r="AG86" i="2" s="1"/>
  <c r="AH86" i="2" s="1"/>
  <c r="AI86" i="2" s="1"/>
  <c r="AJ86" i="2" s="1"/>
  <c r="AK86" i="2" s="1"/>
  <c r="AD91" i="2"/>
  <c r="AE91" i="2" s="1"/>
  <c r="AF91" i="2" s="1"/>
  <c r="AG91" i="2" s="1"/>
  <c r="AH91" i="2" s="1"/>
  <c r="AI91" i="2" s="1"/>
  <c r="AJ91" i="2" s="1"/>
  <c r="AK91" i="2" s="1"/>
  <c r="AZ78" i="2"/>
  <c r="AD78" i="2"/>
  <c r="AE78" i="2" s="1"/>
  <c r="AF78" i="2" s="1"/>
  <c r="AG78" i="2" s="1"/>
  <c r="AH78" i="2" s="1"/>
  <c r="AI78" i="2" s="1"/>
  <c r="AJ78" i="2" s="1"/>
  <c r="AK78" i="2" s="1"/>
  <c r="AD38" i="2"/>
  <c r="AE38" i="2" s="1"/>
  <c r="AF38" i="2" s="1"/>
  <c r="AG38" i="2" s="1"/>
  <c r="AH38" i="2" s="1"/>
  <c r="AI38" i="2" s="1"/>
  <c r="AJ38" i="2" s="1"/>
  <c r="AK38" i="2" s="1"/>
  <c r="AZ38" i="2"/>
  <c r="AD92" i="2"/>
  <c r="AE92" i="2" s="1"/>
  <c r="AF92" i="2" s="1"/>
  <c r="AG92" i="2" s="1"/>
  <c r="AH92" i="2" s="1"/>
  <c r="AI92" i="2" s="1"/>
  <c r="AJ92" i="2" s="1"/>
  <c r="AK92" i="2" s="1"/>
  <c r="AZ92" i="2"/>
  <c r="AU91" i="2"/>
  <c r="AR34" i="2"/>
  <c r="R56" i="2"/>
  <c r="S56" i="2" s="1"/>
  <c r="T56" i="2" s="1"/>
  <c r="U56" i="2" s="1"/>
  <c r="V56" i="2" s="1"/>
  <c r="W56" i="2" s="1"/>
  <c r="X56" i="2" s="1"/>
  <c r="Y56" i="2" s="1"/>
  <c r="Z56" i="2" s="1"/>
  <c r="AA56" i="2" s="1"/>
  <c r="AB56" i="2" s="1"/>
  <c r="AC56" i="2" s="1"/>
  <c r="AT91" i="2"/>
  <c r="AQ91" i="2"/>
  <c r="AW34" i="2"/>
  <c r="R44" i="2"/>
  <c r="S44" i="2" s="1"/>
  <c r="T44" i="2" s="1"/>
  <c r="U44" i="2" s="1"/>
  <c r="V44" i="2" s="1"/>
  <c r="W44" i="2" s="1"/>
  <c r="X44" i="2" s="1"/>
  <c r="Y44" i="2" s="1"/>
  <c r="Z44" i="2" s="1"/>
  <c r="AA44" i="2" s="1"/>
  <c r="AB44" i="2" s="1"/>
  <c r="AC44" i="2" s="1"/>
  <c r="AD34" i="2"/>
  <c r="AE34" i="2" s="1"/>
  <c r="AF34" i="2" s="1"/>
  <c r="AG34" i="2" s="1"/>
  <c r="AH34" i="2" s="1"/>
  <c r="AI34" i="2" s="1"/>
  <c r="AJ34" i="2" s="1"/>
  <c r="AK34" i="2" s="1"/>
  <c r="L104" i="2"/>
  <c r="AD40" i="2"/>
  <c r="AE40" i="2" s="1"/>
  <c r="AF40" i="2" s="1"/>
  <c r="AG40" i="2" s="1"/>
  <c r="AH40" i="2" s="1"/>
  <c r="AI40" i="2" s="1"/>
  <c r="AJ40" i="2" s="1"/>
  <c r="AK40" i="2" s="1"/>
  <c r="AZ40" i="2"/>
  <c r="AY34" i="2"/>
  <c r="AV34" i="2"/>
  <c r="I225" i="2"/>
  <c r="I205" i="2"/>
  <c r="I207" i="2" s="1"/>
  <c r="I210" i="2" s="1"/>
  <c r="I156" i="2" s="1"/>
  <c r="I157" i="2" s="1"/>
  <c r="I159" i="2" s="1"/>
  <c r="I164" i="2" s="1"/>
  <c r="I218" i="2" s="1"/>
  <c r="I219" i="2" s="1"/>
  <c r="AM66" i="2"/>
  <c r="R66" i="2"/>
  <c r="S66" i="2" s="1"/>
  <c r="T66" i="2" s="1"/>
  <c r="U66" i="2" s="1"/>
  <c r="V66" i="2" s="1"/>
  <c r="W66" i="2" s="1"/>
  <c r="X66" i="2" s="1"/>
  <c r="Y66" i="2" s="1"/>
  <c r="Z66" i="2" s="1"/>
  <c r="AA66" i="2" s="1"/>
  <c r="AB66" i="2" s="1"/>
  <c r="AC66" i="2" s="1"/>
  <c r="AM69" i="2"/>
  <c r="R69" i="2"/>
  <c r="S69" i="2" s="1"/>
  <c r="T69" i="2" s="1"/>
  <c r="U69" i="2" s="1"/>
  <c r="V69" i="2" s="1"/>
  <c r="W69" i="2" s="1"/>
  <c r="X69" i="2" s="1"/>
  <c r="Y69" i="2" s="1"/>
  <c r="Z69" i="2" s="1"/>
  <c r="AA69" i="2" s="1"/>
  <c r="AB69" i="2" s="1"/>
  <c r="AC69" i="2" s="1"/>
  <c r="AY91" i="2"/>
  <c r="AM70" i="2"/>
  <c r="AD48" i="2"/>
  <c r="AE48" i="2" s="1"/>
  <c r="AF48" i="2" s="1"/>
  <c r="AG48" i="2" s="1"/>
  <c r="AH48" i="2" s="1"/>
  <c r="AI48" i="2" s="1"/>
  <c r="AJ48" i="2" s="1"/>
  <c r="AK48" i="2" s="1"/>
  <c r="AZ48" i="2"/>
  <c r="AD90" i="2"/>
  <c r="AE90" i="2" s="1"/>
  <c r="AF90" i="2" s="1"/>
  <c r="AG90" i="2" s="1"/>
  <c r="AH90" i="2" s="1"/>
  <c r="AI90" i="2" s="1"/>
  <c r="AJ90" i="2" s="1"/>
  <c r="AK90" i="2" s="1"/>
  <c r="I100" i="2"/>
  <c r="I15" i="2" s="1"/>
  <c r="J98" i="2"/>
  <c r="V180" i="2"/>
  <c r="M169" i="2"/>
  <c r="M227" i="2" s="1"/>
  <c r="V135" i="2"/>
  <c r="J177" i="2"/>
  <c r="J236" i="2" s="1"/>
  <c r="M126" i="2"/>
  <c r="J179" i="2"/>
  <c r="J238" i="2" s="1"/>
  <c r="M128" i="2"/>
  <c r="S147" i="2"/>
  <c r="P198" i="2"/>
  <c r="P257" i="2" s="1"/>
  <c r="AK251" i="2"/>
  <c r="S191" i="2"/>
  <c r="S250" i="2" s="1"/>
  <c r="V140" i="2"/>
  <c r="S120" i="2"/>
  <c r="P172" i="2"/>
  <c r="P230" i="2" s="1"/>
  <c r="P191" i="2"/>
  <c r="P250" i="2" s="1"/>
  <c r="P122" i="2"/>
  <c r="D68" i="12"/>
  <c r="AB190" i="2"/>
  <c r="AB249" i="2" s="1"/>
  <c r="AE139" i="2"/>
  <c r="AB155" i="2"/>
  <c r="E88" i="12"/>
  <c r="J265" i="2"/>
  <c r="M204" i="2"/>
  <c r="M265" i="2" s="1"/>
  <c r="P168" i="2"/>
  <c r="P226" i="2" s="1"/>
  <c r="S116" i="2"/>
  <c r="E111" i="12"/>
  <c r="AC161" i="2"/>
  <c r="P183" i="2"/>
  <c r="P242" i="2" s="1"/>
  <c r="S132" i="2"/>
  <c r="AP79" i="2"/>
  <c r="AW79" i="2"/>
  <c r="AT79" i="2"/>
  <c r="Y180" i="2"/>
  <c r="Y239" i="2" s="1"/>
  <c r="Y235" i="2"/>
  <c r="S186" i="2"/>
  <c r="S245" i="2" s="1"/>
  <c r="AH208" i="2"/>
  <c r="AE269" i="2"/>
  <c r="AB199" i="2"/>
  <c r="AB258" i="2" s="1"/>
  <c r="AE148" i="2"/>
  <c r="V150" i="2"/>
  <c r="M249" i="2"/>
  <c r="J186" i="2"/>
  <c r="J245" i="2" s="1"/>
  <c r="J58" i="2" s="1"/>
  <c r="K58" i="2" s="1"/>
  <c r="L58" i="2" s="1"/>
  <c r="M135" i="2"/>
  <c r="P229" i="2"/>
  <c r="AE126" i="2"/>
  <c r="AB236" i="2"/>
  <c r="AB179" i="2"/>
  <c r="AB238" i="2" s="1"/>
  <c r="AB166" i="2"/>
  <c r="AB224" i="2" s="1"/>
  <c r="AE114" i="2"/>
  <c r="P181" i="2"/>
  <c r="P240" i="2" s="1"/>
  <c r="S130" i="2"/>
  <c r="AE117" i="2"/>
  <c r="AB169" i="2"/>
  <c r="AB227" i="2" s="1"/>
  <c r="P224" i="2"/>
  <c r="S114" i="2"/>
  <c r="AB175" i="2"/>
  <c r="AB234" i="2" s="1"/>
  <c r="AE124" i="2"/>
  <c r="AK262" i="2"/>
  <c r="V227" i="2"/>
  <c r="M237" i="2"/>
  <c r="AE248" i="2"/>
  <c r="AB254" i="2"/>
  <c r="M147" i="2"/>
  <c r="J198" i="2"/>
  <c r="J257" i="2" s="1"/>
  <c r="J74" i="2" s="1"/>
  <c r="K74" i="2" s="1"/>
  <c r="L74" i="2" s="1"/>
  <c r="S152" i="2"/>
  <c r="P203" i="2"/>
  <c r="P263" i="2" s="1"/>
  <c r="J194" i="2"/>
  <c r="J253" i="2" s="1"/>
  <c r="J65" i="2" s="1"/>
  <c r="K65" i="2" s="1"/>
  <c r="L65" i="2" s="1"/>
  <c r="M65" i="2" s="1"/>
  <c r="N65" i="2" s="1"/>
  <c r="O65" i="2" s="1"/>
  <c r="J166" i="2"/>
  <c r="M114" i="2"/>
  <c r="J170" i="2"/>
  <c r="J228" i="2" s="1"/>
  <c r="J27" i="2" s="1"/>
  <c r="K27" i="2" s="1"/>
  <c r="L27" i="2" s="1"/>
  <c r="M118" i="2"/>
  <c r="S148" i="2"/>
  <c r="P199" i="2"/>
  <c r="P258" i="2" s="1"/>
  <c r="S141" i="2"/>
  <c r="P192" i="2"/>
  <c r="P251" i="2" s="1"/>
  <c r="AE115" i="2"/>
  <c r="AB167" i="2"/>
  <c r="AB225" i="2" s="1"/>
  <c r="J191" i="2"/>
  <c r="J250" i="2" s="1"/>
  <c r="J62" i="2" s="1"/>
  <c r="K62" i="2" s="1"/>
  <c r="L62" i="2" s="1"/>
  <c r="M140" i="2"/>
  <c r="S128" i="2"/>
  <c r="P238" i="2"/>
  <c r="AE143" i="2"/>
  <c r="AB194" i="2"/>
  <c r="AB253" i="2" s="1"/>
  <c r="AB184" i="2"/>
  <c r="AB243" i="2" s="1"/>
  <c r="AE133" i="2"/>
  <c r="J129" i="2"/>
  <c r="C55" i="12"/>
  <c r="D88" i="12"/>
  <c r="G21" i="17"/>
  <c r="AD214" i="2"/>
  <c r="AD273" i="2" s="1"/>
  <c r="AE21" i="17"/>
  <c r="AE23" i="17" s="1"/>
  <c r="AD212" i="2"/>
  <c r="AE50" i="17"/>
  <c r="AE22" i="17"/>
  <c r="AE202" i="2"/>
  <c r="AE262" i="2" s="1"/>
  <c r="M226" i="2"/>
  <c r="M120" i="2"/>
  <c r="J172" i="2"/>
  <c r="J230" i="2" s="1"/>
  <c r="J29" i="2" s="1"/>
  <c r="K29" i="2" s="1"/>
  <c r="L29" i="2" s="1"/>
  <c r="E55" i="12"/>
  <c r="P262" i="2"/>
  <c r="S151" i="2"/>
  <c r="P169" i="2"/>
  <c r="P227" i="2" s="1"/>
  <c r="AE137" i="2"/>
  <c r="AB188" i="2"/>
  <c r="AB247" i="2" s="1"/>
  <c r="P167" i="2"/>
  <c r="P225" i="2" s="1"/>
  <c r="J169" i="2"/>
  <c r="J227" i="2" s="1"/>
  <c r="P254" i="2"/>
  <c r="J234" i="2"/>
  <c r="J32" i="2" s="1"/>
  <c r="K32" i="2" s="1"/>
  <c r="L32" i="2" s="1"/>
  <c r="M124" i="2"/>
  <c r="J193" i="2"/>
  <c r="J252" i="2" s="1"/>
  <c r="AM99" i="2"/>
  <c r="R99" i="2"/>
  <c r="S99" i="2" s="1"/>
  <c r="T99" i="2" s="1"/>
  <c r="U99" i="2" s="1"/>
  <c r="V99" i="2" s="1"/>
  <c r="W99" i="2" s="1"/>
  <c r="X99" i="2" s="1"/>
  <c r="Y99" i="2" s="1"/>
  <c r="Z99" i="2" s="1"/>
  <c r="AA99" i="2" s="1"/>
  <c r="AB99" i="2" s="1"/>
  <c r="AC99" i="2" s="1"/>
  <c r="M132" i="2"/>
  <c r="J183" i="2"/>
  <c r="J242" i="2" s="1"/>
  <c r="W215" i="2"/>
  <c r="W274" i="2" s="1"/>
  <c r="X21" i="17"/>
  <c r="S126" i="2"/>
  <c r="J240" i="2"/>
  <c r="AE146" i="2"/>
  <c r="J203" i="2"/>
  <c r="J263" i="2" s="1"/>
  <c r="J89" i="2" s="1"/>
  <c r="K89" i="2" s="1"/>
  <c r="L89" i="2" s="1"/>
  <c r="M89" i="2" s="1"/>
  <c r="N89" i="2" s="1"/>
  <c r="O89" i="2" s="1"/>
  <c r="AE119" i="2"/>
  <c r="S119" i="2"/>
  <c r="J187" i="2"/>
  <c r="J246" i="2" s="1"/>
  <c r="J60" i="2" s="1"/>
  <c r="K60" i="2" s="1"/>
  <c r="L60" i="2" s="1"/>
  <c r="AB251" i="2"/>
  <c r="J235" i="2"/>
  <c r="AE127" i="2"/>
  <c r="S142" i="2"/>
  <c r="J195" i="2"/>
  <c r="J254" i="2" s="1"/>
  <c r="J71" i="2" s="1"/>
  <c r="K71" i="2" s="1"/>
  <c r="L71" i="2" s="1"/>
  <c r="M71" i="2" s="1"/>
  <c r="N71" i="2" s="1"/>
  <c r="O71" i="2" s="1"/>
  <c r="AB182" i="2"/>
  <c r="AB241" i="2" s="1"/>
  <c r="S145" i="2"/>
  <c r="J258" i="2"/>
  <c r="J75" i="2" s="1"/>
  <c r="K75" i="2" s="1"/>
  <c r="L75" i="2" s="1"/>
  <c r="M75" i="2" s="1"/>
  <c r="N75" i="2" s="1"/>
  <c r="O75" i="2" s="1"/>
  <c r="D124" i="12"/>
  <c r="P246" i="2"/>
  <c r="D55" i="12"/>
  <c r="AB226" i="2"/>
  <c r="M153" i="2"/>
  <c r="M259" i="2" s="1"/>
  <c r="J153" i="2"/>
  <c r="J259" i="2" s="1"/>
  <c r="J80" i="2" s="1"/>
  <c r="K80" i="2" s="1"/>
  <c r="L80" i="2" s="1"/>
  <c r="K53" i="17"/>
  <c r="C26" i="14"/>
  <c r="C21" i="14" s="1"/>
  <c r="L22" i="17"/>
  <c r="L23" i="17" s="1"/>
  <c r="AB21" i="17"/>
  <c r="AH21" i="17"/>
  <c r="AG214" i="2"/>
  <c r="AG273" i="2" s="1"/>
  <c r="M141" i="2"/>
  <c r="E68" i="12"/>
  <c r="AA157" i="2"/>
  <c r="AA159" i="2" s="1"/>
  <c r="AA164" i="2" s="1"/>
  <c r="AK50" i="17"/>
  <c r="AJ212" i="2"/>
  <c r="AK22" i="17"/>
  <c r="W11" i="2"/>
  <c r="X11" i="2"/>
  <c r="AB246" i="2"/>
  <c r="J241" i="2"/>
  <c r="J231" i="2"/>
  <c r="J36" i="2" s="1"/>
  <c r="K36" i="2" s="1"/>
  <c r="L36" i="2" s="1"/>
  <c r="C88" i="12"/>
  <c r="D22" i="17"/>
  <c r="D50" i="17"/>
  <c r="D59" i="17" s="1"/>
  <c r="AF226" i="2"/>
  <c r="AI66" i="17"/>
  <c r="I22" i="17"/>
  <c r="I23" i="17" s="1"/>
  <c r="AL49" i="17"/>
  <c r="K29" i="17"/>
  <c r="K30" i="17" s="1"/>
  <c r="T214" i="2"/>
  <c r="T273" i="2" s="1"/>
  <c r="U21" i="17"/>
  <c r="Y44" i="17"/>
  <c r="I51" i="2"/>
  <c r="J51" i="2" s="1"/>
  <c r="K51" i="2" s="1"/>
  <c r="L51" i="2" s="1"/>
  <c r="M51" i="2" s="1"/>
  <c r="N51" i="2" s="1"/>
  <c r="O51" i="2" s="1"/>
  <c r="AA11" i="2"/>
  <c r="R11" i="2"/>
  <c r="K11" i="2"/>
  <c r="Q268" i="2"/>
  <c r="Q30" i="17"/>
  <c r="R213" i="2"/>
  <c r="R272" i="2" s="1"/>
  <c r="Z49" i="17"/>
  <c r="R212" i="2"/>
  <c r="S50" i="17"/>
  <c r="G50" i="17"/>
  <c r="G59" i="17" s="1"/>
  <c r="G22" i="17"/>
  <c r="F44" i="17"/>
  <c r="F21" i="17" s="1"/>
  <c r="W226" i="2"/>
  <c r="W205" i="2"/>
  <c r="W207" i="2" s="1"/>
  <c r="W210" i="2" s="1"/>
  <c r="W156" i="2" s="1"/>
  <c r="W157" i="2" s="1"/>
  <c r="W159" i="2" s="1"/>
  <c r="W164" i="2" s="1"/>
  <c r="AB162" i="2"/>
  <c r="AB268" i="2" s="1"/>
  <c r="S22" i="17"/>
  <c r="S23" i="17" s="1"/>
  <c r="N67" i="17"/>
  <c r="M162" i="2"/>
  <c r="M268" i="2" s="1"/>
  <c r="AJ214" i="2"/>
  <c r="AJ273" i="2" s="1"/>
  <c r="AK21" i="17"/>
  <c r="AK23" i="17" s="1"/>
  <c r="AJ21" i="17"/>
  <c r="N213" i="2"/>
  <c r="N272" i="2" s="1"/>
  <c r="D23" i="17"/>
  <c r="Y29" i="17"/>
  <c r="Y30" i="17" s="1"/>
  <c r="H29" i="17"/>
  <c r="H30" i="17" s="1"/>
  <c r="AJ29" i="17"/>
  <c r="AJ30" i="17" s="1"/>
  <c r="AB29" i="17"/>
  <c r="AB30" i="17" s="1"/>
  <c r="C29" i="17"/>
  <c r="C30" i="17" s="1"/>
  <c r="E29" i="17"/>
  <c r="E30" i="17" s="1"/>
  <c r="R29" i="17"/>
  <c r="R30" i="17" s="1"/>
  <c r="Z29" i="17"/>
  <c r="X29" i="17"/>
  <c r="X30" i="17" s="1"/>
  <c r="O29" i="17"/>
  <c r="O30" i="17" s="1"/>
  <c r="V29" i="17"/>
  <c r="V30" i="17" s="1"/>
  <c r="AF29" i="17"/>
  <c r="M29" i="17"/>
  <c r="M30" i="17" s="1"/>
  <c r="F29" i="17"/>
  <c r="F30" i="17" s="1"/>
  <c r="AD29" i="17"/>
  <c r="T29" i="17"/>
  <c r="T30" i="17" s="1"/>
  <c r="AH29" i="17"/>
  <c r="AH30" i="17" s="1"/>
  <c r="AG29" i="17"/>
  <c r="AG30" i="17" s="1"/>
  <c r="AA29" i="17"/>
  <c r="AA30" i="17" s="1"/>
  <c r="AL29" i="17"/>
  <c r="AC29" i="17"/>
  <c r="P29" i="17"/>
  <c r="P30" i="17" s="1"/>
  <c r="J29" i="17"/>
  <c r="J30" i="17" s="1"/>
  <c r="O44" i="17"/>
  <c r="H57" i="2"/>
  <c r="I57" i="2" s="1"/>
  <c r="J57" i="2" s="1"/>
  <c r="K57" i="2" s="1"/>
  <c r="L57" i="2" s="1"/>
  <c r="Z68" i="17"/>
  <c r="V21" i="17"/>
  <c r="I39" i="2"/>
  <c r="H46" i="2"/>
  <c r="I46" i="2" s="1"/>
  <c r="J46" i="2" s="1"/>
  <c r="K46" i="2" s="1"/>
  <c r="L46" i="2" s="1"/>
  <c r="M46" i="2" s="1"/>
  <c r="N46" i="2" s="1"/>
  <c r="O46" i="2" s="1"/>
  <c r="H268" i="2"/>
  <c r="H45" i="2" s="1"/>
  <c r="AE11" i="2"/>
  <c r="T268" i="2"/>
  <c r="M44" i="17"/>
  <c r="M21" i="17" s="1"/>
  <c r="E32" i="14"/>
  <c r="W28" i="17"/>
  <c r="N44" i="17"/>
  <c r="M215" i="2" s="1"/>
  <c r="M274" i="2" s="1"/>
  <c r="AD44" i="17"/>
  <c r="P270" i="2"/>
  <c r="D25" i="14"/>
  <c r="D80" i="14"/>
  <c r="D32" i="14" s="1"/>
  <c r="D34" i="14" s="1"/>
  <c r="N34" i="17"/>
  <c r="W34" i="17"/>
  <c r="W64" i="17"/>
  <c r="E40" i="14"/>
  <c r="W36" i="17"/>
  <c r="E36" i="17"/>
  <c r="C40" i="14"/>
  <c r="C42" i="14" s="1"/>
  <c r="C54" i="14" s="1"/>
  <c r="C58" i="14" s="1"/>
  <c r="Q40" i="17"/>
  <c r="D46" i="14"/>
  <c r="D48" i="14" s="1"/>
  <c r="K64" i="17"/>
  <c r="N48" i="17"/>
  <c r="N49" i="17" s="1"/>
  <c r="E38" i="14"/>
  <c r="AL35" i="17" s="1"/>
  <c r="V233" i="2" l="1"/>
  <c r="Y123" i="2"/>
  <c r="Y233" i="2" s="1"/>
  <c r="AP87" i="2"/>
  <c r="AR87" i="2"/>
  <c r="AU87" i="2"/>
  <c r="O64" i="2"/>
  <c r="P64" i="2" s="1"/>
  <c r="Q64" i="2" s="1"/>
  <c r="R64" i="2" s="1"/>
  <c r="S64" i="2" s="1"/>
  <c r="T64" i="2" s="1"/>
  <c r="U64" i="2" s="1"/>
  <c r="V64" i="2" s="1"/>
  <c r="W64" i="2" s="1"/>
  <c r="X64" i="2" s="1"/>
  <c r="Y64" i="2" s="1"/>
  <c r="Z64" i="2" s="1"/>
  <c r="AA64" i="2" s="1"/>
  <c r="AB64" i="2" s="1"/>
  <c r="AC64" i="2" s="1"/>
  <c r="P84" i="2"/>
  <c r="Q84" i="2" s="1"/>
  <c r="AT87" i="2"/>
  <c r="AY87" i="2"/>
  <c r="AZ67" i="2"/>
  <c r="AP67" i="2" s="1"/>
  <c r="J43" i="2"/>
  <c r="K43" i="2" s="1"/>
  <c r="L43" i="2" s="1"/>
  <c r="AH152" i="2"/>
  <c r="AH203" i="2" s="1"/>
  <c r="AH263" i="2" s="1"/>
  <c r="AX87" i="2"/>
  <c r="AD54" i="2"/>
  <c r="AE54" i="2" s="1"/>
  <c r="AF54" i="2" s="1"/>
  <c r="AG54" i="2" s="1"/>
  <c r="AH54" i="2" s="1"/>
  <c r="AI54" i="2" s="1"/>
  <c r="AJ54" i="2" s="1"/>
  <c r="AK54" i="2" s="1"/>
  <c r="AV87" i="2"/>
  <c r="AO87" i="2"/>
  <c r="BA87" i="2" s="1"/>
  <c r="AQ87" i="2"/>
  <c r="AD50" i="2"/>
  <c r="AE50" i="2" s="1"/>
  <c r="AF50" i="2" s="1"/>
  <c r="AG50" i="2" s="1"/>
  <c r="AH50" i="2" s="1"/>
  <c r="AI50" i="2" s="1"/>
  <c r="AJ50" i="2" s="1"/>
  <c r="AK50" i="2" s="1"/>
  <c r="L219" i="2"/>
  <c r="M41" i="2"/>
  <c r="N41" i="2" s="1"/>
  <c r="O41" i="2" s="1"/>
  <c r="P41" i="2" s="1"/>
  <c r="Q41" i="2" s="1"/>
  <c r="AM41" i="2" s="1"/>
  <c r="S265" i="2"/>
  <c r="AQ34" i="2"/>
  <c r="AS34" i="2"/>
  <c r="AT77" i="2"/>
  <c r="V256" i="2"/>
  <c r="AO34" i="2"/>
  <c r="L276" i="2"/>
  <c r="M76" i="2"/>
  <c r="N76" i="2" s="1"/>
  <c r="O76" i="2" s="1"/>
  <c r="P76" i="2" s="1"/>
  <c r="Q76" i="2" s="1"/>
  <c r="AM76" i="2" s="1"/>
  <c r="I45" i="2"/>
  <c r="AN34" i="2"/>
  <c r="AY77" i="2"/>
  <c r="AT34" i="2"/>
  <c r="AT86" i="2"/>
  <c r="AX86" i="2"/>
  <c r="Y146" i="2"/>
  <c r="Y197" i="2" s="1"/>
  <c r="Y256" i="2" s="1"/>
  <c r="AP34" i="2"/>
  <c r="AI205" i="2"/>
  <c r="AI207" i="2" s="1"/>
  <c r="AI210" i="2" s="1"/>
  <c r="AI156" i="2" s="1"/>
  <c r="AI157" i="2" s="1"/>
  <c r="AI159" i="2" s="1"/>
  <c r="S197" i="2"/>
  <c r="S256" i="2" s="1"/>
  <c r="J81" i="2"/>
  <c r="K81" i="2" s="1"/>
  <c r="L81" i="2" s="1"/>
  <c r="I275" i="2"/>
  <c r="AX34" i="2"/>
  <c r="AV77" i="2"/>
  <c r="M72" i="2"/>
  <c r="N72" i="2" s="1"/>
  <c r="O72" i="2" s="1"/>
  <c r="P72" i="2" s="1"/>
  <c r="Q72" i="2" s="1"/>
  <c r="K219" i="2"/>
  <c r="J26" i="2"/>
  <c r="K26" i="2" s="1"/>
  <c r="L26" i="2" s="1"/>
  <c r="M26" i="2" s="1"/>
  <c r="N26" i="2" s="1"/>
  <c r="O26" i="2" s="1"/>
  <c r="P26" i="2" s="1"/>
  <c r="Q26" i="2" s="1"/>
  <c r="AH138" i="2"/>
  <c r="AH189" i="2" s="1"/>
  <c r="AH248" i="2" s="1"/>
  <c r="M81" i="2"/>
  <c r="N81" i="2" s="1"/>
  <c r="O81" i="2" s="1"/>
  <c r="P81" i="2" s="1"/>
  <c r="Q81" i="2" s="1"/>
  <c r="R81" i="2" s="1"/>
  <c r="S81" i="2" s="1"/>
  <c r="T81" i="2" s="1"/>
  <c r="U81" i="2" s="1"/>
  <c r="AZ42" i="2"/>
  <c r="AY42" i="2" s="1"/>
  <c r="H157" i="2"/>
  <c r="H159" i="2" s="1"/>
  <c r="H164" i="2" s="1"/>
  <c r="H218" i="2" s="1"/>
  <c r="H219" i="2" s="1"/>
  <c r="AO77" i="2"/>
  <c r="AP86" i="2"/>
  <c r="AR86" i="2"/>
  <c r="AD265" i="2"/>
  <c r="AG204" i="2"/>
  <c r="AG205" i="2" s="1"/>
  <c r="AG207" i="2" s="1"/>
  <c r="AG210" i="2" s="1"/>
  <c r="AG156" i="2" s="1"/>
  <c r="AG157" i="2" s="1"/>
  <c r="AG159" i="2" s="1"/>
  <c r="AG164" i="2" s="1"/>
  <c r="AP77" i="2"/>
  <c r="AR77" i="2"/>
  <c r="AW77" i="2"/>
  <c r="AQ77" i="2"/>
  <c r="AY86" i="2"/>
  <c r="AV86" i="2"/>
  <c r="Y149" i="2"/>
  <c r="Y200" i="2" s="1"/>
  <c r="Y260" i="2" s="1"/>
  <c r="AM64" i="2"/>
  <c r="M82" i="2"/>
  <c r="N82" i="2" s="1"/>
  <c r="O82" i="2" s="1"/>
  <c r="P82" i="2" s="1"/>
  <c r="Q82" i="2" s="1"/>
  <c r="R82" i="2" s="1"/>
  <c r="AH233" i="2"/>
  <c r="AK123" i="2"/>
  <c r="AK233" i="2" s="1"/>
  <c r="P46" i="2"/>
  <c r="Q46" i="2" s="1"/>
  <c r="R46" i="2" s="1"/>
  <c r="J37" i="2"/>
  <c r="K37" i="2" s="1"/>
  <c r="L37" i="2" s="1"/>
  <c r="J73" i="2"/>
  <c r="K73" i="2" s="1"/>
  <c r="L73" i="2" s="1"/>
  <c r="M73" i="2" s="1"/>
  <c r="N73" i="2" s="1"/>
  <c r="O73" i="2" s="1"/>
  <c r="P73" i="2" s="1"/>
  <c r="Q73" i="2" s="1"/>
  <c r="R73" i="2" s="1"/>
  <c r="AE186" i="2"/>
  <c r="AE245" i="2" s="1"/>
  <c r="AH135" i="2"/>
  <c r="AK149" i="2"/>
  <c r="AK200" i="2" s="1"/>
  <c r="AK260" i="2" s="1"/>
  <c r="AH200" i="2"/>
  <c r="AH260" i="2" s="1"/>
  <c r="AH144" i="2"/>
  <c r="AE195" i="2"/>
  <c r="AE254" i="2" s="1"/>
  <c r="M241" i="2"/>
  <c r="AZ35" i="2"/>
  <c r="AS35" i="2" s="1"/>
  <c r="M61" i="2"/>
  <c r="N61" i="2" s="1"/>
  <c r="O61" i="2" s="1"/>
  <c r="P61" i="2" s="1"/>
  <c r="Q61" i="2" s="1"/>
  <c r="AM61" i="2" s="1"/>
  <c r="AH150" i="2"/>
  <c r="AE201" i="2"/>
  <c r="AE261" i="2" s="1"/>
  <c r="AZ47" i="2"/>
  <c r="AD47" i="2"/>
  <c r="AE47" i="2" s="1"/>
  <c r="AF47" i="2" s="1"/>
  <c r="AG47" i="2" s="1"/>
  <c r="AH47" i="2" s="1"/>
  <c r="AI47" i="2" s="1"/>
  <c r="AJ47" i="2" s="1"/>
  <c r="AK47" i="2" s="1"/>
  <c r="AK209" i="2"/>
  <c r="AK270" i="2" s="1"/>
  <c r="AH270" i="2"/>
  <c r="P89" i="2"/>
  <c r="Q89" i="2" s="1"/>
  <c r="R89" i="2" s="1"/>
  <c r="V239" i="2"/>
  <c r="AE268" i="2"/>
  <c r="S260" i="2"/>
  <c r="AD94" i="2"/>
  <c r="AE94" i="2" s="1"/>
  <c r="AF94" i="2" s="1"/>
  <c r="AG94" i="2" s="1"/>
  <c r="AH94" i="2" s="1"/>
  <c r="AI94" i="2" s="1"/>
  <c r="AJ94" i="2" s="1"/>
  <c r="AK94" i="2" s="1"/>
  <c r="AH142" i="2"/>
  <c r="AE193" i="2"/>
  <c r="AE252" i="2" s="1"/>
  <c r="AE180" i="2"/>
  <c r="AE239" i="2" s="1"/>
  <c r="AH129" i="2"/>
  <c r="M60" i="2"/>
  <c r="N60" i="2" s="1"/>
  <c r="O60" i="2" s="1"/>
  <c r="P60" i="2" s="1"/>
  <c r="Q60" i="2" s="1"/>
  <c r="R60" i="2" s="1"/>
  <c r="BA79" i="2"/>
  <c r="P28" i="2"/>
  <c r="Q28" i="2" s="1"/>
  <c r="AM28" i="2" s="1"/>
  <c r="V137" i="2"/>
  <c r="V188" i="2" s="1"/>
  <c r="V247" i="2" s="1"/>
  <c r="AD25" i="2"/>
  <c r="AE25" i="2" s="1"/>
  <c r="AF25" i="2" s="1"/>
  <c r="AG25" i="2" s="1"/>
  <c r="AH25" i="2" s="1"/>
  <c r="AI25" i="2" s="1"/>
  <c r="AJ25" i="2" s="1"/>
  <c r="AK25" i="2" s="1"/>
  <c r="V127" i="2"/>
  <c r="S178" i="2"/>
  <c r="S237" i="2" s="1"/>
  <c r="AE176" i="2"/>
  <c r="AE235" i="2" s="1"/>
  <c r="AH125" i="2"/>
  <c r="S194" i="2"/>
  <c r="S253" i="2" s="1"/>
  <c r="V143" i="2"/>
  <c r="Y121" i="2"/>
  <c r="V173" i="2"/>
  <c r="V231" i="2" s="1"/>
  <c r="AK121" i="2"/>
  <c r="AH173" i="2"/>
  <c r="AH231" i="2" s="1"/>
  <c r="AM82" i="2"/>
  <c r="Y144" i="2"/>
  <c r="V195" i="2"/>
  <c r="V254" i="2" s="1"/>
  <c r="V139" i="2"/>
  <c r="S190" i="2"/>
  <c r="S249" i="2" s="1"/>
  <c r="AK145" i="2"/>
  <c r="AH196" i="2"/>
  <c r="AH255" i="2" s="1"/>
  <c r="AU77" i="2"/>
  <c r="AN77" i="2"/>
  <c r="M88" i="2"/>
  <c r="N88" i="2" s="1"/>
  <c r="O88" i="2" s="1"/>
  <c r="BA91" i="2"/>
  <c r="AH179" i="2"/>
  <c r="AH238" i="2" s="1"/>
  <c r="AK128" i="2"/>
  <c r="V124" i="2"/>
  <c r="S175" i="2"/>
  <c r="S234" i="2" s="1"/>
  <c r="M150" i="2"/>
  <c r="M201" i="2" s="1"/>
  <c r="M261" i="2" s="1"/>
  <c r="J201" i="2"/>
  <c r="J261" i="2" s="1"/>
  <c r="J83" i="2" s="1"/>
  <c r="K83" i="2" s="1"/>
  <c r="L83" i="2" s="1"/>
  <c r="V136" i="2"/>
  <c r="S187" i="2"/>
  <c r="S246" i="2" s="1"/>
  <c r="V118" i="2"/>
  <c r="S170" i="2"/>
  <c r="S228" i="2" s="1"/>
  <c r="AK147" i="2"/>
  <c r="AK198" i="2" s="1"/>
  <c r="AK257" i="2" s="1"/>
  <c r="AH198" i="2"/>
  <c r="AH257" i="2" s="1"/>
  <c r="S153" i="2"/>
  <c r="P259" i="2"/>
  <c r="V131" i="2"/>
  <c r="S182" i="2"/>
  <c r="S241" i="2" s="1"/>
  <c r="AE191" i="2"/>
  <c r="AE250" i="2" s="1"/>
  <c r="AH140" i="2"/>
  <c r="AH132" i="2"/>
  <c r="AE183" i="2"/>
  <c r="AE242" i="2" s="1"/>
  <c r="AH181" i="2"/>
  <c r="AH240" i="2" s="1"/>
  <c r="AK130" i="2"/>
  <c r="AK181" i="2" s="1"/>
  <c r="AK240" i="2" s="1"/>
  <c r="AH185" i="2"/>
  <c r="AH244" i="2" s="1"/>
  <c r="AK134" i="2"/>
  <c r="AK185" i="2" s="1"/>
  <c r="AK244" i="2" s="1"/>
  <c r="V167" i="2"/>
  <c r="V225" i="2" s="1"/>
  <c r="Y115" i="2"/>
  <c r="S269" i="2"/>
  <c r="S268" i="2" s="1"/>
  <c r="V208" i="2"/>
  <c r="S189" i="2"/>
  <c r="S248" i="2" s="1"/>
  <c r="V138" i="2"/>
  <c r="M176" i="2"/>
  <c r="M235" i="2" s="1"/>
  <c r="AE168" i="2"/>
  <c r="AE226" i="2" s="1"/>
  <c r="AH116" i="2"/>
  <c r="V184" i="2"/>
  <c r="V243" i="2" s="1"/>
  <c r="Y133" i="2"/>
  <c r="M36" i="2"/>
  <c r="N36" i="2" s="1"/>
  <c r="O36" i="2" s="1"/>
  <c r="M80" i="2"/>
  <c r="N80" i="2" s="1"/>
  <c r="O80" i="2" s="1"/>
  <c r="P65" i="2"/>
  <c r="Q65" i="2" s="1"/>
  <c r="AM65" i="2" s="1"/>
  <c r="AW86" i="2"/>
  <c r="AN86" i="2"/>
  <c r="AE265" i="2"/>
  <c r="AH204" i="2"/>
  <c r="M188" i="2"/>
  <c r="M247" i="2" s="1"/>
  <c r="M59" i="2" s="1"/>
  <c r="N59" i="2" s="1"/>
  <c r="O59" i="2" s="1"/>
  <c r="P59" i="2" s="1"/>
  <c r="Q59" i="2" s="1"/>
  <c r="M184" i="2"/>
  <c r="M243" i="2" s="1"/>
  <c r="M57" i="2" s="1"/>
  <c r="N57" i="2" s="1"/>
  <c r="O57" i="2" s="1"/>
  <c r="P57" i="2" s="1"/>
  <c r="Q57" i="2" s="1"/>
  <c r="AH120" i="2"/>
  <c r="AE172" i="2"/>
  <c r="AE230" i="2" s="1"/>
  <c r="AH153" i="2"/>
  <c r="AE259" i="2"/>
  <c r="V134" i="2"/>
  <c r="S185" i="2"/>
  <c r="S244" i="2" s="1"/>
  <c r="AH136" i="2"/>
  <c r="AE187" i="2"/>
  <c r="AE246" i="2" s="1"/>
  <c r="AM84" i="2"/>
  <c r="R84" i="2"/>
  <c r="S84" i="2" s="1"/>
  <c r="T84" i="2" s="1"/>
  <c r="U84" i="2" s="1"/>
  <c r="V84" i="2" s="1"/>
  <c r="W84" i="2" s="1"/>
  <c r="X84" i="2" s="1"/>
  <c r="Y84" i="2" s="1"/>
  <c r="Z84" i="2" s="1"/>
  <c r="AA84" i="2" s="1"/>
  <c r="AB84" i="2" s="1"/>
  <c r="AC84" i="2" s="1"/>
  <c r="D58" i="14"/>
  <c r="R28" i="2"/>
  <c r="R76" i="2"/>
  <c r="S76" i="2" s="1"/>
  <c r="T76" i="2" s="1"/>
  <c r="U76" i="2" s="1"/>
  <c r="V76" i="2" s="1"/>
  <c r="W76" i="2" s="1"/>
  <c r="X76" i="2" s="1"/>
  <c r="Y76" i="2" s="1"/>
  <c r="Z76" i="2" s="1"/>
  <c r="AA76" i="2" s="1"/>
  <c r="AB76" i="2" s="1"/>
  <c r="AD69" i="2"/>
  <c r="AE69" i="2" s="1"/>
  <c r="AF69" i="2" s="1"/>
  <c r="AG69" i="2" s="1"/>
  <c r="AH69" i="2" s="1"/>
  <c r="AI69" i="2" s="1"/>
  <c r="AJ69" i="2" s="1"/>
  <c r="AK69" i="2" s="1"/>
  <c r="AZ69" i="2"/>
  <c r="AD56" i="2"/>
  <c r="AE56" i="2" s="1"/>
  <c r="AF56" i="2" s="1"/>
  <c r="AG56" i="2" s="1"/>
  <c r="AH56" i="2" s="1"/>
  <c r="AI56" i="2" s="1"/>
  <c r="AJ56" i="2" s="1"/>
  <c r="AK56" i="2" s="1"/>
  <c r="AZ56" i="2"/>
  <c r="H24" i="2"/>
  <c r="H275" i="2"/>
  <c r="AP30" i="2"/>
  <c r="AS30" i="2"/>
  <c r="AN30" i="2"/>
  <c r="AX30" i="2"/>
  <c r="AU30" i="2"/>
  <c r="AO30" i="2"/>
  <c r="AQ30" i="2"/>
  <c r="AY30" i="2"/>
  <c r="AR30" i="2"/>
  <c r="AV30" i="2"/>
  <c r="AW30" i="2"/>
  <c r="AT30" i="2"/>
  <c r="AN70" i="2"/>
  <c r="AW70" i="2"/>
  <c r="AY70" i="2"/>
  <c r="AQ70" i="2"/>
  <c r="AX70" i="2"/>
  <c r="AS70" i="2"/>
  <c r="AV70" i="2"/>
  <c r="AO70" i="2"/>
  <c r="AU70" i="2"/>
  <c r="AR70" i="2"/>
  <c r="AT70" i="2"/>
  <c r="AP70" i="2"/>
  <c r="K67" i="17"/>
  <c r="J162" i="2"/>
  <c r="J268" i="2" s="1"/>
  <c r="J45" i="2" s="1"/>
  <c r="K45" i="2" s="1"/>
  <c r="L45" i="2" s="1"/>
  <c r="M45" i="2" s="1"/>
  <c r="N45" i="2" s="1"/>
  <c r="O45" i="2" s="1"/>
  <c r="P45" i="2" s="1"/>
  <c r="Q45" i="2" s="1"/>
  <c r="E38" i="17"/>
  <c r="E21" i="17" s="1"/>
  <c r="H36" i="17"/>
  <c r="V213" i="2"/>
  <c r="V272" i="2" s="1"/>
  <c r="Z35" i="17"/>
  <c r="J39" i="2"/>
  <c r="K39" i="2" s="1"/>
  <c r="L39" i="2" s="1"/>
  <c r="O21" i="17"/>
  <c r="N215" i="2"/>
  <c r="N274" i="2" s="1"/>
  <c r="S212" i="2"/>
  <c r="T22" i="17"/>
  <c r="AB22" i="17"/>
  <c r="AA212" i="2"/>
  <c r="AB50" i="17"/>
  <c r="P212" i="2"/>
  <c r="Q22" i="17"/>
  <c r="X215" i="2"/>
  <c r="X274" i="2" s="1"/>
  <c r="Y21" i="17"/>
  <c r="Y23" i="17" s="1"/>
  <c r="AI65" i="17"/>
  <c r="AI64" i="17" s="1"/>
  <c r="AL66" i="17"/>
  <c r="AL65" i="17" s="1"/>
  <c r="AL64" i="17" s="1"/>
  <c r="AH127" i="2"/>
  <c r="AE178" i="2"/>
  <c r="AE237" i="2" s="1"/>
  <c r="S177" i="2"/>
  <c r="S236" i="2" s="1"/>
  <c r="V126" i="2"/>
  <c r="AE188" i="2"/>
  <c r="AE247" i="2" s="1"/>
  <c r="AH137" i="2"/>
  <c r="AE167" i="2"/>
  <c r="AE225" i="2" s="1"/>
  <c r="AH115" i="2"/>
  <c r="V141" i="2"/>
  <c r="S192" i="2"/>
  <c r="S251" i="2" s="1"/>
  <c r="AK138" i="2"/>
  <c r="V114" i="2"/>
  <c r="S166" i="2"/>
  <c r="AE169" i="2"/>
  <c r="AE227" i="2" s="1"/>
  <c r="AH117" i="2"/>
  <c r="AH114" i="2"/>
  <c r="AE155" i="2"/>
  <c r="AE166" i="2"/>
  <c r="Y150" i="2"/>
  <c r="V201" i="2"/>
  <c r="V261" i="2" s="1"/>
  <c r="V132" i="2"/>
  <c r="S183" i="2"/>
  <c r="S242" i="2" s="1"/>
  <c r="AH139" i="2"/>
  <c r="AE190" i="2"/>
  <c r="AE249" i="2" s="1"/>
  <c r="I276" i="2"/>
  <c r="AO25" i="2"/>
  <c r="AW25" i="2"/>
  <c r="AV25" i="2"/>
  <c r="AS25" i="2"/>
  <c r="AQ25" i="2"/>
  <c r="AT25" i="2"/>
  <c r="AU25" i="2"/>
  <c r="AX25" i="2"/>
  <c r="AR25" i="2"/>
  <c r="AY25" i="2"/>
  <c r="AN25" i="2"/>
  <c r="AP25" i="2"/>
  <c r="AP54" i="2"/>
  <c r="AX54" i="2"/>
  <c r="AY54" i="2"/>
  <c r="AV54" i="2"/>
  <c r="AU54" i="2"/>
  <c r="AO54" i="2"/>
  <c r="AR54" i="2"/>
  <c r="AN54" i="2"/>
  <c r="AQ54" i="2"/>
  <c r="AS54" i="2"/>
  <c r="AW54" i="2"/>
  <c r="AT54" i="2"/>
  <c r="AX38" i="2"/>
  <c r="AR38" i="2"/>
  <c r="AQ38" i="2"/>
  <c r="AP38" i="2"/>
  <c r="AW38" i="2"/>
  <c r="AU38" i="2"/>
  <c r="AY38" i="2"/>
  <c r="AN38" i="2"/>
  <c r="AS38" i="2"/>
  <c r="AV38" i="2"/>
  <c r="AO38" i="2"/>
  <c r="AT38" i="2"/>
  <c r="AT93" i="2"/>
  <c r="AW93" i="2"/>
  <c r="AV93" i="2"/>
  <c r="AN93" i="2"/>
  <c r="AR93" i="2"/>
  <c r="AQ93" i="2"/>
  <c r="AY93" i="2"/>
  <c r="AX93" i="2"/>
  <c r="AP93" i="2"/>
  <c r="AU93" i="2"/>
  <c r="AS93" i="2"/>
  <c r="AO93" i="2"/>
  <c r="AX55" i="2"/>
  <c r="AV55" i="2"/>
  <c r="AT55" i="2"/>
  <c r="AQ55" i="2"/>
  <c r="AW55" i="2"/>
  <c r="AN55" i="2"/>
  <c r="AR55" i="2"/>
  <c r="AU55" i="2"/>
  <c r="AY55" i="2"/>
  <c r="AO55" i="2"/>
  <c r="AP55" i="2"/>
  <c r="AS55" i="2"/>
  <c r="AY67" i="2"/>
  <c r="AV67" i="2"/>
  <c r="AQ67" i="2"/>
  <c r="AO67" i="2"/>
  <c r="AT67" i="2"/>
  <c r="AX67" i="2"/>
  <c r="AQ50" i="2"/>
  <c r="AN50" i="2"/>
  <c r="AS50" i="2"/>
  <c r="AT50" i="2"/>
  <c r="AY50" i="2"/>
  <c r="AP50" i="2"/>
  <c r="AR50" i="2"/>
  <c r="AU50" i="2"/>
  <c r="AW50" i="2"/>
  <c r="AX50" i="2"/>
  <c r="AO50" i="2"/>
  <c r="AV50" i="2"/>
  <c r="Z36" i="17"/>
  <c r="Z38" i="17" s="1"/>
  <c r="W38" i="17"/>
  <c r="N35" i="17"/>
  <c r="N22" i="17"/>
  <c r="M213" i="2"/>
  <c r="Z28" i="17"/>
  <c r="Z30" i="17" s="1"/>
  <c r="W30" i="17"/>
  <c r="J22" i="17"/>
  <c r="J23" i="17" s="1"/>
  <c r="J50" i="17"/>
  <c r="J59" i="17" s="1"/>
  <c r="Z212" i="2"/>
  <c r="AA50" i="17"/>
  <c r="AA22" i="17"/>
  <c r="AA23" i="17" s="1"/>
  <c r="U212" i="2"/>
  <c r="V22" i="17"/>
  <c r="V23" i="17" s="1"/>
  <c r="V50" i="17"/>
  <c r="R50" i="17"/>
  <c r="R22" i="17"/>
  <c r="R23" i="17" s="1"/>
  <c r="Q212" i="2"/>
  <c r="AI212" i="2"/>
  <c r="AJ50" i="17"/>
  <c r="AJ22" i="17"/>
  <c r="AJ23" i="17" s="1"/>
  <c r="R216" i="2"/>
  <c r="R218" i="2" s="1"/>
  <c r="R219" i="2" s="1"/>
  <c r="R271" i="2"/>
  <c r="R275" i="2" s="1"/>
  <c r="U23" i="17"/>
  <c r="AL68" i="17"/>
  <c r="AH23" i="17"/>
  <c r="AH146" i="2"/>
  <c r="AE197" i="2"/>
  <c r="AE256" i="2" s="1"/>
  <c r="M183" i="2"/>
  <c r="M242" i="2" s="1"/>
  <c r="E98" i="12"/>
  <c r="E70" i="12"/>
  <c r="C70" i="12"/>
  <c r="C98" i="12"/>
  <c r="V128" i="2"/>
  <c r="S179" i="2"/>
  <c r="S238" i="2" s="1"/>
  <c r="J224" i="2"/>
  <c r="Y137" i="2"/>
  <c r="K98" i="2"/>
  <c r="J100" i="2"/>
  <c r="J15" i="2" s="1"/>
  <c r="AK152" i="2"/>
  <c r="AD44" i="2"/>
  <c r="AE44" i="2" s="1"/>
  <c r="AF44" i="2" s="1"/>
  <c r="AG44" i="2" s="1"/>
  <c r="AH44" i="2" s="1"/>
  <c r="AI44" i="2" s="1"/>
  <c r="AJ44" i="2" s="1"/>
  <c r="AK44" i="2" s="1"/>
  <c r="AZ44" i="2"/>
  <c r="AS42" i="2"/>
  <c r="AN42" i="2"/>
  <c r="AW42" i="2"/>
  <c r="AT42" i="2"/>
  <c r="AR42" i="2"/>
  <c r="AP42" i="2"/>
  <c r="T40" i="17"/>
  <c r="Q42" i="17"/>
  <c r="Q44" i="17" s="1"/>
  <c r="P215" i="2" s="1"/>
  <c r="P274" i="2" s="1"/>
  <c r="AC36" i="17"/>
  <c r="E42" i="14"/>
  <c r="D54" i="14"/>
  <c r="D26" i="14"/>
  <c r="D21" i="14" s="1"/>
  <c r="N31" i="17"/>
  <c r="E34" i="14"/>
  <c r="AD28" i="17"/>
  <c r="AC28" i="17"/>
  <c r="P22" i="17"/>
  <c r="P23" i="17" s="1"/>
  <c r="P50" i="17"/>
  <c r="O212" i="2"/>
  <c r="AG50" i="17"/>
  <c r="AG22" i="17"/>
  <c r="AG23" i="17" s="1"/>
  <c r="AF212" i="2"/>
  <c r="F22" i="17"/>
  <c r="F23" i="17" s="1"/>
  <c r="F50" i="17"/>
  <c r="F59" i="17" s="1"/>
  <c r="O50" i="17"/>
  <c r="N212" i="2"/>
  <c r="O22" i="17"/>
  <c r="E22" i="17"/>
  <c r="H22" i="17"/>
  <c r="I23" i="2"/>
  <c r="AJ271" i="2"/>
  <c r="AJ216" i="2"/>
  <c r="M192" i="2"/>
  <c r="M251" i="2" s="1"/>
  <c r="M63" i="2" s="1"/>
  <c r="N63" i="2" s="1"/>
  <c r="O63" i="2" s="1"/>
  <c r="P63" i="2" s="1"/>
  <c r="Q63" i="2" s="1"/>
  <c r="AB23" i="17"/>
  <c r="P75" i="2"/>
  <c r="Q75" i="2" s="1"/>
  <c r="P71" i="2"/>
  <c r="Q71" i="2" s="1"/>
  <c r="V119" i="2"/>
  <c r="S171" i="2"/>
  <c r="S229" i="2" s="1"/>
  <c r="G23" i="17"/>
  <c r="J180" i="2"/>
  <c r="M129" i="2"/>
  <c r="M191" i="2"/>
  <c r="M250" i="2" s="1"/>
  <c r="M62" i="2" s="1"/>
  <c r="N62" i="2" s="1"/>
  <c r="O62" i="2" s="1"/>
  <c r="P62" i="2" s="1"/>
  <c r="Q62" i="2" s="1"/>
  <c r="V148" i="2"/>
  <c r="S199" i="2"/>
  <c r="S258" i="2" s="1"/>
  <c r="J155" i="2"/>
  <c r="M198" i="2"/>
  <c r="M257" i="2" s="1"/>
  <c r="M74" i="2" s="1"/>
  <c r="N74" i="2" s="1"/>
  <c r="O74" i="2" s="1"/>
  <c r="P74" i="2" s="1"/>
  <c r="Q74" i="2" s="1"/>
  <c r="V130" i="2"/>
  <c r="S181" i="2"/>
  <c r="S240" i="2" s="1"/>
  <c r="AB205" i="2"/>
  <c r="AB207" i="2" s="1"/>
  <c r="AB210" i="2" s="1"/>
  <c r="AB156" i="2" s="1"/>
  <c r="AB157" i="2" s="1"/>
  <c r="AB159" i="2" s="1"/>
  <c r="AB164" i="2" s="1"/>
  <c r="AE177" i="2"/>
  <c r="AE236" i="2" s="1"/>
  <c r="AH126" i="2"/>
  <c r="AE199" i="2"/>
  <c r="AE258" i="2" s="1"/>
  <c r="AH148" i="2"/>
  <c r="AH269" i="2"/>
  <c r="AK208" i="2"/>
  <c r="AK269" i="2" s="1"/>
  <c r="V147" i="2"/>
  <c r="S198" i="2"/>
  <c r="S257" i="2" s="1"/>
  <c r="M177" i="2"/>
  <c r="M236" i="2" s="1"/>
  <c r="AQ90" i="2"/>
  <c r="AS90" i="2"/>
  <c r="AV90" i="2"/>
  <c r="AN90" i="2"/>
  <c r="AY90" i="2"/>
  <c r="AT90" i="2"/>
  <c r="AR90" i="2"/>
  <c r="AO90" i="2"/>
  <c r="AP90" i="2"/>
  <c r="AU90" i="2"/>
  <c r="AW90" i="2"/>
  <c r="AX90" i="2"/>
  <c r="AY92" i="2"/>
  <c r="AP92" i="2"/>
  <c r="AN92" i="2"/>
  <c r="AO92" i="2"/>
  <c r="AR92" i="2"/>
  <c r="AX92" i="2"/>
  <c r="AU92" i="2"/>
  <c r="AV92" i="2"/>
  <c r="AT92" i="2"/>
  <c r="AQ92" i="2"/>
  <c r="AW92" i="2"/>
  <c r="AS92" i="2"/>
  <c r="M106" i="2"/>
  <c r="AQ68" i="2"/>
  <c r="AY68" i="2"/>
  <c r="AX68" i="2"/>
  <c r="AO68" i="2"/>
  <c r="AS68" i="2"/>
  <c r="AV68" i="2"/>
  <c r="AT68" i="2"/>
  <c r="AW68" i="2"/>
  <c r="AN68" i="2"/>
  <c r="AR68" i="2"/>
  <c r="AU68" i="2"/>
  <c r="AP68" i="2"/>
  <c r="AY85" i="2"/>
  <c r="AS85" i="2"/>
  <c r="AP85" i="2"/>
  <c r="AT85" i="2"/>
  <c r="AO85" i="2"/>
  <c r="AX85" i="2"/>
  <c r="AV85" i="2"/>
  <c r="AQ85" i="2"/>
  <c r="AR85" i="2"/>
  <c r="AN85" i="2"/>
  <c r="AW85" i="2"/>
  <c r="AU85" i="2"/>
  <c r="AY33" i="2"/>
  <c r="AW33" i="2"/>
  <c r="AX33" i="2"/>
  <c r="AT33" i="2"/>
  <c r="AS33" i="2"/>
  <c r="AR33" i="2"/>
  <c r="AV33" i="2"/>
  <c r="AN33" i="2"/>
  <c r="AQ33" i="2"/>
  <c r="AO33" i="2"/>
  <c r="AU33" i="2"/>
  <c r="AP33" i="2"/>
  <c r="V191" i="2"/>
  <c r="V250" i="2"/>
  <c r="Y140" i="2"/>
  <c r="AG212" i="2"/>
  <c r="AH50" i="17"/>
  <c r="AH22" i="17"/>
  <c r="M50" i="17"/>
  <c r="M59" i="17" s="1"/>
  <c r="M22" i="17"/>
  <c r="X22" i="17"/>
  <c r="X23" i="17" s="1"/>
  <c r="W212" i="2"/>
  <c r="X50" i="17"/>
  <c r="C50" i="17"/>
  <c r="C59" i="17" s="1"/>
  <c r="C22" i="17"/>
  <c r="C23" i="17" s="1"/>
  <c r="X212" i="2"/>
  <c r="Y22" i="17"/>
  <c r="Y50" i="17"/>
  <c r="D98" i="12"/>
  <c r="D70" i="12"/>
  <c r="S196" i="2"/>
  <c r="S255" i="2" s="1"/>
  <c r="V145" i="2"/>
  <c r="V142" i="2"/>
  <c r="S193" i="2"/>
  <c r="S252" i="2" s="1"/>
  <c r="AE171" i="2"/>
  <c r="AE229" i="2" s="1"/>
  <c r="AH119" i="2"/>
  <c r="AD271" i="2"/>
  <c r="AD275" i="2" s="1"/>
  <c r="AD216" i="2"/>
  <c r="AD218" i="2" s="1"/>
  <c r="AD219" i="2" s="1"/>
  <c r="AH133" i="2"/>
  <c r="AE184" i="2"/>
  <c r="AE243" i="2" s="1"/>
  <c r="AH143" i="2"/>
  <c r="AE194" i="2"/>
  <c r="AE253" i="2" s="1"/>
  <c r="M170" i="2"/>
  <c r="M228" i="2"/>
  <c r="M27" i="2" s="1"/>
  <c r="N27" i="2" s="1"/>
  <c r="O27" i="2" s="1"/>
  <c r="P27" i="2" s="1"/>
  <c r="Q27" i="2" s="1"/>
  <c r="C25" i="14"/>
  <c r="W67" i="17"/>
  <c r="V162" i="2"/>
  <c r="D27" i="14"/>
  <c r="D28" i="14" s="1"/>
  <c r="AL45" i="17"/>
  <c r="AC215" i="2"/>
  <c r="AC274" i="2" s="1"/>
  <c r="M23" i="17"/>
  <c r="AM46" i="2"/>
  <c r="P51" i="2"/>
  <c r="Q51" i="2" s="1"/>
  <c r="K22" i="17"/>
  <c r="J212" i="2"/>
  <c r="R31" i="2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M31" i="2"/>
  <c r="J52" i="2"/>
  <c r="K52" i="2" s="1"/>
  <c r="L52" i="2" s="1"/>
  <c r="AZ99" i="2"/>
  <c r="AD99" i="2"/>
  <c r="AE99" i="2" s="1"/>
  <c r="AF99" i="2" s="1"/>
  <c r="AG99" i="2" s="1"/>
  <c r="AH99" i="2" s="1"/>
  <c r="AI99" i="2" s="1"/>
  <c r="AJ99" i="2" s="1"/>
  <c r="AK99" i="2" s="1"/>
  <c r="M175" i="2"/>
  <c r="M234" i="2" s="1"/>
  <c r="M32" i="2" s="1"/>
  <c r="N32" i="2" s="1"/>
  <c r="O32" i="2" s="1"/>
  <c r="P32" i="2" s="1"/>
  <c r="Q32" i="2" s="1"/>
  <c r="V151" i="2"/>
  <c r="S202" i="2"/>
  <c r="S262" i="2" s="1"/>
  <c r="M172" i="2"/>
  <c r="M230" i="2" s="1"/>
  <c r="M29" i="2" s="1"/>
  <c r="N29" i="2" s="1"/>
  <c r="O29" i="2" s="1"/>
  <c r="P29" i="2" s="1"/>
  <c r="Q29" i="2" s="1"/>
  <c r="M166" i="2"/>
  <c r="M224" i="2" s="1"/>
  <c r="S203" i="2"/>
  <c r="S263" i="2" s="1"/>
  <c r="V152" i="2"/>
  <c r="Y204" i="2"/>
  <c r="Y265" i="2" s="1"/>
  <c r="V265" i="2"/>
  <c r="AC267" i="2"/>
  <c r="AF161" i="2"/>
  <c r="AC164" i="2"/>
  <c r="P174" i="2"/>
  <c r="P232" i="2" s="1"/>
  <c r="S122" i="2"/>
  <c r="S155" i="2" s="1"/>
  <c r="P155" i="2"/>
  <c r="V120" i="2"/>
  <c r="S172" i="2"/>
  <c r="S230" i="2" s="1"/>
  <c r="M179" i="2"/>
  <c r="M238" i="2" s="1"/>
  <c r="M43" i="2" s="1"/>
  <c r="N43" i="2" s="1"/>
  <c r="O43" i="2" s="1"/>
  <c r="P43" i="2" s="1"/>
  <c r="Q43" i="2" s="1"/>
  <c r="V186" i="2"/>
  <c r="V245" i="2" s="1"/>
  <c r="Y135" i="2"/>
  <c r="AP48" i="2"/>
  <c r="AR48" i="2"/>
  <c r="AY48" i="2"/>
  <c r="AO48" i="2"/>
  <c r="AQ48" i="2"/>
  <c r="AT48" i="2"/>
  <c r="AX48" i="2"/>
  <c r="AS48" i="2"/>
  <c r="AV48" i="2"/>
  <c r="AW48" i="2"/>
  <c r="AU48" i="2"/>
  <c r="AN48" i="2"/>
  <c r="AN94" i="2"/>
  <c r="AY94" i="2"/>
  <c r="AW94" i="2"/>
  <c r="AR94" i="2"/>
  <c r="AX94" i="2"/>
  <c r="AU94" i="2"/>
  <c r="AO94" i="2"/>
  <c r="AV94" i="2"/>
  <c r="AP94" i="2"/>
  <c r="AQ94" i="2"/>
  <c r="AS94" i="2"/>
  <c r="AT94" i="2"/>
  <c r="P88" i="2"/>
  <c r="Q88" i="2" s="1"/>
  <c r="AH124" i="2"/>
  <c r="AE175" i="2"/>
  <c r="AE234" i="2" s="1"/>
  <c r="M186" i="2"/>
  <c r="M245" i="2" s="1"/>
  <c r="M58" i="2" s="1"/>
  <c r="N58" i="2" s="1"/>
  <c r="O58" i="2" s="1"/>
  <c r="P58" i="2" s="1"/>
  <c r="Q58" i="2" s="1"/>
  <c r="S168" i="2"/>
  <c r="S226" i="2" s="1"/>
  <c r="V116" i="2"/>
  <c r="AD66" i="2"/>
  <c r="AE66" i="2" s="1"/>
  <c r="AF66" i="2" s="1"/>
  <c r="AG66" i="2" s="1"/>
  <c r="AH66" i="2" s="1"/>
  <c r="AI66" i="2" s="1"/>
  <c r="AJ66" i="2" s="1"/>
  <c r="AK66" i="2" s="1"/>
  <c r="AZ66" i="2"/>
  <c r="AN40" i="2"/>
  <c r="AU40" i="2"/>
  <c r="AY40" i="2"/>
  <c r="AR40" i="2"/>
  <c r="AW40" i="2"/>
  <c r="AO40" i="2"/>
  <c r="AQ40" i="2"/>
  <c r="AX40" i="2"/>
  <c r="AS40" i="2"/>
  <c r="AT40" i="2"/>
  <c r="AP40" i="2"/>
  <c r="AV40" i="2"/>
  <c r="AQ78" i="2"/>
  <c r="AP78" i="2"/>
  <c r="AW78" i="2"/>
  <c r="AU78" i="2"/>
  <c r="AN78" i="2"/>
  <c r="AO78" i="2"/>
  <c r="AT78" i="2"/>
  <c r="AY78" i="2"/>
  <c r="AX78" i="2"/>
  <c r="AV78" i="2"/>
  <c r="AS78" i="2"/>
  <c r="AR78" i="2"/>
  <c r="AZ53" i="2"/>
  <c r="AD53" i="2"/>
  <c r="AE53" i="2" s="1"/>
  <c r="AF53" i="2" s="1"/>
  <c r="AG53" i="2" s="1"/>
  <c r="AH53" i="2" s="1"/>
  <c r="AI53" i="2" s="1"/>
  <c r="AJ53" i="2" s="1"/>
  <c r="AK53" i="2" s="1"/>
  <c r="N45" i="17"/>
  <c r="T216" i="2"/>
  <c r="T218" i="2" s="1"/>
  <c r="T219" i="2" s="1"/>
  <c r="T271" i="2"/>
  <c r="T275" i="2" s="1"/>
  <c r="AH170" i="2"/>
  <c r="AH228" i="2" s="1"/>
  <c r="AK118" i="2"/>
  <c r="AN35" i="2"/>
  <c r="AW35" i="2"/>
  <c r="AQ35" i="2"/>
  <c r="AY35" i="2"/>
  <c r="AX35" i="2"/>
  <c r="AO35" i="2"/>
  <c r="AV42" i="2" l="1"/>
  <c r="AX42" i="2"/>
  <c r="AO42" i="2"/>
  <c r="AU67" i="2"/>
  <c r="AS67" i="2"/>
  <c r="AW67" i="2"/>
  <c r="BA34" i="2"/>
  <c r="J205" i="2"/>
  <c r="J207" i="2" s="1"/>
  <c r="J210" i="2" s="1"/>
  <c r="J156" i="2" s="1"/>
  <c r="AU42" i="2"/>
  <c r="AQ42" i="2"/>
  <c r="BA42" i="2" s="1"/>
  <c r="AR67" i="2"/>
  <c r="AN67" i="2"/>
  <c r="BA67" i="2" s="1"/>
  <c r="M37" i="2"/>
  <c r="N37" i="2" s="1"/>
  <c r="O37" i="2" s="1"/>
  <c r="P37" i="2" s="1"/>
  <c r="Q37" i="2" s="1"/>
  <c r="S73" i="2"/>
  <c r="T73" i="2" s="1"/>
  <c r="U73" i="2" s="1"/>
  <c r="V73" i="2" s="1"/>
  <c r="W73" i="2" s="1"/>
  <c r="X73" i="2" s="1"/>
  <c r="Y73" i="2" s="1"/>
  <c r="Z73" i="2" s="1"/>
  <c r="AA73" i="2" s="1"/>
  <c r="AB73" i="2" s="1"/>
  <c r="AC73" i="2" s="1"/>
  <c r="R72" i="2"/>
  <c r="AM72" i="2"/>
  <c r="R61" i="2"/>
  <c r="AM81" i="2"/>
  <c r="M83" i="2"/>
  <c r="N83" i="2" s="1"/>
  <c r="O83" i="2" s="1"/>
  <c r="P83" i="2" s="1"/>
  <c r="Q83" i="2" s="1"/>
  <c r="AM83" i="2" s="1"/>
  <c r="R26" i="2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M26" i="2"/>
  <c r="AM73" i="2"/>
  <c r="H276" i="2"/>
  <c r="R41" i="2"/>
  <c r="S41" i="2" s="1"/>
  <c r="T41" i="2" s="1"/>
  <c r="U41" i="2" s="1"/>
  <c r="S46" i="2"/>
  <c r="T46" i="2" s="1"/>
  <c r="U46" i="2" s="1"/>
  <c r="M155" i="2"/>
  <c r="N106" i="2"/>
  <c r="O106" i="2" s="1"/>
  <c r="R65" i="2"/>
  <c r="BA86" i="2"/>
  <c r="AG265" i="2"/>
  <c r="AJ204" i="2"/>
  <c r="BA77" i="2"/>
  <c r="AM89" i="2"/>
  <c r="AK150" i="2"/>
  <c r="AH201" i="2"/>
  <c r="AH261" i="2" s="1"/>
  <c r="S65" i="2"/>
  <c r="T65" i="2" s="1"/>
  <c r="U65" i="2" s="1"/>
  <c r="T276" i="2"/>
  <c r="AP35" i="2"/>
  <c r="AT35" i="2"/>
  <c r="AU35" i="2"/>
  <c r="AO47" i="2"/>
  <c r="AT47" i="2"/>
  <c r="AS47" i="2"/>
  <c r="AU47" i="2"/>
  <c r="AW47" i="2"/>
  <c r="AY47" i="2"/>
  <c r="AX47" i="2"/>
  <c r="AQ47" i="2"/>
  <c r="AP47" i="2"/>
  <c r="AN47" i="2"/>
  <c r="AR47" i="2"/>
  <c r="AK144" i="2"/>
  <c r="AK195" i="2" s="1"/>
  <c r="AK254" i="2" s="1"/>
  <c r="AH195" i="2"/>
  <c r="AH254" i="2" s="1"/>
  <c r="AH186" i="2"/>
  <c r="AH245" i="2" s="1"/>
  <c r="AK135" i="2"/>
  <c r="AZ64" i="2"/>
  <c r="AD64" i="2"/>
  <c r="AE64" i="2" s="1"/>
  <c r="AF64" i="2" s="1"/>
  <c r="AG64" i="2" s="1"/>
  <c r="AH64" i="2" s="1"/>
  <c r="AI64" i="2" s="1"/>
  <c r="AJ64" i="2" s="1"/>
  <c r="AK64" i="2" s="1"/>
  <c r="AV35" i="2"/>
  <c r="AR35" i="2"/>
  <c r="S61" i="2"/>
  <c r="T61" i="2" s="1"/>
  <c r="U61" i="2" s="1"/>
  <c r="S82" i="2"/>
  <c r="T82" i="2" s="1"/>
  <c r="U82" i="2" s="1"/>
  <c r="V82" i="2" s="1"/>
  <c r="W82" i="2" s="1"/>
  <c r="X82" i="2" s="1"/>
  <c r="Y82" i="2" s="1"/>
  <c r="Z82" i="2" s="1"/>
  <c r="AA82" i="2" s="1"/>
  <c r="AB82" i="2" s="1"/>
  <c r="AC82" i="2" s="1"/>
  <c r="S60" i="2"/>
  <c r="T60" i="2" s="1"/>
  <c r="U60" i="2" s="1"/>
  <c r="AV47" i="2"/>
  <c r="R59" i="2"/>
  <c r="S59" i="2" s="1"/>
  <c r="T59" i="2" s="1"/>
  <c r="U59" i="2" s="1"/>
  <c r="V59" i="2" s="1"/>
  <c r="W59" i="2" s="1"/>
  <c r="X59" i="2" s="1"/>
  <c r="AM59" i="2"/>
  <c r="AM57" i="2"/>
  <c r="R57" i="2"/>
  <c r="S57" i="2" s="1"/>
  <c r="T57" i="2" s="1"/>
  <c r="U57" i="2" s="1"/>
  <c r="R37" i="2"/>
  <c r="S37" i="2" s="1"/>
  <c r="T37" i="2" s="1"/>
  <c r="U37" i="2" s="1"/>
  <c r="AM37" i="2"/>
  <c r="AK204" i="2"/>
  <c r="AK265" i="2" s="1"/>
  <c r="AH265" i="2"/>
  <c r="J239" i="2"/>
  <c r="J49" i="2" s="1"/>
  <c r="K49" i="2" s="1"/>
  <c r="L49" i="2" s="1"/>
  <c r="BA70" i="2"/>
  <c r="AM60" i="2"/>
  <c r="Y208" i="2"/>
  <c r="Y269" i="2" s="1"/>
  <c r="Y268" i="2" s="1"/>
  <c r="V269" i="2"/>
  <c r="V268" i="2" s="1"/>
  <c r="S259" i="2"/>
  <c r="V153" i="2"/>
  <c r="Y118" i="2"/>
  <c r="V170" i="2"/>
  <c r="V228" i="2" s="1"/>
  <c r="Y124" i="2"/>
  <c r="V175" i="2"/>
  <c r="V234" i="2" s="1"/>
  <c r="AK196" i="2"/>
  <c r="AK255" i="2" s="1"/>
  <c r="Y195" i="2"/>
  <c r="Y254" i="2" s="1"/>
  <c r="V194" i="2"/>
  <c r="V253" i="2" s="1"/>
  <c r="Y143" i="2"/>
  <c r="AH180" i="2"/>
  <c r="AH239" i="2" s="1"/>
  <c r="AK129" i="2"/>
  <c r="AK180" i="2" s="1"/>
  <c r="AK239" i="2" s="1"/>
  <c r="AK142" i="2"/>
  <c r="AH193" i="2"/>
  <c r="AH252" i="2" s="1"/>
  <c r="AK153" i="2"/>
  <c r="AK259" i="2" s="1"/>
  <c r="AH259" i="2"/>
  <c r="Y167" i="2"/>
  <c r="Y225" i="2" s="1"/>
  <c r="AH183" i="2"/>
  <c r="AH242" i="2" s="1"/>
  <c r="AK132" i="2"/>
  <c r="V187" i="2"/>
  <c r="V246" i="2" s="1"/>
  <c r="Y136" i="2"/>
  <c r="Y173" i="2"/>
  <c r="Y231" i="2" s="1"/>
  <c r="AK125" i="2"/>
  <c r="AH176" i="2"/>
  <c r="AH235" i="2" s="1"/>
  <c r="BA38" i="2"/>
  <c r="V185" i="2"/>
  <c r="V244" i="2" s="1"/>
  <c r="Y134" i="2"/>
  <c r="AH168" i="2"/>
  <c r="AH226" i="2" s="1"/>
  <c r="AK116" i="2"/>
  <c r="AK140" i="2"/>
  <c r="AH191" i="2"/>
  <c r="AH250" i="2" s="1"/>
  <c r="AK179" i="2"/>
  <c r="AK238" i="2" s="1"/>
  <c r="AK173" i="2"/>
  <c r="AK231" i="2" s="1"/>
  <c r="V81" i="2"/>
  <c r="W81" i="2" s="1"/>
  <c r="X81" i="2" s="1"/>
  <c r="Y81" i="2" s="1"/>
  <c r="Z81" i="2" s="1"/>
  <c r="AA81" i="2" s="1"/>
  <c r="AB81" i="2" s="1"/>
  <c r="AC81" i="2" s="1"/>
  <c r="AZ81" i="2" s="1"/>
  <c r="AK136" i="2"/>
  <c r="AH187" i="2"/>
  <c r="AH246" i="2" s="1"/>
  <c r="AH172" i="2"/>
  <c r="AH230" i="2" s="1"/>
  <c r="AK120" i="2"/>
  <c r="P80" i="2"/>
  <c r="Q80" i="2" s="1"/>
  <c r="Y184" i="2"/>
  <c r="Y243" i="2" s="1"/>
  <c r="Y138" i="2"/>
  <c r="Y189" i="2" s="1"/>
  <c r="Y248" i="2" s="1"/>
  <c r="V189" i="2"/>
  <c r="V248" i="2" s="1"/>
  <c r="V182" i="2"/>
  <c r="V241" i="2" s="1"/>
  <c r="Y131" i="2"/>
  <c r="V190" i="2"/>
  <c r="V249" i="2" s="1"/>
  <c r="Y139" i="2"/>
  <c r="V178" i="2"/>
  <c r="V237" i="2" s="1"/>
  <c r="Y127" i="2"/>
  <c r="P36" i="2"/>
  <c r="Q36" i="2" s="1"/>
  <c r="AM58" i="2"/>
  <c r="R58" i="2"/>
  <c r="S58" i="2" s="1"/>
  <c r="T58" i="2" s="1"/>
  <c r="U58" i="2" s="1"/>
  <c r="V58" i="2" s="1"/>
  <c r="W58" i="2" s="1"/>
  <c r="X58" i="2" s="1"/>
  <c r="AM43" i="2"/>
  <c r="R43" i="2"/>
  <c r="S43" i="2" s="1"/>
  <c r="T43" i="2" s="1"/>
  <c r="U43" i="2" s="1"/>
  <c r="R29" i="2"/>
  <c r="S29" i="2" s="1"/>
  <c r="T29" i="2" s="1"/>
  <c r="U29" i="2" s="1"/>
  <c r="AM29" i="2"/>
  <c r="R32" i="2"/>
  <c r="S32" i="2" s="1"/>
  <c r="T32" i="2" s="1"/>
  <c r="U32" i="2" s="1"/>
  <c r="AM32" i="2"/>
  <c r="AM62" i="2"/>
  <c r="R62" i="2"/>
  <c r="S62" i="2" s="1"/>
  <c r="T62" i="2" s="1"/>
  <c r="U62" i="2" s="1"/>
  <c r="V62" i="2" s="1"/>
  <c r="W62" i="2" s="1"/>
  <c r="X62" i="2" s="1"/>
  <c r="R27" i="2"/>
  <c r="S27" i="2" s="1"/>
  <c r="T27" i="2" s="1"/>
  <c r="U27" i="2" s="1"/>
  <c r="AM27" i="2"/>
  <c r="AM74" i="2"/>
  <c r="R74" i="2"/>
  <c r="S74" i="2" s="1"/>
  <c r="T74" i="2" s="1"/>
  <c r="U74" i="2" s="1"/>
  <c r="AS66" i="2"/>
  <c r="AN66" i="2"/>
  <c r="AT66" i="2"/>
  <c r="AQ66" i="2"/>
  <c r="AU66" i="2"/>
  <c r="AV66" i="2"/>
  <c r="AY66" i="2"/>
  <c r="AP66" i="2"/>
  <c r="AW66" i="2"/>
  <c r="AR66" i="2"/>
  <c r="AO66" i="2"/>
  <c r="AX66" i="2"/>
  <c r="BA94" i="2"/>
  <c r="Y120" i="2"/>
  <c r="V172" i="2"/>
  <c r="V230" i="2" s="1"/>
  <c r="J271" i="2"/>
  <c r="J103" i="2" s="1"/>
  <c r="C20" i="14"/>
  <c r="C27" i="14"/>
  <c r="C28" i="14" s="1"/>
  <c r="AK133" i="2"/>
  <c r="AH184" i="2"/>
  <c r="AH243" i="2" s="1"/>
  <c r="D81" i="12"/>
  <c r="D90" i="12" s="1"/>
  <c r="D93" i="12" s="1"/>
  <c r="D95" i="12" s="1"/>
  <c r="Y191" i="2"/>
  <c r="Y250" i="2" s="1"/>
  <c r="AK126" i="2"/>
  <c r="AH177" i="2"/>
  <c r="AH236" i="2" s="1"/>
  <c r="C81" i="12"/>
  <c r="C90" i="12" s="1"/>
  <c r="C93" i="12" s="1"/>
  <c r="C95" i="12" s="1"/>
  <c r="AK146" i="2"/>
  <c r="AH197" i="2"/>
  <c r="AH256" i="2" s="1"/>
  <c r="Q271" i="2"/>
  <c r="Q275" i="2" s="1"/>
  <c r="Q216" i="2"/>
  <c r="Q218" i="2" s="1"/>
  <c r="Q219" i="2" s="1"/>
  <c r="Z271" i="2"/>
  <c r="Z275" i="2" s="1"/>
  <c r="Z216" i="2"/>
  <c r="Z218" i="2" s="1"/>
  <c r="Z219" i="2" s="1"/>
  <c r="V212" i="2"/>
  <c r="W22" i="17"/>
  <c r="AH162" i="2"/>
  <c r="AH268" i="2" s="1"/>
  <c r="AI67" i="17"/>
  <c r="M39" i="2"/>
  <c r="N39" i="2" s="1"/>
  <c r="O39" i="2" s="1"/>
  <c r="P39" i="2" s="1"/>
  <c r="Q39" i="2" s="1"/>
  <c r="E23" i="17"/>
  <c r="BA30" i="2"/>
  <c r="S28" i="2"/>
  <c r="T28" i="2" s="1"/>
  <c r="U28" i="2" s="1"/>
  <c r="BA48" i="2"/>
  <c r="AZ31" i="2"/>
  <c r="AD31" i="2"/>
  <c r="AE31" i="2" s="1"/>
  <c r="AF31" i="2" s="1"/>
  <c r="AG31" i="2" s="1"/>
  <c r="AH31" i="2" s="1"/>
  <c r="AI31" i="2" s="1"/>
  <c r="AJ31" i="2" s="1"/>
  <c r="AK31" i="2" s="1"/>
  <c r="AK143" i="2"/>
  <c r="AH194" i="2"/>
  <c r="AH253" i="2" s="1"/>
  <c r="D114" i="12"/>
  <c r="D116" i="12" s="1"/>
  <c r="D118" i="12" s="1"/>
  <c r="AG216" i="2"/>
  <c r="AG218" i="2" s="1"/>
  <c r="AG219" i="2" s="1"/>
  <c r="AG271" i="2"/>
  <c r="AG275" i="2" s="1"/>
  <c r="BA85" i="2"/>
  <c r="AH199" i="2"/>
  <c r="AH258" i="2" s="1"/>
  <c r="AK148" i="2"/>
  <c r="J157" i="2"/>
  <c r="J159" i="2" s="1"/>
  <c r="J164" i="2" s="1"/>
  <c r="U216" i="2"/>
  <c r="U218" i="2" s="1"/>
  <c r="U219" i="2" s="1"/>
  <c r="U271" i="2"/>
  <c r="U275" i="2" s="1"/>
  <c r="BA93" i="2"/>
  <c r="V183" i="2"/>
  <c r="V242" i="2" s="1"/>
  <c r="Y132" i="2"/>
  <c r="AE205" i="2"/>
  <c r="AE207" i="2" s="1"/>
  <c r="AE210" i="2" s="1"/>
  <c r="AE156" i="2" s="1"/>
  <c r="AE157" i="2" s="1"/>
  <c r="AE159" i="2" s="1"/>
  <c r="AE164" i="2" s="1"/>
  <c r="AH169" i="2"/>
  <c r="AH227" i="2" s="1"/>
  <c r="AK117" i="2"/>
  <c r="P271" i="2"/>
  <c r="AA216" i="2"/>
  <c r="AA218" i="2" s="1"/>
  <c r="AA219" i="2" s="1"/>
  <c r="AA271" i="2"/>
  <c r="AA275" i="2" s="1"/>
  <c r="S271" i="2"/>
  <c r="I24" i="2"/>
  <c r="J24" i="2" s="1"/>
  <c r="K24" i="2" s="1"/>
  <c r="L24" i="2" s="1"/>
  <c r="M24" i="2" s="1"/>
  <c r="N24" i="2" s="1"/>
  <c r="O24" i="2" s="1"/>
  <c r="P24" i="2" s="1"/>
  <c r="Q24" i="2" s="1"/>
  <c r="H95" i="2"/>
  <c r="E58" i="14"/>
  <c r="AZ84" i="2"/>
  <c r="AD84" i="2"/>
  <c r="AE84" i="2" s="1"/>
  <c r="AF84" i="2" s="1"/>
  <c r="AG84" i="2" s="1"/>
  <c r="AH84" i="2" s="1"/>
  <c r="AI84" i="2" s="1"/>
  <c r="AJ84" i="2" s="1"/>
  <c r="AK84" i="2" s="1"/>
  <c r="BA68" i="2"/>
  <c r="V198" i="2"/>
  <c r="V257" i="2" s="1"/>
  <c r="Y147" i="2"/>
  <c r="V181" i="2"/>
  <c r="V240" i="2"/>
  <c r="Y130" i="2"/>
  <c r="AM63" i="2"/>
  <c r="R63" i="2"/>
  <c r="S63" i="2" s="1"/>
  <c r="T63" i="2" s="1"/>
  <c r="U63" i="2" s="1"/>
  <c r="N271" i="2"/>
  <c r="N275" i="2" s="1"/>
  <c r="N216" i="2"/>
  <c r="N218" i="2" s="1"/>
  <c r="N219" i="2" s="1"/>
  <c r="AD36" i="17"/>
  <c r="AD38" i="17" s="1"/>
  <c r="AD30" i="17"/>
  <c r="E114" i="12"/>
  <c r="E116" i="12" s="1"/>
  <c r="E118" i="12" s="1"/>
  <c r="BA40" i="2"/>
  <c r="V122" i="2"/>
  <c r="S174" i="2"/>
  <c r="S205" i="2" s="1"/>
  <c r="S207" i="2" s="1"/>
  <c r="S210" i="2" s="1"/>
  <c r="S156" i="2" s="1"/>
  <c r="S157" i="2" s="1"/>
  <c r="S159" i="2" s="1"/>
  <c r="S164" i="2" s="1"/>
  <c r="AF267" i="2"/>
  <c r="AF164" i="2"/>
  <c r="AI161" i="2"/>
  <c r="Y152" i="2"/>
  <c r="V203" i="2"/>
  <c r="V263" i="2" s="1"/>
  <c r="M52" i="2"/>
  <c r="N52" i="2" s="1"/>
  <c r="O52" i="2" s="1"/>
  <c r="P52" i="2" s="1"/>
  <c r="Q52" i="2" s="1"/>
  <c r="AH171" i="2"/>
  <c r="AH229" i="2" s="1"/>
  <c r="AK119" i="2"/>
  <c r="V193" i="2"/>
  <c r="V252" i="2" s="1"/>
  <c r="Y142" i="2"/>
  <c r="X271" i="2"/>
  <c r="X275" i="2" s="1"/>
  <c r="X216" i="2"/>
  <c r="X218" i="2" s="1"/>
  <c r="X219" i="2" s="1"/>
  <c r="W271" i="2"/>
  <c r="W275" i="2" s="1"/>
  <c r="W216" i="2"/>
  <c r="W218" i="2" s="1"/>
  <c r="W219" i="2" s="1"/>
  <c r="BA33" i="2"/>
  <c r="P106" i="2"/>
  <c r="Q106" i="2" s="1"/>
  <c r="BA92" i="2"/>
  <c r="Y148" i="2"/>
  <c r="V199" i="2"/>
  <c r="V258" i="2" s="1"/>
  <c r="M180" i="2"/>
  <c r="M239" i="2" s="1"/>
  <c r="V171" i="2"/>
  <c r="V229" i="2" s="1"/>
  <c r="Y119" i="2"/>
  <c r="R75" i="2"/>
  <c r="S75" i="2" s="1"/>
  <c r="T75" i="2" s="1"/>
  <c r="U75" i="2" s="1"/>
  <c r="AM75" i="2"/>
  <c r="J23" i="2"/>
  <c r="K23" i="2" s="1"/>
  <c r="L23" i="2" s="1"/>
  <c r="M23" i="2" s="1"/>
  <c r="N23" i="2" s="1"/>
  <c r="O23" i="2" s="1"/>
  <c r="P23" i="2" s="1"/>
  <c r="Q23" i="2" s="1"/>
  <c r="E50" i="17"/>
  <c r="E59" i="17" s="1"/>
  <c r="E26" i="14"/>
  <c r="E21" i="14" s="1"/>
  <c r="E54" i="14"/>
  <c r="W40" i="17"/>
  <c r="T42" i="17"/>
  <c r="T44" i="17" s="1"/>
  <c r="K100" i="2"/>
  <c r="K15" i="2" s="1"/>
  <c r="L98" i="2"/>
  <c r="J22" i="2"/>
  <c r="C114" i="12"/>
  <c r="C116" i="12" s="1"/>
  <c r="C118" i="12" s="1"/>
  <c r="P205" i="2"/>
  <c r="P207" i="2" s="1"/>
  <c r="P210" i="2" s="1"/>
  <c r="P156" i="2" s="1"/>
  <c r="P157" i="2" s="1"/>
  <c r="P159" i="2" s="1"/>
  <c r="P164" i="2" s="1"/>
  <c r="R276" i="2"/>
  <c r="AI271" i="2"/>
  <c r="AI216" i="2"/>
  <c r="M272" i="2"/>
  <c r="M104" i="2" s="1"/>
  <c r="N104" i="2" s="1"/>
  <c r="O104" i="2" s="1"/>
  <c r="P104" i="2" s="1"/>
  <c r="Q104" i="2" s="1"/>
  <c r="Y214" i="2"/>
  <c r="Y273" i="2" s="1"/>
  <c r="BA50" i="2"/>
  <c r="BA55" i="2"/>
  <c r="S72" i="2"/>
  <c r="T72" i="2" s="1"/>
  <c r="U72" i="2" s="1"/>
  <c r="V166" i="2"/>
  <c r="Y114" i="2"/>
  <c r="AK189" i="2"/>
  <c r="AK248" i="2" s="1"/>
  <c r="AH167" i="2"/>
  <c r="AH225" i="2" s="1"/>
  <c r="AK115" i="2"/>
  <c r="Y126" i="2"/>
  <c r="V177" i="2"/>
  <c r="V236" i="2" s="1"/>
  <c r="AK162" i="2"/>
  <c r="AK268" i="2" s="1"/>
  <c r="AL67" i="17"/>
  <c r="O23" i="17"/>
  <c r="K36" i="17"/>
  <c r="H38" i="17"/>
  <c r="AO56" i="2"/>
  <c r="AP56" i="2"/>
  <c r="AS56" i="2"/>
  <c r="AX56" i="2"/>
  <c r="AT56" i="2"/>
  <c r="AQ56" i="2"/>
  <c r="AR56" i="2"/>
  <c r="AN56" i="2"/>
  <c r="AV56" i="2"/>
  <c r="AY56" i="2"/>
  <c r="AU56" i="2"/>
  <c r="AW56" i="2"/>
  <c r="AK124" i="2"/>
  <c r="AH175" i="2"/>
  <c r="AH234" i="2" s="1"/>
  <c r="BA90" i="2"/>
  <c r="R45" i="2"/>
  <c r="S45" i="2" s="1"/>
  <c r="T45" i="2" s="1"/>
  <c r="U45" i="2" s="1"/>
  <c r="AM45" i="2"/>
  <c r="E25" i="14"/>
  <c r="E27" i="14" s="1"/>
  <c r="AO44" i="2"/>
  <c r="AR44" i="2"/>
  <c r="AW44" i="2"/>
  <c r="AS44" i="2"/>
  <c r="AX44" i="2"/>
  <c r="AV44" i="2"/>
  <c r="AP44" i="2"/>
  <c r="AY44" i="2"/>
  <c r="AU44" i="2"/>
  <c r="AQ44" i="2"/>
  <c r="AT44" i="2"/>
  <c r="AN44" i="2"/>
  <c r="AK203" i="2"/>
  <c r="AK263" i="2" s="1"/>
  <c r="BA54" i="2"/>
  <c r="AH155" i="2"/>
  <c r="AK114" i="2"/>
  <c r="AH166" i="2"/>
  <c r="AH224" i="2" s="1"/>
  <c r="AC76" i="2"/>
  <c r="AZ26" i="2"/>
  <c r="AD26" i="2"/>
  <c r="AE26" i="2" s="1"/>
  <c r="AF26" i="2" s="1"/>
  <c r="AG26" i="2" s="1"/>
  <c r="AW53" i="2"/>
  <c r="AT53" i="2"/>
  <c r="AS53" i="2"/>
  <c r="AN53" i="2"/>
  <c r="AO53" i="2"/>
  <c r="AR53" i="2"/>
  <c r="AU53" i="2"/>
  <c r="AQ53" i="2"/>
  <c r="AV53" i="2"/>
  <c r="AP53" i="2"/>
  <c r="AY53" i="2"/>
  <c r="AX53" i="2"/>
  <c r="BA78" i="2"/>
  <c r="V202" i="2"/>
  <c r="V262" i="2" s="1"/>
  <c r="Y151" i="2"/>
  <c r="AY99" i="2"/>
  <c r="AS99" i="2"/>
  <c r="AQ99" i="2"/>
  <c r="AV99" i="2"/>
  <c r="AR99" i="2"/>
  <c r="AT99" i="2"/>
  <c r="AO99" i="2"/>
  <c r="AW99" i="2"/>
  <c r="AP99" i="2"/>
  <c r="AX99" i="2"/>
  <c r="AN99" i="2"/>
  <c r="AU99" i="2"/>
  <c r="O271" i="2"/>
  <c r="O275" i="2" s="1"/>
  <c r="O216" i="2"/>
  <c r="O218" i="2" s="1"/>
  <c r="O219" i="2" s="1"/>
  <c r="AI28" i="17"/>
  <c r="AF28" i="17"/>
  <c r="AF30" i="17" s="1"/>
  <c r="AC30" i="17"/>
  <c r="Z31" i="17"/>
  <c r="AI36" i="17"/>
  <c r="AC38" i="17"/>
  <c r="V179" i="2"/>
  <c r="V238" i="2" s="1"/>
  <c r="Y128" i="2"/>
  <c r="E81" i="12"/>
  <c r="E90" i="12" s="1"/>
  <c r="E93" i="12" s="1"/>
  <c r="E95" i="12" s="1"/>
  <c r="Y212" i="2"/>
  <c r="Z22" i="17"/>
  <c r="BA25" i="2"/>
  <c r="AK170" i="2"/>
  <c r="AK228" i="2" s="1"/>
  <c r="V168" i="2"/>
  <c r="V226" i="2" s="1"/>
  <c r="Y116" i="2"/>
  <c r="R88" i="2"/>
  <c r="S88" i="2" s="1"/>
  <c r="T88" i="2" s="1"/>
  <c r="U88" i="2" s="1"/>
  <c r="AM88" i="2"/>
  <c r="Y186" i="2"/>
  <c r="Y245" i="2" s="1"/>
  <c r="AM51" i="2"/>
  <c r="R51" i="2"/>
  <c r="S51" i="2" s="1"/>
  <c r="T51" i="2" s="1"/>
  <c r="U51" i="2" s="1"/>
  <c r="AD276" i="2"/>
  <c r="Y145" i="2"/>
  <c r="V196" i="2"/>
  <c r="V255" i="2" s="1"/>
  <c r="R71" i="2"/>
  <c r="S71" i="2" s="1"/>
  <c r="T71" i="2" s="1"/>
  <c r="U71" i="2" s="1"/>
  <c r="V71" i="2" s="1"/>
  <c r="W71" i="2" s="1"/>
  <c r="X71" i="2" s="1"/>
  <c r="AM71" i="2"/>
  <c r="AF216" i="2"/>
  <c r="AF271" i="2"/>
  <c r="Y188" i="2"/>
  <c r="Y247" i="2"/>
  <c r="V214" i="2"/>
  <c r="V273" i="2" s="1"/>
  <c r="AH190" i="2"/>
  <c r="AH249" i="2" s="1"/>
  <c r="AK139" i="2"/>
  <c r="Y201" i="2"/>
  <c r="Y261" i="2" s="1"/>
  <c r="AE224" i="2"/>
  <c r="S224" i="2"/>
  <c r="Y141" i="2"/>
  <c r="V192" i="2"/>
  <c r="V251" i="2" s="1"/>
  <c r="AK137" i="2"/>
  <c r="AH188" i="2"/>
  <c r="AH247" i="2" s="1"/>
  <c r="S89" i="2"/>
  <c r="T89" i="2" s="1"/>
  <c r="U89" i="2" s="1"/>
  <c r="AK127" i="2"/>
  <c r="AH178" i="2"/>
  <c r="AH237" i="2" s="1"/>
  <c r="AT69" i="2"/>
  <c r="AN69" i="2"/>
  <c r="AP69" i="2"/>
  <c r="AV69" i="2"/>
  <c r="AO69" i="2"/>
  <c r="AW69" i="2"/>
  <c r="AS69" i="2"/>
  <c r="AY69" i="2"/>
  <c r="AX69" i="2"/>
  <c r="AQ69" i="2"/>
  <c r="AR69" i="2"/>
  <c r="AU69" i="2"/>
  <c r="AZ73" i="2" l="1"/>
  <c r="AD73" i="2"/>
  <c r="AE73" i="2" s="1"/>
  <c r="AF73" i="2" s="1"/>
  <c r="AG73" i="2" s="1"/>
  <c r="V32" i="2"/>
  <c r="W32" i="2" s="1"/>
  <c r="X32" i="2" s="1"/>
  <c r="R83" i="2"/>
  <c r="S83" i="2" s="1"/>
  <c r="T83" i="2" s="1"/>
  <c r="U83" i="2" s="1"/>
  <c r="V83" i="2" s="1"/>
  <c r="W83" i="2" s="1"/>
  <c r="X83" i="2" s="1"/>
  <c r="Q276" i="2"/>
  <c r="AJ265" i="2"/>
  <c r="AJ275" i="2" s="1"/>
  <c r="AJ205" i="2"/>
  <c r="AJ207" i="2" s="1"/>
  <c r="AJ210" i="2" s="1"/>
  <c r="AJ156" i="2" s="1"/>
  <c r="AJ157" i="2" s="1"/>
  <c r="AJ159" i="2" s="1"/>
  <c r="AJ164" i="2" s="1"/>
  <c r="AJ218" i="2" s="1"/>
  <c r="AJ219" i="2" s="1"/>
  <c r="V61" i="2"/>
  <c r="W61" i="2" s="1"/>
  <c r="X61" i="2" s="1"/>
  <c r="AD81" i="2"/>
  <c r="AE81" i="2" s="1"/>
  <c r="AF81" i="2" s="1"/>
  <c r="AG81" i="2" s="1"/>
  <c r="AH81" i="2" s="1"/>
  <c r="AI81" i="2" s="1"/>
  <c r="V41" i="2"/>
  <c r="W41" i="2" s="1"/>
  <c r="X41" i="2" s="1"/>
  <c r="V65" i="2"/>
  <c r="W65" i="2" s="1"/>
  <c r="X65" i="2" s="1"/>
  <c r="AJ276" i="2"/>
  <c r="I95" i="2"/>
  <c r="I109" i="2" s="1"/>
  <c r="I110" i="2" s="1"/>
  <c r="V27" i="2"/>
  <c r="W27" i="2" s="1"/>
  <c r="X27" i="2" s="1"/>
  <c r="BA47" i="2"/>
  <c r="BA35" i="2"/>
  <c r="AK201" i="2"/>
  <c r="AK261" i="2" s="1"/>
  <c r="V46" i="2"/>
  <c r="W46" i="2" s="1"/>
  <c r="X46" i="2" s="1"/>
  <c r="AK186" i="2"/>
  <c r="AK245" i="2" s="1"/>
  <c r="V60" i="2"/>
  <c r="W60" i="2" s="1"/>
  <c r="X60" i="2" s="1"/>
  <c r="AD82" i="2"/>
  <c r="AE82" i="2" s="1"/>
  <c r="AF82" i="2" s="1"/>
  <c r="AG82" i="2" s="1"/>
  <c r="AH82" i="2" s="1"/>
  <c r="AI82" i="2" s="1"/>
  <c r="AJ82" i="2" s="1"/>
  <c r="AK82" i="2" s="1"/>
  <c r="AZ82" i="2"/>
  <c r="Y71" i="2"/>
  <c r="Z71" i="2" s="1"/>
  <c r="AA71" i="2" s="1"/>
  <c r="AB71" i="2" s="1"/>
  <c r="AC71" i="2" s="1"/>
  <c r="AD71" i="2" s="1"/>
  <c r="AE71" i="2" s="1"/>
  <c r="AF71" i="2" s="1"/>
  <c r="AG71" i="2" s="1"/>
  <c r="AH71" i="2" s="1"/>
  <c r="AI71" i="2" s="1"/>
  <c r="AJ71" i="2" s="1"/>
  <c r="AK71" i="2" s="1"/>
  <c r="AF218" i="2"/>
  <c r="AF219" i="2" s="1"/>
  <c r="AS64" i="2"/>
  <c r="AP64" i="2"/>
  <c r="AU64" i="2"/>
  <c r="AY64" i="2"/>
  <c r="AN64" i="2"/>
  <c r="AO64" i="2"/>
  <c r="AX64" i="2"/>
  <c r="AR64" i="2"/>
  <c r="AV64" i="2"/>
  <c r="AT64" i="2"/>
  <c r="AQ64" i="2"/>
  <c r="AW64" i="2"/>
  <c r="AK193" i="2"/>
  <c r="AK252" i="2" s="1"/>
  <c r="R80" i="2"/>
  <c r="S80" i="2" s="1"/>
  <c r="T80" i="2" s="1"/>
  <c r="U80" i="2" s="1"/>
  <c r="AM80" i="2"/>
  <c r="AK187" i="2"/>
  <c r="AK246" i="2"/>
  <c r="AK176" i="2"/>
  <c r="AK235" i="2" s="1"/>
  <c r="Y187" i="2"/>
  <c r="Y246" i="2" s="1"/>
  <c r="Y60" i="2" s="1"/>
  <c r="Z60" i="2" s="1"/>
  <c r="AA60" i="2" s="1"/>
  <c r="AB60" i="2" s="1"/>
  <c r="AC60" i="2" s="1"/>
  <c r="Y194" i="2"/>
  <c r="Y253" i="2" s="1"/>
  <c r="Y65" i="2" s="1"/>
  <c r="Z65" i="2" s="1"/>
  <c r="AA65" i="2" s="1"/>
  <c r="AB65" i="2" s="1"/>
  <c r="AC65" i="2" s="1"/>
  <c r="V57" i="2"/>
  <c r="W57" i="2" s="1"/>
  <c r="X57" i="2" s="1"/>
  <c r="Y170" i="2"/>
  <c r="Y228" i="2" s="1"/>
  <c r="V45" i="2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AG45" i="2" s="1"/>
  <c r="AH45" i="2" s="1"/>
  <c r="AI45" i="2" s="1"/>
  <c r="AJ45" i="2" s="1"/>
  <c r="AK45" i="2" s="1"/>
  <c r="Y182" i="2"/>
  <c r="Y241" i="2" s="1"/>
  <c r="Y46" i="2"/>
  <c r="Z46" i="2" s="1"/>
  <c r="AA46" i="2" s="1"/>
  <c r="AB46" i="2" s="1"/>
  <c r="AC46" i="2" s="1"/>
  <c r="Y185" i="2"/>
  <c r="Y244" i="2" s="1"/>
  <c r="Y153" i="2"/>
  <c r="Y259" i="2" s="1"/>
  <c r="V259" i="2"/>
  <c r="V37" i="2"/>
  <c r="W37" i="2" s="1"/>
  <c r="X37" i="2" s="1"/>
  <c r="Y37" i="2" s="1"/>
  <c r="Z37" i="2" s="1"/>
  <c r="AA37" i="2" s="1"/>
  <c r="AB37" i="2" s="1"/>
  <c r="AC37" i="2" s="1"/>
  <c r="AK172" i="2"/>
  <c r="AK230" i="2" s="1"/>
  <c r="AK191" i="2"/>
  <c r="AK250" i="2" s="1"/>
  <c r="Y178" i="2"/>
  <c r="Y237" i="2" s="1"/>
  <c r="Y190" i="2"/>
  <c r="Y249" i="2" s="1"/>
  <c r="AK168" i="2"/>
  <c r="AK226" i="2" s="1"/>
  <c r="AK183" i="2"/>
  <c r="AK242" i="2" s="1"/>
  <c r="Y175" i="2"/>
  <c r="Y234" i="2" s="1"/>
  <c r="Y32" i="2" s="1"/>
  <c r="Z32" i="2" s="1"/>
  <c r="AA32" i="2" s="1"/>
  <c r="AB32" i="2" s="1"/>
  <c r="AC32" i="2" s="1"/>
  <c r="M49" i="2"/>
  <c r="N49" i="2" s="1"/>
  <c r="O49" i="2" s="1"/>
  <c r="P49" i="2" s="1"/>
  <c r="Q49" i="2" s="1"/>
  <c r="Y271" i="2"/>
  <c r="AC21" i="17"/>
  <c r="AB214" i="2"/>
  <c r="AB273" i="2" s="1"/>
  <c r="AE212" i="2"/>
  <c r="AF22" i="17"/>
  <c r="BA53" i="2"/>
  <c r="AH26" i="2"/>
  <c r="AI26" i="2" s="1"/>
  <c r="AJ26" i="2" s="1"/>
  <c r="BA56" i="2"/>
  <c r="J214" i="2"/>
  <c r="H21" i="17"/>
  <c r="H23" i="17" s="1"/>
  <c r="H50" i="17"/>
  <c r="H59" i="17" s="1"/>
  <c r="H60" i="17" s="1"/>
  <c r="Y177" i="2"/>
  <c r="Y236" i="2" s="1"/>
  <c r="M98" i="2"/>
  <c r="L100" i="2"/>
  <c r="L15" i="2" s="1"/>
  <c r="Y171" i="2"/>
  <c r="Y229" i="2" s="1"/>
  <c r="AK171" i="2"/>
  <c r="AK229" i="2" s="1"/>
  <c r="Y203" i="2"/>
  <c r="Y263" i="2" s="1"/>
  <c r="AC214" i="2"/>
  <c r="AC273" i="2" s="1"/>
  <c r="AD21" i="17"/>
  <c r="Y198" i="2"/>
  <c r="Y257" i="2" s="1"/>
  <c r="R24" i="2"/>
  <c r="S24" i="2" s="1"/>
  <c r="T24" i="2" s="1"/>
  <c r="U24" i="2" s="1"/>
  <c r="V24" i="2" s="1"/>
  <c r="W24" i="2" s="1"/>
  <c r="X24" i="2" s="1"/>
  <c r="AM24" i="2"/>
  <c r="AX31" i="2"/>
  <c r="AQ31" i="2"/>
  <c r="AN31" i="2"/>
  <c r="AU31" i="2"/>
  <c r="AO31" i="2"/>
  <c r="AV31" i="2"/>
  <c r="AW31" i="2"/>
  <c r="AS31" i="2"/>
  <c r="AY31" i="2"/>
  <c r="AT31" i="2"/>
  <c r="AP31" i="2"/>
  <c r="AR31" i="2"/>
  <c r="V271" i="2"/>
  <c r="C149" i="12"/>
  <c r="C131" i="12"/>
  <c r="C71" i="12"/>
  <c r="C72" i="12" s="1"/>
  <c r="C74" i="12" s="1"/>
  <c r="C76" i="12" s="1"/>
  <c r="C79" i="12" s="1"/>
  <c r="AK184" i="2"/>
  <c r="AK243" i="2" s="1"/>
  <c r="AM36" i="2"/>
  <c r="R36" i="2"/>
  <c r="V88" i="2"/>
  <c r="W88" i="2" s="1"/>
  <c r="X88" i="2" s="1"/>
  <c r="AL36" i="17"/>
  <c r="AL38" i="17" s="1"/>
  <c r="AI38" i="17"/>
  <c r="AL28" i="17"/>
  <c r="AL30" i="17" s="1"/>
  <c r="AI30" i="17"/>
  <c r="AL31" i="17" s="1"/>
  <c r="R23" i="2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M23" i="2"/>
  <c r="AM52" i="2"/>
  <c r="R52" i="2"/>
  <c r="S52" i="2" s="1"/>
  <c r="T52" i="2" s="1"/>
  <c r="U52" i="2" s="1"/>
  <c r="V52" i="2" s="1"/>
  <c r="W52" i="2" s="1"/>
  <c r="X52" i="2" s="1"/>
  <c r="AI267" i="2"/>
  <c r="AI275" i="2" s="1"/>
  <c r="AI164" i="2"/>
  <c r="AI218" i="2" s="1"/>
  <c r="AI219" i="2" s="1"/>
  <c r="V174" i="2"/>
  <c r="V205" i="2" s="1"/>
  <c r="V207" i="2" s="1"/>
  <c r="V210" i="2" s="1"/>
  <c r="V156" i="2" s="1"/>
  <c r="Y122" i="2"/>
  <c r="Y181" i="2"/>
  <c r="Y240" i="2" s="1"/>
  <c r="Y59" i="2"/>
  <c r="Z59" i="2" s="1"/>
  <c r="AA59" i="2" s="1"/>
  <c r="AB59" i="2" s="1"/>
  <c r="AC59" i="2" s="1"/>
  <c r="R39" i="2"/>
  <c r="S39" i="2" s="1"/>
  <c r="T39" i="2" s="1"/>
  <c r="U39" i="2" s="1"/>
  <c r="V39" i="2" s="1"/>
  <c r="W39" i="2" s="1"/>
  <c r="X39" i="2" s="1"/>
  <c r="AM39" i="2"/>
  <c r="V74" i="2"/>
  <c r="W74" i="2" s="1"/>
  <c r="X74" i="2" s="1"/>
  <c r="Y83" i="2"/>
  <c r="Z83" i="2" s="1"/>
  <c r="AA83" i="2" s="1"/>
  <c r="AB83" i="2" s="1"/>
  <c r="AC83" i="2" s="1"/>
  <c r="Y168" i="2"/>
  <c r="Y226" i="2" s="1"/>
  <c r="E149" i="12"/>
  <c r="E71" i="12"/>
  <c r="E72" i="12" s="1"/>
  <c r="E74" i="12" s="1"/>
  <c r="E76" i="12" s="1"/>
  <c r="E79" i="12" s="1"/>
  <c r="E131" i="12"/>
  <c r="Y202" i="2"/>
  <c r="Y262" i="2" s="1"/>
  <c r="AK155" i="2"/>
  <c r="AK166" i="2"/>
  <c r="AK224" i="2" s="1"/>
  <c r="E28" i="14"/>
  <c r="M205" i="2"/>
  <c r="M207" i="2" s="1"/>
  <c r="M210" i="2" s="1"/>
  <c r="M156" i="2" s="1"/>
  <c r="M157" i="2" s="1"/>
  <c r="M159" i="2" s="1"/>
  <c r="M164" i="2" s="1"/>
  <c r="Y166" i="2"/>
  <c r="S215" i="2"/>
  <c r="T21" i="17"/>
  <c r="T23" i="17" s="1"/>
  <c r="T50" i="17"/>
  <c r="Z45" i="17"/>
  <c r="Y193" i="2"/>
  <c r="Y252" i="2" s="1"/>
  <c r="V89" i="2"/>
  <c r="W89" i="2" s="1"/>
  <c r="X89" i="2" s="1"/>
  <c r="V51" i="2"/>
  <c r="W51" i="2" s="1"/>
  <c r="X51" i="2" s="1"/>
  <c r="Y179" i="2"/>
  <c r="Y238" i="2" s="1"/>
  <c r="AF36" i="17"/>
  <c r="AF38" i="17" s="1"/>
  <c r="AC22" i="17"/>
  <c r="AB212" i="2"/>
  <c r="AC50" i="17"/>
  <c r="O276" i="2"/>
  <c r="BA99" i="2"/>
  <c r="AD76" i="2"/>
  <c r="AE76" i="2" s="1"/>
  <c r="AF76" i="2" s="1"/>
  <c r="AG76" i="2" s="1"/>
  <c r="AH76" i="2" s="1"/>
  <c r="AZ76" i="2"/>
  <c r="V155" i="2"/>
  <c r="V72" i="2"/>
  <c r="W72" i="2" s="1"/>
  <c r="X72" i="2" s="1"/>
  <c r="C125" i="12"/>
  <c r="C133" i="12" s="1"/>
  <c r="C99" i="12"/>
  <c r="C100" i="12" s="1"/>
  <c r="C102" i="12" s="1"/>
  <c r="C112" i="12" s="1"/>
  <c r="C132" i="12" s="1"/>
  <c r="AQ73" i="2"/>
  <c r="AR73" i="2"/>
  <c r="AN73" i="2"/>
  <c r="AV73" i="2"/>
  <c r="AP73" i="2"/>
  <c r="AS73" i="2"/>
  <c r="AT73" i="2"/>
  <c r="AY73" i="2"/>
  <c r="AO73" i="2"/>
  <c r="AX73" i="2"/>
  <c r="AU73" i="2"/>
  <c r="AW73" i="2"/>
  <c r="W42" i="17"/>
  <c r="W44" i="17" s="1"/>
  <c r="Z40" i="17"/>
  <c r="Z42" i="17" s="1"/>
  <c r="Z44" i="17" s="1"/>
  <c r="V75" i="2"/>
  <c r="W75" i="2" s="1"/>
  <c r="X75" i="2" s="1"/>
  <c r="Y199" i="2"/>
  <c r="Y258" i="2" s="1"/>
  <c r="X276" i="2"/>
  <c r="AF275" i="2"/>
  <c r="AF276" i="2" s="1"/>
  <c r="AC212" i="2"/>
  <c r="AD22" i="17"/>
  <c r="AD50" i="17"/>
  <c r="V63" i="2"/>
  <c r="W63" i="2" s="1"/>
  <c r="X63" i="2" s="1"/>
  <c r="AR84" i="2"/>
  <c r="AS84" i="2"/>
  <c r="AO84" i="2"/>
  <c r="AP84" i="2"/>
  <c r="AU84" i="2"/>
  <c r="AW84" i="2"/>
  <c r="AN84" i="2"/>
  <c r="AX84" i="2"/>
  <c r="AQ84" i="2"/>
  <c r="AT84" i="2"/>
  <c r="AY84" i="2"/>
  <c r="AV84" i="2"/>
  <c r="H14" i="2"/>
  <c r="H17" i="2" s="1"/>
  <c r="H18" i="2" s="1"/>
  <c r="H109" i="2"/>
  <c r="H110" i="2" s="1"/>
  <c r="AA276" i="2"/>
  <c r="AK169" i="2"/>
  <c r="AK227" i="2" s="1"/>
  <c r="Y183" i="2"/>
  <c r="Y242" i="2" s="1"/>
  <c r="U276" i="2"/>
  <c r="AK199" i="2"/>
  <c r="AK258" i="2" s="1"/>
  <c r="AG276" i="2"/>
  <c r="D125" i="12"/>
  <c r="D133" i="12" s="1"/>
  <c r="D99" i="12"/>
  <c r="D100" i="12" s="1"/>
  <c r="D102" i="12" s="1"/>
  <c r="D112" i="12" s="1"/>
  <c r="D132" i="12" s="1"/>
  <c r="AT81" i="2"/>
  <c r="AN81" i="2"/>
  <c r="AO81" i="2"/>
  <c r="AP81" i="2"/>
  <c r="AY81" i="2"/>
  <c r="AU81" i="2"/>
  <c r="AQ81" i="2"/>
  <c r="AS81" i="2"/>
  <c r="AV81" i="2"/>
  <c r="AR81" i="2"/>
  <c r="AW81" i="2"/>
  <c r="AX81" i="2"/>
  <c r="AK197" i="2"/>
  <c r="AK256" i="2" s="1"/>
  <c r="D20" i="14"/>
  <c r="C22" i="14"/>
  <c r="C23" i="14" s="1"/>
  <c r="BA66" i="2"/>
  <c r="V29" i="2"/>
  <c r="W29" i="2" s="1"/>
  <c r="X29" i="2" s="1"/>
  <c r="AK190" i="2"/>
  <c r="AK249" i="2" s="1"/>
  <c r="Y196" i="2"/>
  <c r="Y255" i="2" s="1"/>
  <c r="V43" i="2"/>
  <c r="W43" i="2" s="1"/>
  <c r="X43" i="2" s="1"/>
  <c r="BA69" i="2"/>
  <c r="AK178" i="2"/>
  <c r="AK237" i="2" s="1"/>
  <c r="Y192" i="2"/>
  <c r="Y251" i="2" s="1"/>
  <c r="AN26" i="2"/>
  <c r="AU26" i="2"/>
  <c r="AO26" i="2"/>
  <c r="AT26" i="2"/>
  <c r="AP26" i="2"/>
  <c r="AV26" i="2"/>
  <c r="AX26" i="2"/>
  <c r="AY26" i="2"/>
  <c r="AQ26" i="2"/>
  <c r="AR26" i="2"/>
  <c r="AW26" i="2"/>
  <c r="AS26" i="2"/>
  <c r="AH205" i="2"/>
  <c r="AH207" i="2" s="1"/>
  <c r="AH210" i="2" s="1"/>
  <c r="AH156" i="2" s="1"/>
  <c r="AH157" i="2" s="1"/>
  <c r="AH159" i="2" s="1"/>
  <c r="AH164" i="2" s="1"/>
  <c r="BA44" i="2"/>
  <c r="AL39" i="17"/>
  <c r="AK175" i="2"/>
  <c r="AK234" i="2" s="1"/>
  <c r="N36" i="17"/>
  <c r="K38" i="17"/>
  <c r="AK167" i="2"/>
  <c r="AK225" i="2" s="1"/>
  <c r="V224" i="2"/>
  <c r="AM104" i="2"/>
  <c r="R104" i="2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AC104" i="2" s="1"/>
  <c r="K22" i="2"/>
  <c r="J95" i="2"/>
  <c r="AM106" i="2"/>
  <c r="R106" i="2"/>
  <c r="W276" i="2"/>
  <c r="AK177" i="2"/>
  <c r="AK236" i="2" s="1"/>
  <c r="AK188" i="2"/>
  <c r="AK247" i="2" s="1"/>
  <c r="AH73" i="2"/>
  <c r="AI73" i="2" s="1"/>
  <c r="AJ73" i="2" s="1"/>
  <c r="S232" i="2"/>
  <c r="E99" i="12"/>
  <c r="E100" i="12" s="1"/>
  <c r="E102" i="12" s="1"/>
  <c r="E112" i="12" s="1"/>
  <c r="E132" i="12" s="1"/>
  <c r="E125" i="12"/>
  <c r="E133" i="12" s="1"/>
  <c r="N276" i="2"/>
  <c r="AK194" i="2"/>
  <c r="AK253" i="2" s="1"/>
  <c r="V28" i="2"/>
  <c r="W28" i="2" s="1"/>
  <c r="X28" i="2" s="1"/>
  <c r="Z276" i="2"/>
  <c r="D149" i="12"/>
  <c r="D131" i="12"/>
  <c r="D71" i="12"/>
  <c r="D72" i="12" s="1"/>
  <c r="D74" i="12" s="1"/>
  <c r="D76" i="12" s="1"/>
  <c r="D79" i="12" s="1"/>
  <c r="K103" i="2"/>
  <c r="Y172" i="2"/>
  <c r="Y230" i="2" s="1"/>
  <c r="Y62" i="2"/>
  <c r="Z62" i="2" s="1"/>
  <c r="AA62" i="2" s="1"/>
  <c r="AB62" i="2" s="1"/>
  <c r="AC62" i="2" s="1"/>
  <c r="Y58" i="2"/>
  <c r="Z58" i="2" s="1"/>
  <c r="AA58" i="2" s="1"/>
  <c r="AB58" i="2" s="1"/>
  <c r="AC58" i="2" s="1"/>
  <c r="Y27" i="2" l="1"/>
  <c r="Z27" i="2" s="1"/>
  <c r="AA27" i="2" s="1"/>
  <c r="AB27" i="2" s="1"/>
  <c r="AC27" i="2" s="1"/>
  <c r="AZ27" i="2" s="1"/>
  <c r="AZ45" i="2"/>
  <c r="AU45" i="2" s="1"/>
  <c r="AZ71" i="2"/>
  <c r="Y41" i="2"/>
  <c r="Z41" i="2" s="1"/>
  <c r="AA41" i="2" s="1"/>
  <c r="AB41" i="2" s="1"/>
  <c r="AC41" i="2" s="1"/>
  <c r="AZ41" i="2" s="1"/>
  <c r="AJ81" i="2"/>
  <c r="AK81" i="2" s="1"/>
  <c r="Y61" i="2"/>
  <c r="Z61" i="2" s="1"/>
  <c r="AA61" i="2" s="1"/>
  <c r="AB61" i="2" s="1"/>
  <c r="AC61" i="2" s="1"/>
  <c r="AZ61" i="2" s="1"/>
  <c r="I14" i="2"/>
  <c r="I17" i="2" s="1"/>
  <c r="I18" i="2" s="1"/>
  <c r="AI76" i="2"/>
  <c r="AJ76" i="2" s="1"/>
  <c r="AK76" i="2" s="1"/>
  <c r="V80" i="2"/>
  <c r="W80" i="2" s="1"/>
  <c r="X80" i="2" s="1"/>
  <c r="Y80" i="2" s="1"/>
  <c r="Z80" i="2" s="1"/>
  <c r="AA80" i="2" s="1"/>
  <c r="AB80" i="2" s="1"/>
  <c r="AC80" i="2" s="1"/>
  <c r="AD80" i="2" s="1"/>
  <c r="AE80" i="2" s="1"/>
  <c r="AF80" i="2" s="1"/>
  <c r="AG80" i="2" s="1"/>
  <c r="AH80" i="2" s="1"/>
  <c r="AI80" i="2" s="1"/>
  <c r="AJ80" i="2" s="1"/>
  <c r="AK80" i="2" s="1"/>
  <c r="AW82" i="2"/>
  <c r="AO82" i="2"/>
  <c r="AP82" i="2"/>
  <c r="AS82" i="2"/>
  <c r="AU82" i="2"/>
  <c r="AV82" i="2"/>
  <c r="AQ82" i="2"/>
  <c r="AR82" i="2"/>
  <c r="AY82" i="2"/>
  <c r="AX82" i="2"/>
  <c r="AT82" i="2"/>
  <c r="AN82" i="2"/>
  <c r="AI276" i="2"/>
  <c r="BA64" i="2"/>
  <c r="AD41" i="2"/>
  <c r="AE41" i="2" s="1"/>
  <c r="AF41" i="2" s="1"/>
  <c r="AG41" i="2" s="1"/>
  <c r="AH41" i="2" s="1"/>
  <c r="AI41" i="2" s="1"/>
  <c r="AJ41" i="2" s="1"/>
  <c r="AK41" i="2" s="1"/>
  <c r="AZ60" i="2"/>
  <c r="AD60" i="2"/>
  <c r="AE60" i="2" s="1"/>
  <c r="AF60" i="2" s="1"/>
  <c r="AG60" i="2" s="1"/>
  <c r="AH60" i="2" s="1"/>
  <c r="AI60" i="2" s="1"/>
  <c r="AJ60" i="2" s="1"/>
  <c r="AK60" i="2" s="1"/>
  <c r="AD32" i="2"/>
  <c r="AE32" i="2" s="1"/>
  <c r="AF32" i="2" s="1"/>
  <c r="AG32" i="2" s="1"/>
  <c r="AH32" i="2" s="1"/>
  <c r="AI32" i="2" s="1"/>
  <c r="AJ32" i="2" s="1"/>
  <c r="AK32" i="2" s="1"/>
  <c r="AZ32" i="2"/>
  <c r="AR32" i="2" s="1"/>
  <c r="AD27" i="2"/>
  <c r="AE27" i="2" s="1"/>
  <c r="AF27" i="2" s="1"/>
  <c r="AG27" i="2" s="1"/>
  <c r="AH27" i="2" s="1"/>
  <c r="AI27" i="2" s="1"/>
  <c r="AJ27" i="2" s="1"/>
  <c r="AK27" i="2" s="1"/>
  <c r="AD65" i="2"/>
  <c r="AE65" i="2" s="1"/>
  <c r="AF65" i="2" s="1"/>
  <c r="AG65" i="2" s="1"/>
  <c r="AH65" i="2" s="1"/>
  <c r="AI65" i="2" s="1"/>
  <c r="AJ65" i="2" s="1"/>
  <c r="AK65" i="2" s="1"/>
  <c r="AZ65" i="2"/>
  <c r="AR65" i="2" s="1"/>
  <c r="Y89" i="2"/>
  <c r="Z89" i="2" s="1"/>
  <c r="AA89" i="2" s="1"/>
  <c r="AB89" i="2" s="1"/>
  <c r="AC89" i="2" s="1"/>
  <c r="AZ89" i="2" s="1"/>
  <c r="AD37" i="2"/>
  <c r="AE37" i="2" s="1"/>
  <c r="AF37" i="2" s="1"/>
  <c r="AG37" i="2" s="1"/>
  <c r="AH37" i="2" s="1"/>
  <c r="AI37" i="2" s="1"/>
  <c r="AJ37" i="2" s="1"/>
  <c r="AK37" i="2" s="1"/>
  <c r="AZ37" i="2"/>
  <c r="AD46" i="2"/>
  <c r="AE46" i="2" s="1"/>
  <c r="AF46" i="2" s="1"/>
  <c r="AG46" i="2" s="1"/>
  <c r="AH46" i="2" s="1"/>
  <c r="AI46" i="2" s="1"/>
  <c r="AJ46" i="2" s="1"/>
  <c r="AK46" i="2" s="1"/>
  <c r="AZ46" i="2"/>
  <c r="Y88" i="2"/>
  <c r="Z88" i="2" s="1"/>
  <c r="AA88" i="2" s="1"/>
  <c r="AB88" i="2" s="1"/>
  <c r="AC88" i="2" s="1"/>
  <c r="AD88" i="2" s="1"/>
  <c r="AE88" i="2" s="1"/>
  <c r="AF88" i="2" s="1"/>
  <c r="AG88" i="2" s="1"/>
  <c r="AH88" i="2" s="1"/>
  <c r="AI88" i="2" s="1"/>
  <c r="AJ88" i="2" s="1"/>
  <c r="AK88" i="2" s="1"/>
  <c r="Y57" i="2"/>
  <c r="Z57" i="2" s="1"/>
  <c r="AA57" i="2" s="1"/>
  <c r="AB57" i="2" s="1"/>
  <c r="AC57" i="2" s="1"/>
  <c r="K21" i="17"/>
  <c r="K23" i="17" s="1"/>
  <c r="K50" i="17"/>
  <c r="K59" i="17" s="1"/>
  <c r="Y29" i="2"/>
  <c r="Z29" i="2" s="1"/>
  <c r="AA29" i="2" s="1"/>
  <c r="AB29" i="2" s="1"/>
  <c r="AC29" i="2" s="1"/>
  <c r="E20" i="14"/>
  <c r="E22" i="14" s="1"/>
  <c r="E23" i="14" s="1"/>
  <c r="D22" i="14"/>
  <c r="D23" i="14" s="1"/>
  <c r="Y63" i="2"/>
  <c r="Z63" i="2" s="1"/>
  <c r="AA63" i="2" s="1"/>
  <c r="AB63" i="2" s="1"/>
  <c r="AC63" i="2" s="1"/>
  <c r="Y75" i="2"/>
  <c r="Z75" i="2" s="1"/>
  <c r="AA75" i="2" s="1"/>
  <c r="AB75" i="2" s="1"/>
  <c r="AC75" i="2" s="1"/>
  <c r="BA73" i="2"/>
  <c r="AD89" i="2"/>
  <c r="AE89" i="2" s="1"/>
  <c r="AF89" i="2" s="1"/>
  <c r="AG89" i="2" s="1"/>
  <c r="AH89" i="2" s="1"/>
  <c r="AI89" i="2" s="1"/>
  <c r="AJ89" i="2" s="1"/>
  <c r="AK89" i="2" s="1"/>
  <c r="AZ59" i="2"/>
  <c r="AD59" i="2"/>
  <c r="AE59" i="2" s="1"/>
  <c r="AF59" i="2" s="1"/>
  <c r="AG59" i="2" s="1"/>
  <c r="AH59" i="2" s="1"/>
  <c r="AI59" i="2" s="1"/>
  <c r="AJ59" i="2" s="1"/>
  <c r="AK59" i="2" s="1"/>
  <c r="Y174" i="2"/>
  <c r="Y205" i="2" s="1"/>
  <c r="Y207" i="2" s="1"/>
  <c r="Y210" i="2" s="1"/>
  <c r="Y156" i="2" s="1"/>
  <c r="AZ62" i="2"/>
  <c r="AD62" i="2"/>
  <c r="AE62" i="2" s="1"/>
  <c r="AF62" i="2" s="1"/>
  <c r="AG62" i="2" s="1"/>
  <c r="AH62" i="2" s="1"/>
  <c r="AI62" i="2" s="1"/>
  <c r="AJ62" i="2" s="1"/>
  <c r="AK62" i="2" s="1"/>
  <c r="N38" i="17"/>
  <c r="Q36" i="17"/>
  <c r="Q38" i="17" s="1"/>
  <c r="AO65" i="2"/>
  <c r="AQ65" i="2"/>
  <c r="AP65" i="2"/>
  <c r="AT65" i="2"/>
  <c r="AU65" i="2"/>
  <c r="AV65" i="2"/>
  <c r="BA81" i="2"/>
  <c r="BA84" i="2"/>
  <c r="Y215" i="2"/>
  <c r="Z21" i="17"/>
  <c r="Z23" i="17" s="1"/>
  <c r="Z50" i="17"/>
  <c r="Y72" i="2"/>
  <c r="Z72" i="2" s="1"/>
  <c r="AA72" i="2" s="1"/>
  <c r="AB72" i="2" s="1"/>
  <c r="AC72" i="2" s="1"/>
  <c r="E146" i="12"/>
  <c r="E130" i="12"/>
  <c r="E135" i="12" s="1"/>
  <c r="Y74" i="2"/>
  <c r="Z74" i="2" s="1"/>
  <c r="AA74" i="2" s="1"/>
  <c r="AB74" i="2" s="1"/>
  <c r="AC74" i="2" s="1"/>
  <c r="AK212" i="2"/>
  <c r="AL50" i="17"/>
  <c r="AL22" i="17"/>
  <c r="C146" i="12"/>
  <c r="C130" i="12"/>
  <c r="C135" i="12" s="1"/>
  <c r="AC23" i="17"/>
  <c r="L103" i="2"/>
  <c r="AK73" i="2"/>
  <c r="AD58" i="2"/>
  <c r="AE58" i="2" s="1"/>
  <c r="AF58" i="2" s="1"/>
  <c r="AG58" i="2" s="1"/>
  <c r="AH58" i="2" s="1"/>
  <c r="AI58" i="2" s="1"/>
  <c r="AJ58" i="2" s="1"/>
  <c r="AK58" i="2" s="1"/>
  <c r="AZ58" i="2"/>
  <c r="D146" i="12"/>
  <c r="D130" i="12"/>
  <c r="D135" i="12" s="1"/>
  <c r="Y28" i="2"/>
  <c r="Z28" i="2" s="1"/>
  <c r="AA28" i="2" s="1"/>
  <c r="AB28" i="2" s="1"/>
  <c r="AC28" i="2" s="1"/>
  <c r="AO32" i="2"/>
  <c r="AU32" i="2"/>
  <c r="AV32" i="2"/>
  <c r="AX32" i="2"/>
  <c r="AN32" i="2"/>
  <c r="AQ32" i="2"/>
  <c r="AD104" i="2"/>
  <c r="AE104" i="2" s="1"/>
  <c r="AF104" i="2" s="1"/>
  <c r="AG104" i="2" s="1"/>
  <c r="AH104" i="2" s="1"/>
  <c r="AI104" i="2" s="1"/>
  <c r="AJ104" i="2" s="1"/>
  <c r="AK104" i="2" s="1"/>
  <c r="AZ104" i="2"/>
  <c r="Y43" i="2"/>
  <c r="Z43" i="2" s="1"/>
  <c r="AA43" i="2" s="1"/>
  <c r="AB43" i="2" s="1"/>
  <c r="AC43" i="2" s="1"/>
  <c r="AC271" i="2"/>
  <c r="AC275" i="2" s="1"/>
  <c r="AC216" i="2"/>
  <c r="AC218" i="2" s="1"/>
  <c r="AC219" i="2" s="1"/>
  <c r="AQ76" i="2"/>
  <c r="AN76" i="2"/>
  <c r="AR76" i="2"/>
  <c r="AU76" i="2"/>
  <c r="AW76" i="2"/>
  <c r="AV76" i="2"/>
  <c r="AX76" i="2"/>
  <c r="AO76" i="2"/>
  <c r="AP76" i="2"/>
  <c r="AY76" i="2"/>
  <c r="AT76" i="2"/>
  <c r="AS76" i="2"/>
  <c r="S274" i="2"/>
  <c r="S275" i="2" s="1"/>
  <c r="S216" i="2"/>
  <c r="S218" i="2" s="1"/>
  <c r="S219" i="2" s="1"/>
  <c r="Y155" i="2"/>
  <c r="AK205" i="2"/>
  <c r="AK207" i="2" s="1"/>
  <c r="AK210" i="2" s="1"/>
  <c r="AK156" i="2" s="1"/>
  <c r="AK157" i="2" s="1"/>
  <c r="AK159" i="2" s="1"/>
  <c r="AK164" i="2" s="1"/>
  <c r="Y39" i="2"/>
  <c r="Z39" i="2" s="1"/>
  <c r="AA39" i="2" s="1"/>
  <c r="AB39" i="2" s="1"/>
  <c r="AC39" i="2" s="1"/>
  <c r="V232" i="2"/>
  <c r="AZ23" i="2"/>
  <c r="AD23" i="2"/>
  <c r="AE23" i="2" s="1"/>
  <c r="AF23" i="2" s="1"/>
  <c r="AG23" i="2" s="1"/>
  <c r="AH23" i="2" s="1"/>
  <c r="AI23" i="2" s="1"/>
  <c r="AJ23" i="2" s="1"/>
  <c r="AK23" i="2" s="1"/>
  <c r="AL21" i="17"/>
  <c r="AL23" i="17" s="1"/>
  <c r="AK214" i="2"/>
  <c r="AK273" i="2" s="1"/>
  <c r="S36" i="2"/>
  <c r="T36" i="2" s="1"/>
  <c r="U36" i="2" s="1"/>
  <c r="BA31" i="2"/>
  <c r="Y24" i="2"/>
  <c r="Z24" i="2" s="1"/>
  <c r="AA24" i="2" s="1"/>
  <c r="AB24" i="2" s="1"/>
  <c r="AC24" i="2" s="1"/>
  <c r="AD23" i="17"/>
  <c r="J273" i="2"/>
  <c r="J216" i="2"/>
  <c r="J218" i="2" s="1"/>
  <c r="J219" i="2" s="1"/>
  <c r="AK26" i="2"/>
  <c r="AE271" i="2"/>
  <c r="AB271" i="2"/>
  <c r="AB275" i="2" s="1"/>
  <c r="AB216" i="2"/>
  <c r="AB218" i="2" s="1"/>
  <c r="AB219" i="2" s="1"/>
  <c r="Y52" i="2"/>
  <c r="Z52" i="2" s="1"/>
  <c r="AA52" i="2" s="1"/>
  <c r="AB52" i="2" s="1"/>
  <c r="AC52" i="2" s="1"/>
  <c r="AH212" i="2"/>
  <c r="AI22" i="17"/>
  <c r="AI50" i="17"/>
  <c r="R49" i="2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M49" i="2"/>
  <c r="J14" i="2"/>
  <c r="M100" i="2"/>
  <c r="M15" i="2" s="1"/>
  <c r="N98" i="2"/>
  <c r="L22" i="2"/>
  <c r="K95" i="2"/>
  <c r="BA26" i="2"/>
  <c r="V215" i="2"/>
  <c r="W50" i="17"/>
  <c r="W21" i="17"/>
  <c r="W23" i="17" s="1"/>
  <c r="V157" i="2"/>
  <c r="V159" i="2" s="1"/>
  <c r="V164" i="2" s="1"/>
  <c r="AF21" i="17"/>
  <c r="AF23" i="17" s="1"/>
  <c r="AE214" i="2"/>
  <c r="AE273" i="2" s="1"/>
  <c r="Y51" i="2"/>
  <c r="Z51" i="2" s="1"/>
  <c r="AA51" i="2" s="1"/>
  <c r="AB51" i="2" s="1"/>
  <c r="AC51" i="2" s="1"/>
  <c r="Y224" i="2"/>
  <c r="AZ83" i="2"/>
  <c r="AD83" i="2"/>
  <c r="AE83" i="2" s="1"/>
  <c r="AF83" i="2" s="1"/>
  <c r="AG83" i="2" s="1"/>
  <c r="AH83" i="2" s="1"/>
  <c r="AI83" i="2" s="1"/>
  <c r="AJ83" i="2" s="1"/>
  <c r="AK83" i="2" s="1"/>
  <c r="AH214" i="2"/>
  <c r="AH273" i="2" s="1"/>
  <c r="AI21" i="17"/>
  <c r="AX71" i="2"/>
  <c r="AY71" i="2"/>
  <c r="AR71" i="2"/>
  <c r="AS71" i="2"/>
  <c r="AP71" i="2"/>
  <c r="AU71" i="2"/>
  <c r="AV71" i="2"/>
  <c r="AT71" i="2"/>
  <c r="AO71" i="2"/>
  <c r="AN71" i="2"/>
  <c r="AW71" i="2"/>
  <c r="AQ71" i="2"/>
  <c r="AY45" i="2"/>
  <c r="AW45" i="2"/>
  <c r="AO45" i="2"/>
  <c r="AV45" i="2"/>
  <c r="AR45" i="2"/>
  <c r="AX45" i="2"/>
  <c r="AF50" i="17"/>
  <c r="AQ27" i="2" l="1"/>
  <c r="AX27" i="2"/>
  <c r="AS27" i="2"/>
  <c r="AP27" i="2"/>
  <c r="AW27" i="2"/>
  <c r="AR27" i="2"/>
  <c r="AY27" i="2"/>
  <c r="AN27" i="2"/>
  <c r="AV27" i="2"/>
  <c r="AU27" i="2"/>
  <c r="AD61" i="2"/>
  <c r="AE61" i="2" s="1"/>
  <c r="AF61" i="2" s="1"/>
  <c r="AG61" i="2" s="1"/>
  <c r="AH61" i="2" s="1"/>
  <c r="AI61" i="2" s="1"/>
  <c r="AJ61" i="2" s="1"/>
  <c r="AK61" i="2" s="1"/>
  <c r="AS45" i="2"/>
  <c r="AQ45" i="2"/>
  <c r="AP45" i="2"/>
  <c r="AS32" i="2"/>
  <c r="AY32" i="2"/>
  <c r="AT32" i="2"/>
  <c r="AS65" i="2"/>
  <c r="AX65" i="2"/>
  <c r="AW65" i="2"/>
  <c r="AN45" i="2"/>
  <c r="AT45" i="2"/>
  <c r="AP32" i="2"/>
  <c r="AW32" i="2"/>
  <c r="AY65" i="2"/>
  <c r="AN65" i="2"/>
  <c r="AZ88" i="2"/>
  <c r="BA82" i="2"/>
  <c r="AT27" i="2"/>
  <c r="AO27" i="2"/>
  <c r="AE275" i="2"/>
  <c r="AZ80" i="2"/>
  <c r="AP80" i="2" s="1"/>
  <c r="V36" i="2"/>
  <c r="W36" i="2" s="1"/>
  <c r="X36" i="2" s="1"/>
  <c r="BA71" i="2"/>
  <c r="Y232" i="2"/>
  <c r="AQ41" i="2"/>
  <c r="AX41" i="2"/>
  <c r="AV41" i="2"/>
  <c r="AS41" i="2"/>
  <c r="AT41" i="2"/>
  <c r="AW41" i="2"/>
  <c r="AP41" i="2"/>
  <c r="AU41" i="2"/>
  <c r="AO41" i="2"/>
  <c r="AN41" i="2"/>
  <c r="AR41" i="2"/>
  <c r="AY41" i="2"/>
  <c r="AY37" i="2"/>
  <c r="AR37" i="2"/>
  <c r="AU37" i="2"/>
  <c r="AV37" i="2"/>
  <c r="AP37" i="2"/>
  <c r="AX37" i="2"/>
  <c r="AN37" i="2"/>
  <c r="AW37" i="2"/>
  <c r="AS37" i="2"/>
  <c r="AT37" i="2"/>
  <c r="AO37" i="2"/>
  <c r="AQ37" i="2"/>
  <c r="S276" i="2"/>
  <c r="AD57" i="2"/>
  <c r="AE57" i="2" s="1"/>
  <c r="AF57" i="2" s="1"/>
  <c r="AG57" i="2" s="1"/>
  <c r="AH57" i="2" s="1"/>
  <c r="AI57" i="2" s="1"/>
  <c r="AJ57" i="2" s="1"/>
  <c r="AK57" i="2" s="1"/>
  <c r="AZ57" i="2"/>
  <c r="AW46" i="2"/>
  <c r="AY46" i="2"/>
  <c r="AV46" i="2"/>
  <c r="AO46" i="2"/>
  <c r="AU46" i="2"/>
  <c r="AX46" i="2"/>
  <c r="AN46" i="2"/>
  <c r="AS46" i="2"/>
  <c r="AQ46" i="2"/>
  <c r="AT46" i="2"/>
  <c r="AP46" i="2"/>
  <c r="AR46" i="2"/>
  <c r="AX60" i="2"/>
  <c r="AO60" i="2"/>
  <c r="AR60" i="2"/>
  <c r="AS60" i="2"/>
  <c r="AV60" i="2"/>
  <c r="AQ60" i="2"/>
  <c r="AT60" i="2"/>
  <c r="AP60" i="2"/>
  <c r="AN60" i="2"/>
  <c r="AY60" i="2"/>
  <c r="AW60" i="2"/>
  <c r="AU60" i="2"/>
  <c r="AT61" i="2"/>
  <c r="AW61" i="2"/>
  <c r="AY61" i="2"/>
  <c r="AS61" i="2"/>
  <c r="AU61" i="2"/>
  <c r="AQ61" i="2"/>
  <c r="AO61" i="2"/>
  <c r="AX61" i="2"/>
  <c r="AN61" i="2"/>
  <c r="AR61" i="2"/>
  <c r="AV61" i="2"/>
  <c r="AP61" i="2"/>
  <c r="O98" i="2"/>
  <c r="N100" i="2"/>
  <c r="N15" i="2" s="1"/>
  <c r="J105" i="2"/>
  <c r="J275" i="2"/>
  <c r="J276" i="2" s="1"/>
  <c r="AD51" i="2"/>
  <c r="AE51" i="2" s="1"/>
  <c r="AF51" i="2" s="1"/>
  <c r="AG51" i="2" s="1"/>
  <c r="AH51" i="2" s="1"/>
  <c r="AI51" i="2" s="1"/>
  <c r="AJ51" i="2" s="1"/>
  <c r="AK51" i="2" s="1"/>
  <c r="AZ51" i="2"/>
  <c r="AB276" i="2"/>
  <c r="AD29" i="2"/>
  <c r="AE29" i="2" s="1"/>
  <c r="AF29" i="2" s="1"/>
  <c r="AG29" i="2" s="1"/>
  <c r="AH29" i="2" s="1"/>
  <c r="AI29" i="2" s="1"/>
  <c r="AJ29" i="2" s="1"/>
  <c r="AK29" i="2" s="1"/>
  <c r="AZ29" i="2"/>
  <c r="BA45" i="2"/>
  <c r="AI23" i="17"/>
  <c r="AZ24" i="2"/>
  <c r="AD24" i="2"/>
  <c r="AE24" i="2" s="1"/>
  <c r="AF24" i="2" s="1"/>
  <c r="AG24" i="2" s="1"/>
  <c r="AH24" i="2" s="1"/>
  <c r="AI24" i="2" s="1"/>
  <c r="AJ24" i="2" s="1"/>
  <c r="AK24" i="2" s="1"/>
  <c r="AC276" i="2"/>
  <c r="AO88" i="2"/>
  <c r="AN88" i="2"/>
  <c r="AV88" i="2"/>
  <c r="AQ88" i="2"/>
  <c r="AP88" i="2"/>
  <c r="AT88" i="2"/>
  <c r="AX88" i="2"/>
  <c r="AY88" i="2"/>
  <c r="AR88" i="2"/>
  <c r="AU88" i="2"/>
  <c r="AW88" i="2"/>
  <c r="AS88" i="2"/>
  <c r="AD63" i="2"/>
  <c r="AE63" i="2" s="1"/>
  <c r="AF63" i="2" s="1"/>
  <c r="AG63" i="2" s="1"/>
  <c r="AH63" i="2" s="1"/>
  <c r="AI63" i="2" s="1"/>
  <c r="AJ63" i="2" s="1"/>
  <c r="AK63" i="2" s="1"/>
  <c r="AZ63" i="2"/>
  <c r="AD39" i="2"/>
  <c r="AE39" i="2" s="1"/>
  <c r="AF39" i="2" s="1"/>
  <c r="AG39" i="2" s="1"/>
  <c r="AH39" i="2" s="1"/>
  <c r="AI39" i="2" s="1"/>
  <c r="AJ39" i="2" s="1"/>
  <c r="AK39" i="2" s="1"/>
  <c r="AZ39" i="2"/>
  <c r="AS104" i="2"/>
  <c r="AT104" i="2"/>
  <c r="AV104" i="2"/>
  <c r="AU104" i="2"/>
  <c r="AX104" i="2"/>
  <c r="AN104" i="2"/>
  <c r="AY104" i="2"/>
  <c r="AO104" i="2"/>
  <c r="AQ104" i="2"/>
  <c r="AW104" i="2"/>
  <c r="AR104" i="2"/>
  <c r="AP104" i="2"/>
  <c r="D152" i="12"/>
  <c r="D139" i="12"/>
  <c r="D137" i="12"/>
  <c r="Y274" i="2"/>
  <c r="Y216" i="2"/>
  <c r="N21" i="17"/>
  <c r="N23" i="17" s="1"/>
  <c r="M214" i="2"/>
  <c r="N50" i="17"/>
  <c r="N59" i="17" s="1"/>
  <c r="O59" i="17" s="1"/>
  <c r="P59" i="17" s="1"/>
  <c r="C139" i="12"/>
  <c r="C152" i="12"/>
  <c r="C137" i="12"/>
  <c r="AK271" i="2"/>
  <c r="AK275" i="2" s="1"/>
  <c r="AK216" i="2"/>
  <c r="AK218" i="2" s="1"/>
  <c r="AK219" i="2" s="1"/>
  <c r="E137" i="12"/>
  <c r="E139" i="12"/>
  <c r="E152" i="12"/>
  <c r="AZ72" i="2"/>
  <c r="AD72" i="2"/>
  <c r="AE72" i="2" s="1"/>
  <c r="AF72" i="2" s="1"/>
  <c r="AG72" i="2" s="1"/>
  <c r="AH72" i="2" s="1"/>
  <c r="AI72" i="2" s="1"/>
  <c r="AJ72" i="2" s="1"/>
  <c r="AK72" i="2" s="1"/>
  <c r="AD75" i="2"/>
  <c r="AE75" i="2" s="1"/>
  <c r="AF75" i="2" s="1"/>
  <c r="AG75" i="2" s="1"/>
  <c r="AH75" i="2" s="1"/>
  <c r="AI75" i="2" s="1"/>
  <c r="AJ75" i="2" s="1"/>
  <c r="AK75" i="2" s="1"/>
  <c r="AZ75" i="2"/>
  <c r="K14" i="2"/>
  <c r="AH271" i="2"/>
  <c r="AH275" i="2" s="1"/>
  <c r="AH216" i="2"/>
  <c r="AH218" i="2" s="1"/>
  <c r="AH219" i="2" s="1"/>
  <c r="AW23" i="2"/>
  <c r="AX23" i="2"/>
  <c r="AU23" i="2"/>
  <c r="AO23" i="2"/>
  <c r="AV23" i="2"/>
  <c r="AT23" i="2"/>
  <c r="AP23" i="2"/>
  <c r="AQ23" i="2"/>
  <c r="AS23" i="2"/>
  <c r="AN23" i="2"/>
  <c r="AR23" i="2"/>
  <c r="AY23" i="2"/>
  <c r="Y157" i="2"/>
  <c r="Y159" i="2" s="1"/>
  <c r="Y164" i="2" s="1"/>
  <c r="S106" i="2"/>
  <c r="T106" i="2" s="1"/>
  <c r="U106" i="2" s="1"/>
  <c r="BA32" i="2"/>
  <c r="AQ58" i="2"/>
  <c r="AO58" i="2"/>
  <c r="AY58" i="2"/>
  <c r="AU58" i="2"/>
  <c r="AT58" i="2"/>
  <c r="AX58" i="2"/>
  <c r="AR58" i="2"/>
  <c r="AN58" i="2"/>
  <c r="AS58" i="2"/>
  <c r="AW58" i="2"/>
  <c r="AP58" i="2"/>
  <c r="AV58" i="2"/>
  <c r="AT83" i="2"/>
  <c r="AN83" i="2"/>
  <c r="AS83" i="2"/>
  <c r="AV83" i="2"/>
  <c r="AY83" i="2"/>
  <c r="AU83" i="2"/>
  <c r="AQ83" i="2"/>
  <c r="AR83" i="2"/>
  <c r="AP83" i="2"/>
  <c r="AX83" i="2"/>
  <c r="AW83" i="2"/>
  <c r="AO83" i="2"/>
  <c r="V274" i="2"/>
  <c r="V275" i="2" s="1"/>
  <c r="V216" i="2"/>
  <c r="V218" i="2" s="1"/>
  <c r="V219" i="2" s="1"/>
  <c r="L95" i="2"/>
  <c r="M22" i="2"/>
  <c r="AZ49" i="2"/>
  <c r="AD49" i="2"/>
  <c r="AE49" i="2" s="1"/>
  <c r="AF49" i="2" s="1"/>
  <c r="AG49" i="2" s="1"/>
  <c r="AH49" i="2" s="1"/>
  <c r="AI49" i="2" s="1"/>
  <c r="AJ49" i="2" s="1"/>
  <c r="AK49" i="2" s="1"/>
  <c r="AZ52" i="2"/>
  <c r="AD52" i="2"/>
  <c r="AE52" i="2" s="1"/>
  <c r="AF52" i="2" s="1"/>
  <c r="AG52" i="2" s="1"/>
  <c r="AH52" i="2" s="1"/>
  <c r="AI52" i="2" s="1"/>
  <c r="AJ52" i="2" s="1"/>
  <c r="AK52" i="2" s="1"/>
  <c r="AE216" i="2"/>
  <c r="AE218" i="2" s="1"/>
  <c r="AE219" i="2" s="1"/>
  <c r="BA76" i="2"/>
  <c r="AZ43" i="2"/>
  <c r="AD43" i="2"/>
  <c r="AE43" i="2" s="1"/>
  <c r="AF43" i="2" s="1"/>
  <c r="AG43" i="2" s="1"/>
  <c r="AH43" i="2" s="1"/>
  <c r="AI43" i="2" s="1"/>
  <c r="AJ43" i="2" s="1"/>
  <c r="AK43" i="2" s="1"/>
  <c r="AD28" i="2"/>
  <c r="AE28" i="2" s="1"/>
  <c r="AF28" i="2" s="1"/>
  <c r="AG28" i="2" s="1"/>
  <c r="AH28" i="2" s="1"/>
  <c r="AI28" i="2" s="1"/>
  <c r="AJ28" i="2" s="1"/>
  <c r="AK28" i="2" s="1"/>
  <c r="AZ28" i="2"/>
  <c r="M103" i="2"/>
  <c r="AZ74" i="2"/>
  <c r="AD74" i="2"/>
  <c r="AE74" i="2" s="1"/>
  <c r="AF74" i="2" s="1"/>
  <c r="AG74" i="2" s="1"/>
  <c r="AH74" i="2" s="1"/>
  <c r="AI74" i="2" s="1"/>
  <c r="AJ74" i="2" s="1"/>
  <c r="AK74" i="2" s="1"/>
  <c r="BA65" i="2"/>
  <c r="Q21" i="17"/>
  <c r="Q23" i="17" s="1"/>
  <c r="Z39" i="17"/>
  <c r="P214" i="2"/>
  <c r="Q50" i="17"/>
  <c r="AX62" i="2"/>
  <c r="AR62" i="2"/>
  <c r="AV62" i="2"/>
  <c r="AT62" i="2"/>
  <c r="AS62" i="2"/>
  <c r="AU62" i="2"/>
  <c r="AW62" i="2"/>
  <c r="AO62" i="2"/>
  <c r="AQ62" i="2"/>
  <c r="AY62" i="2"/>
  <c r="AP62" i="2"/>
  <c r="AN62" i="2"/>
  <c r="AO59" i="2"/>
  <c r="AU59" i="2"/>
  <c r="AQ59" i="2"/>
  <c r="AW59" i="2"/>
  <c r="AP59" i="2"/>
  <c r="AT59" i="2"/>
  <c r="AX59" i="2"/>
  <c r="AN59" i="2"/>
  <c r="AV59" i="2"/>
  <c r="AS59" i="2"/>
  <c r="AR59" i="2"/>
  <c r="AY59" i="2"/>
  <c r="AN89" i="2"/>
  <c r="AY89" i="2"/>
  <c r="AP89" i="2"/>
  <c r="AU89" i="2"/>
  <c r="AX89" i="2"/>
  <c r="AS89" i="2"/>
  <c r="AR89" i="2"/>
  <c r="AT89" i="2"/>
  <c r="AW89" i="2"/>
  <c r="AO89" i="2"/>
  <c r="AQ89" i="2"/>
  <c r="AV89" i="2"/>
  <c r="N39" i="17"/>
  <c r="AQ80" i="2" l="1"/>
  <c r="AN80" i="2"/>
  <c r="Y36" i="2"/>
  <c r="Z36" i="2" s="1"/>
  <c r="AA36" i="2" s="1"/>
  <c r="AB36" i="2" s="1"/>
  <c r="AC36" i="2" s="1"/>
  <c r="AZ36" i="2" s="1"/>
  <c r="BA27" i="2"/>
  <c r="Y275" i="2"/>
  <c r="BA61" i="2"/>
  <c r="BA60" i="2"/>
  <c r="BA41" i="2"/>
  <c r="V106" i="2"/>
  <c r="W106" i="2" s="1"/>
  <c r="X106" i="2" s="1"/>
  <c r="Y106" i="2" s="1"/>
  <c r="Z106" i="2" s="1"/>
  <c r="AA106" i="2" s="1"/>
  <c r="AB106" i="2" s="1"/>
  <c r="AC106" i="2" s="1"/>
  <c r="AD106" i="2" s="1"/>
  <c r="AE106" i="2" s="1"/>
  <c r="AF106" i="2" s="1"/>
  <c r="AG106" i="2" s="1"/>
  <c r="AH106" i="2" s="1"/>
  <c r="AI106" i="2" s="1"/>
  <c r="AJ106" i="2" s="1"/>
  <c r="AK106" i="2" s="1"/>
  <c r="AT80" i="2"/>
  <c r="AV80" i="2"/>
  <c r="AX80" i="2"/>
  <c r="AS80" i="2"/>
  <c r="AY80" i="2"/>
  <c r="AW80" i="2"/>
  <c r="AE276" i="2"/>
  <c r="AO80" i="2"/>
  <c r="AU80" i="2"/>
  <c r="AR80" i="2"/>
  <c r="BA37" i="2"/>
  <c r="AO57" i="2"/>
  <c r="AX57" i="2"/>
  <c r="AW57" i="2"/>
  <c r="AP57" i="2"/>
  <c r="AN57" i="2"/>
  <c r="AS57" i="2"/>
  <c r="AR57" i="2"/>
  <c r="AT57" i="2"/>
  <c r="AU57" i="2"/>
  <c r="AQ57" i="2"/>
  <c r="AV57" i="2"/>
  <c r="AY57" i="2"/>
  <c r="BA46" i="2"/>
  <c r="BA89" i="2"/>
  <c r="N22" i="2"/>
  <c r="M95" i="2"/>
  <c r="BA58" i="2"/>
  <c r="AX72" i="2"/>
  <c r="AO72" i="2"/>
  <c r="AW72" i="2"/>
  <c r="AY72" i="2"/>
  <c r="AV72" i="2"/>
  <c r="AQ72" i="2"/>
  <c r="AU72" i="2"/>
  <c r="AS72" i="2"/>
  <c r="AR72" i="2"/>
  <c r="AN72" i="2"/>
  <c r="AP72" i="2"/>
  <c r="AT72" i="2"/>
  <c r="AY39" i="2"/>
  <c r="AX39" i="2"/>
  <c r="AU39" i="2"/>
  <c r="AW39" i="2"/>
  <c r="AO39" i="2"/>
  <c r="AS39" i="2"/>
  <c r="AQ39" i="2"/>
  <c r="AT39" i="2"/>
  <c r="AR39" i="2"/>
  <c r="AV39" i="2"/>
  <c r="AP39" i="2"/>
  <c r="AN39" i="2"/>
  <c r="AY51" i="2"/>
  <c r="AQ51" i="2"/>
  <c r="AX51" i="2"/>
  <c r="AU51" i="2"/>
  <c r="AW51" i="2"/>
  <c r="AN51" i="2"/>
  <c r="AR51" i="2"/>
  <c r="AO51" i="2"/>
  <c r="AP51" i="2"/>
  <c r="AT51" i="2"/>
  <c r="AS51" i="2"/>
  <c r="AV51" i="2"/>
  <c r="O100" i="2"/>
  <c r="O15" i="2" s="1"/>
  <c r="P98" i="2"/>
  <c r="BA59" i="2"/>
  <c r="BA62" i="2"/>
  <c r="N103" i="2"/>
  <c r="AP43" i="2"/>
  <c r="AY43" i="2"/>
  <c r="AR43" i="2"/>
  <c r="AU43" i="2"/>
  <c r="AW43" i="2"/>
  <c r="AN43" i="2"/>
  <c r="AO43" i="2"/>
  <c r="AX43" i="2"/>
  <c r="AS43" i="2"/>
  <c r="AV43" i="2"/>
  <c r="AQ43" i="2"/>
  <c r="AT43" i="2"/>
  <c r="AV52" i="2"/>
  <c r="AW52" i="2"/>
  <c r="AQ52" i="2"/>
  <c r="AS52" i="2"/>
  <c r="AX52" i="2"/>
  <c r="AU52" i="2"/>
  <c r="AR52" i="2"/>
  <c r="AO52" i="2"/>
  <c r="AT52" i="2"/>
  <c r="AP52" i="2"/>
  <c r="AY52" i="2"/>
  <c r="AN52" i="2"/>
  <c r="L14" i="2"/>
  <c r="AZ106" i="2"/>
  <c r="BA23" i="2"/>
  <c r="AH276" i="2"/>
  <c r="AY75" i="2"/>
  <c r="AX75" i="2"/>
  <c r="AV75" i="2"/>
  <c r="AW75" i="2"/>
  <c r="AO75" i="2"/>
  <c r="AR75" i="2"/>
  <c r="AQ75" i="2"/>
  <c r="AU75" i="2"/>
  <c r="AP75" i="2"/>
  <c r="AN75" i="2"/>
  <c r="AT75" i="2"/>
  <c r="AS75" i="2"/>
  <c r="AK276" i="2"/>
  <c r="AP29" i="2"/>
  <c r="AV29" i="2"/>
  <c r="AS29" i="2"/>
  <c r="AN29" i="2"/>
  <c r="AR29" i="2"/>
  <c r="AX29" i="2"/>
  <c r="AO29" i="2"/>
  <c r="AU29" i="2"/>
  <c r="AW29" i="2"/>
  <c r="AY29" i="2"/>
  <c r="AT29" i="2"/>
  <c r="AQ29" i="2"/>
  <c r="P273" i="2"/>
  <c r="P275" i="2" s="1"/>
  <c r="P216" i="2"/>
  <c r="P218" i="2" s="1"/>
  <c r="P219" i="2" s="1"/>
  <c r="BA83" i="2"/>
  <c r="Y218" i="2"/>
  <c r="Y219" i="2" s="1"/>
  <c r="Q59" i="17"/>
  <c r="R59" i="17" s="1"/>
  <c r="S59" i="17" s="1"/>
  <c r="T59" i="17" s="1"/>
  <c r="U59" i="17" s="1"/>
  <c r="V59" i="17" s="1"/>
  <c r="W59" i="17" s="1"/>
  <c r="X59" i="17" s="1"/>
  <c r="Y59" i="17" s="1"/>
  <c r="Z59" i="17" s="1"/>
  <c r="AA59" i="17" s="1"/>
  <c r="AB59" i="17" s="1"/>
  <c r="AC59" i="17" s="1"/>
  <c r="AD59" i="17" s="1"/>
  <c r="AE59" i="17" s="1"/>
  <c r="AF59" i="17" s="1"/>
  <c r="AG59" i="17" s="1"/>
  <c r="AH59" i="17" s="1"/>
  <c r="AI59" i="17" s="1"/>
  <c r="AJ59" i="17" s="1"/>
  <c r="AK59" i="17" s="1"/>
  <c r="AL59" i="17" s="1"/>
  <c r="BA104" i="2"/>
  <c r="AV63" i="2"/>
  <c r="AU63" i="2"/>
  <c r="AT63" i="2"/>
  <c r="AS63" i="2"/>
  <c r="AO63" i="2"/>
  <c r="AN63" i="2"/>
  <c r="AR63" i="2"/>
  <c r="AY63" i="2"/>
  <c r="AP63" i="2"/>
  <c r="AX63" i="2"/>
  <c r="AW63" i="2"/>
  <c r="AQ63" i="2"/>
  <c r="BA88" i="2"/>
  <c r="AN24" i="2"/>
  <c r="AO24" i="2"/>
  <c r="AT24" i="2"/>
  <c r="AR24" i="2"/>
  <c r="AY24" i="2"/>
  <c r="AW24" i="2"/>
  <c r="AP24" i="2"/>
  <c r="AS24" i="2"/>
  <c r="AU24" i="2"/>
  <c r="AX24" i="2"/>
  <c r="AV24" i="2"/>
  <c r="AQ24" i="2"/>
  <c r="AN74" i="2"/>
  <c r="AV74" i="2"/>
  <c r="AP74" i="2"/>
  <c r="AU74" i="2"/>
  <c r="AY74" i="2"/>
  <c r="AT74" i="2"/>
  <c r="AQ74" i="2"/>
  <c r="AX74" i="2"/>
  <c r="AO74" i="2"/>
  <c r="AS74" i="2"/>
  <c r="AR74" i="2"/>
  <c r="AW74" i="2"/>
  <c r="AX49" i="2"/>
  <c r="AU49" i="2"/>
  <c r="AR49" i="2"/>
  <c r="AO49" i="2"/>
  <c r="AY49" i="2"/>
  <c r="AW49" i="2"/>
  <c r="AV49" i="2"/>
  <c r="AN49" i="2"/>
  <c r="AS49" i="2"/>
  <c r="AP49" i="2"/>
  <c r="AT49" i="2"/>
  <c r="AQ49" i="2"/>
  <c r="V276" i="2"/>
  <c r="AD36" i="2"/>
  <c r="AE36" i="2" s="1"/>
  <c r="AF36" i="2" s="1"/>
  <c r="AG36" i="2" s="1"/>
  <c r="AH36" i="2" s="1"/>
  <c r="AI36" i="2" s="1"/>
  <c r="AJ36" i="2" s="1"/>
  <c r="AK36" i="2" s="1"/>
  <c r="M273" i="2"/>
  <c r="M275" i="2" s="1"/>
  <c r="M216" i="2"/>
  <c r="M218" i="2" s="1"/>
  <c r="M219" i="2" s="1"/>
  <c r="K105" i="2"/>
  <c r="J107" i="2"/>
  <c r="AN28" i="2"/>
  <c r="AY28" i="2"/>
  <c r="AP28" i="2"/>
  <c r="AV28" i="2"/>
  <c r="AO28" i="2"/>
  <c r="AX28" i="2"/>
  <c r="AR28" i="2"/>
  <c r="AW28" i="2"/>
  <c r="AQ28" i="2"/>
  <c r="AU28" i="2"/>
  <c r="AS28" i="2"/>
  <c r="AT28" i="2"/>
  <c r="BA80" i="2" l="1"/>
  <c r="BA57" i="2"/>
  <c r="M14" i="2"/>
  <c r="AR106" i="2"/>
  <c r="AX106" i="2"/>
  <c r="AO106" i="2"/>
  <c r="AS106" i="2"/>
  <c r="AN106" i="2"/>
  <c r="AV106" i="2"/>
  <c r="AY106" i="2"/>
  <c r="AT106" i="2"/>
  <c r="AP106" i="2"/>
  <c r="AU106" i="2"/>
  <c r="AW106" i="2"/>
  <c r="AQ106" i="2"/>
  <c r="Q98" i="2"/>
  <c r="P100" i="2"/>
  <c r="P15" i="2" s="1"/>
  <c r="BA51" i="2"/>
  <c r="BA72" i="2"/>
  <c r="O103" i="2"/>
  <c r="L105" i="2"/>
  <c r="K107" i="2"/>
  <c r="AR36" i="2"/>
  <c r="AY36" i="2"/>
  <c r="AU36" i="2"/>
  <c r="AO36" i="2"/>
  <c r="AX36" i="2"/>
  <c r="AT36" i="2"/>
  <c r="AP36" i="2"/>
  <c r="AW36" i="2"/>
  <c r="AV36" i="2"/>
  <c r="AS36" i="2"/>
  <c r="AN36" i="2"/>
  <c r="AQ36" i="2"/>
  <c r="P276" i="2"/>
  <c r="BA75" i="2"/>
  <c r="BA52" i="2"/>
  <c r="O22" i="2"/>
  <c r="N95" i="2"/>
  <c r="BA28" i="2"/>
  <c r="M276" i="2"/>
  <c r="BA74" i="2"/>
  <c r="BA24" i="2"/>
  <c r="BA63" i="2"/>
  <c r="BA29" i="2"/>
  <c r="J16" i="2"/>
  <c r="J17" i="2" s="1"/>
  <c r="J18" i="2" s="1"/>
  <c r="J109" i="2"/>
  <c r="J110" i="2" s="1"/>
  <c r="BA49" i="2"/>
  <c r="BA43" i="2"/>
  <c r="BA39" i="2"/>
  <c r="Y276" i="2"/>
  <c r="K16" i="2" l="1"/>
  <c r="K17" i="2" s="1"/>
  <c r="K18" i="2" s="1"/>
  <c r="K109" i="2"/>
  <c r="K110" i="2" s="1"/>
  <c r="M105" i="2"/>
  <c r="L107" i="2"/>
  <c r="N14" i="2"/>
  <c r="P103" i="2"/>
  <c r="R98" i="2"/>
  <c r="AM98" i="2"/>
  <c r="Q100" i="2"/>
  <c r="Q15" i="2" s="1"/>
  <c r="AM15" i="2" s="1"/>
  <c r="BA106" i="2"/>
  <c r="O95" i="2"/>
  <c r="P22" i="2"/>
  <c r="BA36" i="2"/>
  <c r="Q22" i="2" l="1"/>
  <c r="P95" i="2"/>
  <c r="AM100" i="2"/>
  <c r="R100" i="2"/>
  <c r="R15" i="2" s="1"/>
  <c r="S98" i="2"/>
  <c r="Q103" i="2"/>
  <c r="N105" i="2"/>
  <c r="M107" i="2"/>
  <c r="O14" i="2"/>
  <c r="L16" i="2"/>
  <c r="L17" i="2" s="1"/>
  <c r="L18" i="2" s="1"/>
  <c r="L109" i="2"/>
  <c r="L110" i="2" s="1"/>
  <c r="T98" i="2" l="1"/>
  <c r="S100" i="2"/>
  <c r="S15" i="2" s="1"/>
  <c r="P14" i="2"/>
  <c r="M16" i="2"/>
  <c r="M17" i="2" s="1"/>
  <c r="M18" i="2" s="1"/>
  <c r="M109" i="2"/>
  <c r="M110" i="2" s="1"/>
  <c r="O105" i="2"/>
  <c r="N107" i="2"/>
  <c r="AM103" i="2"/>
  <c r="R103" i="2"/>
  <c r="AM22" i="2"/>
  <c r="Q95" i="2"/>
  <c r="R22" i="2"/>
  <c r="R95" i="2" l="1"/>
  <c r="S22" i="2"/>
  <c r="S103" i="2"/>
  <c r="P105" i="2"/>
  <c r="O107" i="2"/>
  <c r="Q14" i="2"/>
  <c r="AM95" i="2"/>
  <c r="N16" i="2"/>
  <c r="N17" i="2" s="1"/>
  <c r="N18" i="2" s="1"/>
  <c r="N109" i="2"/>
  <c r="N110" i="2" s="1"/>
  <c r="U98" i="2"/>
  <c r="T100" i="2"/>
  <c r="T15" i="2" s="1"/>
  <c r="T22" i="2" l="1"/>
  <c r="S95" i="2"/>
  <c r="U100" i="2"/>
  <c r="U15" i="2" s="1"/>
  <c r="V98" i="2"/>
  <c r="T103" i="2"/>
  <c r="O16" i="2"/>
  <c r="O17" i="2" s="1"/>
  <c r="O18" i="2" s="1"/>
  <c r="O109" i="2"/>
  <c r="O110" i="2" s="1"/>
  <c r="AM14" i="2"/>
  <c r="Q105" i="2"/>
  <c r="P107" i="2"/>
  <c r="R14" i="2"/>
  <c r="U103" i="2" l="1"/>
  <c r="S14" i="2"/>
  <c r="P16" i="2"/>
  <c r="P17" i="2" s="1"/>
  <c r="P18" i="2" s="1"/>
  <c r="P109" i="2"/>
  <c r="P110" i="2" s="1"/>
  <c r="AM105" i="2"/>
  <c r="R105" i="2"/>
  <c r="Q107" i="2"/>
  <c r="W98" i="2"/>
  <c r="V100" i="2"/>
  <c r="V15" i="2" s="1"/>
  <c r="T95" i="2"/>
  <c r="U22" i="2"/>
  <c r="T14" i="2" l="1"/>
  <c r="V22" i="2"/>
  <c r="U95" i="2"/>
  <c r="Q16" i="2"/>
  <c r="Q109" i="2"/>
  <c r="Q110" i="2" s="1"/>
  <c r="V103" i="2"/>
  <c r="S105" i="2"/>
  <c r="R107" i="2"/>
  <c r="AM107" i="2"/>
  <c r="AM109" i="2" s="1"/>
  <c r="W100" i="2"/>
  <c r="W15" i="2" s="1"/>
  <c r="X98" i="2"/>
  <c r="Y98" i="2" l="1"/>
  <c r="X100" i="2"/>
  <c r="X15" i="2" s="1"/>
  <c r="W103" i="2"/>
  <c r="U14" i="2"/>
  <c r="W22" i="2"/>
  <c r="V95" i="2"/>
  <c r="R16" i="2"/>
  <c r="R17" i="2" s="1"/>
  <c r="R18" i="2" s="1"/>
  <c r="R109" i="2"/>
  <c r="R110" i="2" s="1"/>
  <c r="T105" i="2"/>
  <c r="S107" i="2"/>
  <c r="AM16" i="2"/>
  <c r="Q17" i="2"/>
  <c r="Q18" i="2" s="1"/>
  <c r="W95" i="2" l="1"/>
  <c r="X22" i="2"/>
  <c r="AM17" i="2"/>
  <c r="S16" i="2"/>
  <c r="S17" i="2" s="1"/>
  <c r="S18" i="2" s="1"/>
  <c r="S109" i="2"/>
  <c r="S110" i="2" s="1"/>
  <c r="U105" i="2"/>
  <c r="T107" i="2"/>
  <c r="V14" i="2"/>
  <c r="X103" i="2"/>
  <c r="Y100" i="2"/>
  <c r="Y15" i="2" s="1"/>
  <c r="Z98" i="2"/>
  <c r="X95" i="2" l="1"/>
  <c r="Y22" i="2"/>
  <c r="T16" i="2"/>
  <c r="T17" i="2" s="1"/>
  <c r="T18" i="2" s="1"/>
  <c r="T109" i="2"/>
  <c r="T110" i="2" s="1"/>
  <c r="Y103" i="2"/>
  <c r="V105" i="2"/>
  <c r="U107" i="2"/>
  <c r="AA98" i="2"/>
  <c r="Z100" i="2"/>
  <c r="Z15" i="2" s="1"/>
  <c r="W14" i="2"/>
  <c r="W105" i="2" l="1"/>
  <c r="V107" i="2"/>
  <c r="AB98" i="2"/>
  <c r="AA100" i="2"/>
  <c r="AA15" i="2" s="1"/>
  <c r="Z103" i="2"/>
  <c r="U16" i="2"/>
  <c r="U17" i="2" s="1"/>
  <c r="U18" i="2" s="1"/>
  <c r="U109" i="2"/>
  <c r="U110" i="2" s="1"/>
  <c r="Y95" i="2"/>
  <c r="Z22" i="2"/>
  <c r="X14" i="2"/>
  <c r="AA22" i="2" l="1"/>
  <c r="Z95" i="2"/>
  <c r="Y14" i="2"/>
  <c r="V16" i="2"/>
  <c r="V17" i="2" s="1"/>
  <c r="V18" i="2" s="1"/>
  <c r="V109" i="2"/>
  <c r="V110" i="2" s="1"/>
  <c r="AC98" i="2"/>
  <c r="AB100" i="2"/>
  <c r="AB15" i="2" s="1"/>
  <c r="AA103" i="2"/>
  <c r="X105" i="2"/>
  <c r="W107" i="2"/>
  <c r="AB103" i="2" l="1"/>
  <c r="Z14" i="2"/>
  <c r="W16" i="2"/>
  <c r="W17" i="2" s="1"/>
  <c r="W18" i="2" s="1"/>
  <c r="W109" i="2"/>
  <c r="W110" i="2" s="1"/>
  <c r="Y105" i="2"/>
  <c r="X107" i="2"/>
  <c r="AC100" i="2"/>
  <c r="AC15" i="2" s="1"/>
  <c r="AZ15" i="2" s="1"/>
  <c r="AD98" i="2"/>
  <c r="AZ98" i="2"/>
  <c r="AB22" i="2"/>
  <c r="AA95" i="2"/>
  <c r="AD100" i="2" l="1"/>
  <c r="AD15" i="2" s="1"/>
  <c r="AE98" i="2"/>
  <c r="AA14" i="2"/>
  <c r="AU15" i="2"/>
  <c r="AW15" i="2"/>
  <c r="AR15" i="2"/>
  <c r="AX15" i="2"/>
  <c r="AT15" i="2"/>
  <c r="AN15" i="2"/>
  <c r="AO15" i="2"/>
  <c r="AS15" i="2"/>
  <c r="AP15" i="2"/>
  <c r="AV15" i="2"/>
  <c r="AY15" i="2"/>
  <c r="AQ15" i="2"/>
  <c r="AC103" i="2"/>
  <c r="AY98" i="2"/>
  <c r="AY100" i="2" s="1"/>
  <c r="AS98" i="2"/>
  <c r="AS100" i="2" s="1"/>
  <c r="AX98" i="2"/>
  <c r="AX100" i="2" s="1"/>
  <c r="AR98" i="2"/>
  <c r="AR100" i="2" s="1"/>
  <c r="AW98" i="2"/>
  <c r="AW100" i="2" s="1"/>
  <c r="AV98" i="2"/>
  <c r="AV100" i="2" s="1"/>
  <c r="AQ98" i="2"/>
  <c r="AQ100" i="2" s="1"/>
  <c r="AT98" i="2"/>
  <c r="AT100" i="2" s="1"/>
  <c r="AN98" i="2"/>
  <c r="AU98" i="2"/>
  <c r="AU100" i="2" s="1"/>
  <c r="AP98" i="2"/>
  <c r="AP100" i="2" s="1"/>
  <c r="AZ100" i="2"/>
  <c r="AO98" i="2"/>
  <c r="AO100" i="2" s="1"/>
  <c r="Z105" i="2"/>
  <c r="Y107" i="2"/>
  <c r="AC22" i="2"/>
  <c r="AB95" i="2"/>
  <c r="X16" i="2"/>
  <c r="X17" i="2" s="1"/>
  <c r="X18" i="2" s="1"/>
  <c r="X109" i="2"/>
  <c r="X110" i="2" s="1"/>
  <c r="AZ22" i="2" l="1"/>
  <c r="AD22" i="2"/>
  <c r="AC95" i="2"/>
  <c r="AF98" i="2"/>
  <c r="AE100" i="2"/>
  <c r="AE15" i="2" s="1"/>
  <c r="AA105" i="2"/>
  <c r="Z107" i="2"/>
  <c r="AB14" i="2"/>
  <c r="AN100" i="2"/>
  <c r="BA98" i="2"/>
  <c r="BA100" i="2" s="1"/>
  <c r="BA15" i="2"/>
  <c r="Y16" i="2"/>
  <c r="Y17" i="2" s="1"/>
  <c r="Y18" i="2" s="1"/>
  <c r="Y109" i="2"/>
  <c r="Y110" i="2" s="1"/>
  <c r="AZ103" i="2"/>
  <c r="AD103" i="2"/>
  <c r="Z16" i="2" l="1"/>
  <c r="Z17" i="2" s="1"/>
  <c r="Z18" i="2" s="1"/>
  <c r="Z109" i="2"/>
  <c r="Z110" i="2" s="1"/>
  <c r="AC14" i="2"/>
  <c r="AB105" i="2"/>
  <c r="AA107" i="2"/>
  <c r="AU103" i="2"/>
  <c r="AY103" i="2"/>
  <c r="AN103" i="2"/>
  <c r="AQ103" i="2"/>
  <c r="AR103" i="2"/>
  <c r="AV103" i="2"/>
  <c r="AX103" i="2"/>
  <c r="AP103" i="2"/>
  <c r="AO103" i="2"/>
  <c r="AT103" i="2"/>
  <c r="AS103" i="2"/>
  <c r="AW103" i="2"/>
  <c r="AF100" i="2"/>
  <c r="AF15" i="2" s="1"/>
  <c r="AG98" i="2"/>
  <c r="AD95" i="2"/>
  <c r="AE22" i="2"/>
  <c r="AE103" i="2"/>
  <c r="AT22" i="2"/>
  <c r="AT95" i="2" s="1"/>
  <c r="AU22" i="2"/>
  <c r="AU95" i="2" s="1"/>
  <c r="AV22" i="2"/>
  <c r="AV95" i="2" s="1"/>
  <c r="AX22" i="2"/>
  <c r="AX95" i="2" s="1"/>
  <c r="AO22" i="2"/>
  <c r="AO95" i="2" s="1"/>
  <c r="AP22" i="2"/>
  <c r="AP95" i="2" s="1"/>
  <c r="AR22" i="2"/>
  <c r="AR95" i="2" s="1"/>
  <c r="AN22" i="2"/>
  <c r="AZ95" i="2"/>
  <c r="AS22" i="2"/>
  <c r="AS95" i="2" s="1"/>
  <c r="AQ22" i="2"/>
  <c r="AQ95" i="2" s="1"/>
  <c r="AW22" i="2"/>
  <c r="AW95" i="2" s="1"/>
  <c r="AY22" i="2"/>
  <c r="AY95" i="2" s="1"/>
  <c r="AF22" i="2" l="1"/>
  <c r="AE95" i="2"/>
  <c r="AD14" i="2"/>
  <c r="AA16" i="2"/>
  <c r="AA17" i="2" s="1"/>
  <c r="AA18" i="2" s="1"/>
  <c r="AA109" i="2"/>
  <c r="AA110" i="2" s="1"/>
  <c r="AF103" i="2"/>
  <c r="AZ14" i="2"/>
  <c r="AN95" i="2"/>
  <c r="BA22" i="2"/>
  <c r="BA95" i="2" s="1"/>
  <c r="AG100" i="2"/>
  <c r="AG15" i="2" s="1"/>
  <c r="AH98" i="2"/>
  <c r="BA103" i="2"/>
  <c r="AC105" i="2"/>
  <c r="AB107" i="2"/>
  <c r="AE14" i="2" l="1"/>
  <c r="AB16" i="2"/>
  <c r="AB17" i="2" s="1"/>
  <c r="AB18" i="2" s="1"/>
  <c r="AB109" i="2"/>
  <c r="AB110" i="2" s="1"/>
  <c r="AY14" i="2"/>
  <c r="AO14" i="2"/>
  <c r="AS14" i="2"/>
  <c r="AW14" i="2"/>
  <c r="AT14" i="2"/>
  <c r="AQ14" i="2"/>
  <c r="AV14" i="2"/>
  <c r="AU14" i="2"/>
  <c r="AN14" i="2"/>
  <c r="AX14" i="2"/>
  <c r="AP14" i="2"/>
  <c r="AR14" i="2"/>
  <c r="AG103" i="2"/>
  <c r="AD105" i="2"/>
  <c r="AZ105" i="2"/>
  <c r="AC107" i="2"/>
  <c r="AH100" i="2"/>
  <c r="AH15" i="2" s="1"/>
  <c r="AI98" i="2"/>
  <c r="AG22" i="2"/>
  <c r="AF95" i="2"/>
  <c r="AF14" i="2" l="1"/>
  <c r="AH22" i="2"/>
  <c r="AG95" i="2"/>
  <c r="AC16" i="2"/>
  <c r="AC109" i="2"/>
  <c r="AC110" i="2" s="1"/>
  <c r="AH103" i="2"/>
  <c r="AW105" i="2"/>
  <c r="AW107" i="2" s="1"/>
  <c r="AW109" i="2" s="1"/>
  <c r="AQ105" i="2"/>
  <c r="AQ107" i="2" s="1"/>
  <c r="AQ109" i="2" s="1"/>
  <c r="AP105" i="2"/>
  <c r="AP107" i="2" s="1"/>
  <c r="AP109" i="2" s="1"/>
  <c r="AS105" i="2"/>
  <c r="AS107" i="2" s="1"/>
  <c r="AS109" i="2" s="1"/>
  <c r="AX105" i="2"/>
  <c r="AX107" i="2" s="1"/>
  <c r="AX109" i="2" s="1"/>
  <c r="AT105" i="2"/>
  <c r="AT107" i="2" s="1"/>
  <c r="AT109" i="2" s="1"/>
  <c r="AR105" i="2"/>
  <c r="AR107" i="2" s="1"/>
  <c r="AR109" i="2" s="1"/>
  <c r="AU105" i="2"/>
  <c r="AU107" i="2" s="1"/>
  <c r="AU109" i="2" s="1"/>
  <c r="AV105" i="2"/>
  <c r="AV107" i="2" s="1"/>
  <c r="AV109" i="2" s="1"/>
  <c r="AN105" i="2"/>
  <c r="AY105" i="2"/>
  <c r="AY107" i="2" s="1"/>
  <c r="AY109" i="2" s="1"/>
  <c r="AO105" i="2"/>
  <c r="AO107" i="2" s="1"/>
  <c r="AO109" i="2" s="1"/>
  <c r="AZ107" i="2"/>
  <c r="AZ109" i="2" s="1"/>
  <c r="AI100" i="2"/>
  <c r="AI15" i="2" s="1"/>
  <c r="AJ98" i="2"/>
  <c r="AE105" i="2"/>
  <c r="AD107" i="2"/>
  <c r="AJ100" i="2" l="1"/>
  <c r="AJ15" i="2" s="1"/>
  <c r="AK98" i="2"/>
  <c r="AK100" i="2" s="1"/>
  <c r="AK15" i="2" s="1"/>
  <c r="AI103" i="2"/>
  <c r="AG14" i="2"/>
  <c r="AD16" i="2"/>
  <c r="AD17" i="2" s="1"/>
  <c r="AD18" i="2" s="1"/>
  <c r="AD109" i="2"/>
  <c r="AD110" i="2" s="1"/>
  <c r="BA105" i="2"/>
  <c r="BA107" i="2" s="1"/>
  <c r="BA109" i="2" s="1"/>
  <c r="AN107" i="2"/>
  <c r="AN109" i="2" s="1"/>
  <c r="AF105" i="2"/>
  <c r="AE107" i="2"/>
  <c r="AZ16" i="2"/>
  <c r="AC17" i="2"/>
  <c r="AC18" i="2" s="1"/>
  <c r="AH95" i="2"/>
  <c r="AI22" i="2"/>
  <c r="AJ22" i="2" l="1"/>
  <c r="AI95" i="2"/>
  <c r="AS16" i="2"/>
  <c r="AS17" i="2" s="1"/>
  <c r="AQ16" i="2"/>
  <c r="AQ17" i="2" s="1"/>
  <c r="AV16" i="2"/>
  <c r="AV17" i="2" s="1"/>
  <c r="AO16" i="2"/>
  <c r="AO17" i="2" s="1"/>
  <c r="AT16" i="2"/>
  <c r="AT17" i="2" s="1"/>
  <c r="AN16" i="2"/>
  <c r="AY16" i="2"/>
  <c r="AY17" i="2" s="1"/>
  <c r="AX16" i="2"/>
  <c r="AX17" i="2" s="1"/>
  <c r="AR16" i="2"/>
  <c r="AR17" i="2" s="1"/>
  <c r="AW16" i="2"/>
  <c r="AW17" i="2" s="1"/>
  <c r="AU16" i="2"/>
  <c r="AU17" i="2" s="1"/>
  <c r="AP16" i="2"/>
  <c r="AP17" i="2" s="1"/>
  <c r="AZ17" i="2"/>
  <c r="AH14" i="2"/>
  <c r="AG105" i="2"/>
  <c r="AF107" i="2"/>
  <c r="AJ103" i="2"/>
  <c r="AE16" i="2"/>
  <c r="AE17" i="2" s="1"/>
  <c r="AE18" i="2" s="1"/>
  <c r="AE109" i="2"/>
  <c r="AE110" i="2" s="1"/>
  <c r="AH105" i="2" l="1"/>
  <c r="AG107" i="2"/>
  <c r="AK103" i="2"/>
  <c r="AI14" i="2"/>
  <c r="AF16" i="2"/>
  <c r="AF17" i="2" s="1"/>
  <c r="AF18" i="2" s="1"/>
  <c r="AF109" i="2"/>
  <c r="AF110" i="2" s="1"/>
  <c r="BA16" i="2"/>
  <c r="BA17" i="2" s="1"/>
  <c r="AN17" i="2"/>
  <c r="AK22" i="2"/>
  <c r="AK95" i="2" s="1"/>
  <c r="AJ95" i="2"/>
  <c r="AK14" i="2" l="1"/>
  <c r="AG16" i="2"/>
  <c r="AG17" i="2" s="1"/>
  <c r="AG18" i="2" s="1"/>
  <c r="AG109" i="2"/>
  <c r="AG110" i="2" s="1"/>
  <c r="AJ14" i="2"/>
  <c r="AI105" i="2"/>
  <c r="AH107" i="2"/>
  <c r="AH16" i="2" l="1"/>
  <c r="AH17" i="2" s="1"/>
  <c r="AH18" i="2" s="1"/>
  <c r="AH109" i="2"/>
  <c r="AH110" i="2" s="1"/>
  <c r="AJ105" i="2"/>
  <c r="AI107" i="2"/>
  <c r="AK105" i="2" l="1"/>
  <c r="AK107" i="2" s="1"/>
  <c r="AJ107" i="2"/>
  <c r="AI16" i="2"/>
  <c r="AI17" i="2" s="1"/>
  <c r="AI18" i="2" s="1"/>
  <c r="AI109" i="2"/>
  <c r="AI110" i="2" s="1"/>
  <c r="AJ16" i="2" l="1"/>
  <c r="AJ17" i="2" s="1"/>
  <c r="AJ18" i="2" s="1"/>
  <c r="AJ109" i="2"/>
  <c r="AJ110" i="2" s="1"/>
  <c r="AK16" i="2"/>
  <c r="AK17" i="2" s="1"/>
  <c r="AK18" i="2" s="1"/>
  <c r="AK109" i="2"/>
  <c r="AK110" i="2" s="1"/>
</calcChain>
</file>

<file path=xl/sharedStrings.xml><?xml version="1.0" encoding="utf-8"?>
<sst xmlns="http://schemas.openxmlformats.org/spreadsheetml/2006/main" count="1420" uniqueCount="718">
  <si>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</si>
  <si>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</si>
  <si>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</si>
  <si>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</si>
  <si>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</si>
  <si>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</si>
  <si>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</si>
  <si>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</si>
  <si>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</si>
  <si>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</si>
  <si>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</si>
  <si>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</si>
  <si>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</si>
  <si>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</si>
  <si>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</si>
  <si>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</si>
  <si>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</si>
  <si>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</si>
  <si>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</si>
  <si>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</si>
  <si>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</si>
  <si>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</si>
  <si>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</si>
  <si>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</si>
  <si>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</si>
  <si>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</si>
  <si>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</si>
  <si>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</si>
  <si>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</si>
  <si>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</si>
  <si>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NET DEFERRED TAXES</t>
  </si>
  <si>
    <t>Activity</t>
  </si>
  <si>
    <t>Deferred Tax Detail</t>
  </si>
  <si>
    <t>2008 Wind Storm Damages</t>
  </si>
  <si>
    <t>2009 Winter Storm Damages</t>
  </si>
  <si>
    <t>Amortization Loss on Reacquired Debt</t>
  </si>
  <si>
    <t>Bad Debts Reserves</t>
  </si>
  <si>
    <t>Bonus Depreciation - Federal</t>
  </si>
  <si>
    <t>Book Depreciation</t>
  </si>
  <si>
    <t>CAFC - Federal</t>
  </si>
  <si>
    <t>CAFC - State</t>
  </si>
  <si>
    <t>CIAC - FED</t>
  </si>
  <si>
    <t>CMRG Regulatory Asset</t>
  </si>
  <si>
    <t>Contingency Reserve</t>
  </si>
  <si>
    <t>Cost of Removal</t>
  </si>
  <si>
    <t>Deferred Rent Payable</t>
  </si>
  <si>
    <t>Demand Side Management</t>
  </si>
  <si>
    <t>Demand Side Management - Current</t>
  </si>
  <si>
    <t>Depr Related Book/Tax Diff's PYs Cumulative - Fed</t>
  </si>
  <si>
    <t>Depr Related Book/Tax Diff's PYs Cumulative - St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</si>
  <si>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</si>
  <si>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</si>
  <si>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</si>
  <si>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</si>
  <si>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</si>
  <si>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143 - 190</t>
  </si>
  <si>
    <t>FAS 143 - 283</t>
  </si>
  <si>
    <t>FAS 143 - ARO</t>
  </si>
  <si>
    <t>FAS 87 Pensions</t>
  </si>
  <si>
    <t>Interest Capitalized - Federal</t>
  </si>
  <si>
    <t>Interest Rate Swaps</t>
  </si>
  <si>
    <t>Interest Rate Swaps - Reg Asset</t>
  </si>
  <si>
    <t>MISO Exit Fees-Transmission</t>
  </si>
  <si>
    <t>Pensions - Regulatory Asset</t>
  </si>
  <si>
    <t>Performance Incentive</t>
  </si>
  <si>
    <t>Regulatory Expenses</t>
  </si>
  <si>
    <t>State Tax Current</t>
  </si>
  <si>
    <t>Swap Termination</t>
  </si>
  <si>
    <t>Tax Depreciation - Federal</t>
  </si>
  <si>
    <t>Tax Depreciation - State</t>
  </si>
  <si>
    <t>TAX REPAIR EXPENSING</t>
  </si>
  <si>
    <t>TC2 Basis Adjustment</t>
  </si>
  <si>
    <t>Tenant Incentive Amortization</t>
  </si>
  <si>
    <t>Vacation Pay</t>
  </si>
  <si>
    <t>Workers Compensation</t>
  </si>
  <si>
    <t>Gas Line Tracker Reg Asset - Current</t>
  </si>
  <si>
    <t>Purchased Gas Adjustment - Current</t>
  </si>
  <si>
    <t>Non-Qualified Thrift-BTL</t>
  </si>
  <si>
    <t>Total Deferred Taxes</t>
  </si>
  <si>
    <t>Deferred Tax Activity</t>
  </si>
  <si>
    <t>ITC Amortization</t>
  </si>
  <si>
    <t>Total State Tax Depreciation Expense</t>
  </si>
  <si>
    <t>Less State</t>
  </si>
  <si>
    <t>Federal Excess</t>
  </si>
  <si>
    <t>TC2 Basis</t>
  </si>
  <si>
    <t>State Excess</t>
  </si>
  <si>
    <t>FAS 109 Adjustments (Reg)</t>
  </si>
  <si>
    <t>Excess Deferreds</t>
  </si>
  <si>
    <t>Total</t>
  </si>
  <si>
    <t>Tax Impact Only</t>
  </si>
  <si>
    <t>Electric</t>
  </si>
  <si>
    <t>E:[Enter Addbacks as +, Deducts as -]</t>
  </si>
  <si>
    <t>AF:[]</t>
  </si>
  <si>
    <t>K:[]</t>
  </si>
  <si>
    <t>Excess Deferreds (FAS 109)</t>
  </si>
  <si>
    <t>TC2 Basis (FAS 109)</t>
  </si>
  <si>
    <t>Summary</t>
  </si>
  <si>
    <t>Effective Tax Rate Adjustment-Deferred</t>
  </si>
  <si>
    <t>Obsolete Inventroy</t>
  </si>
  <si>
    <t>Off-System Sales Tracker - Reg Liab</t>
  </si>
  <si>
    <t>Research &amp; Experimental Credits</t>
  </si>
  <si>
    <t>Solar Credit Basis Adjustment</t>
  </si>
  <si>
    <t>Solar Credit Carryforward</t>
  </si>
  <si>
    <t>2018</t>
  </si>
  <si>
    <t>2019</t>
  </si>
  <si>
    <t>2020</t>
  </si>
  <si>
    <t>Book Income Before Tax</t>
  </si>
  <si>
    <t>Permanent</t>
  </si>
  <si>
    <t>Nondeductible M&amp;E</t>
  </si>
  <si>
    <t>Medicare Part D subsidy</t>
  </si>
  <si>
    <t>Nondeductible Political Activities</t>
  </si>
  <si>
    <t>Life Insurance Premiums</t>
  </si>
  <si>
    <t>PPL Servco Allocations</t>
  </si>
  <si>
    <t>IRC 199 Manufacturing Deduction - Federal</t>
  </si>
  <si>
    <t>Total for Permanent:</t>
  </si>
  <si>
    <t>Flow-Through</t>
  </si>
  <si>
    <t>AFUDC - EQUITY - FEDERAL</t>
  </si>
  <si>
    <t>Total for Flow-Through:</t>
  </si>
  <si>
    <t>Temporary</t>
  </si>
  <si>
    <t>VA Mountain Snow Storm</t>
  </si>
  <si>
    <t>Purchase accounting timing diffs</t>
  </si>
  <si>
    <t>HMPL Purchased Power</t>
  </si>
  <si>
    <t>Int Rate Swap-Reg Asset</t>
  </si>
  <si>
    <t>Int Rate Swap-Reg Liab</t>
  </si>
  <si>
    <t>Green River Reg Asset</t>
  </si>
  <si>
    <t>Obsolete Inventory</t>
  </si>
  <si>
    <t>Muni - Reg Asset and Liab</t>
  </si>
  <si>
    <t>R&amp;D - misc def debits</t>
  </si>
  <si>
    <t>OST over/under recovery</t>
  </si>
  <si>
    <t>Refined Coal - VA</t>
  </si>
  <si>
    <t>Refined Coal - KY</t>
  </si>
  <si>
    <t>FAS 106 Cost Write-Off (Post Retirement) - Expense</t>
  </si>
  <si>
    <t>FAS 106 Cost Write-Off (Post Retirement) - Payment</t>
  </si>
  <si>
    <t>FAS 87 Pensions - Expense</t>
  </si>
  <si>
    <t>FAS 87 Pensions - Payment</t>
  </si>
  <si>
    <t>VA over/under Recovery Fuel Clause</t>
  </si>
  <si>
    <t>Total for Temporary:</t>
  </si>
  <si>
    <t>Property Related</t>
  </si>
  <si>
    <t>ARO CCR Expenditure</t>
  </si>
  <si>
    <t>ARO CCR Amortization</t>
  </si>
  <si>
    <t>AFUDC-DEBT,REPAIR ALLOW.,MISC BOOK DIFFS-FEDERAL</t>
  </si>
  <si>
    <t>Tax Gain/Loss</t>
  </si>
  <si>
    <t>Total for Property Related:</t>
  </si>
  <si>
    <t>Taxable Income Before State Tax</t>
  </si>
  <si>
    <t>State and Local Current Tax</t>
  </si>
  <si>
    <t>Federal Taxable Income</t>
  </si>
  <si>
    <t>Federal NOL Utilization</t>
  </si>
  <si>
    <t>Federal Taxable Income after NOL</t>
  </si>
  <si>
    <t>Statutory Tax Rate</t>
  </si>
  <si>
    <t>Federal Current Tax</t>
  </si>
  <si>
    <t>Fed-State Differences</t>
  </si>
  <si>
    <t>IRC 199 Manufacturing Deduction - State</t>
  </si>
  <si>
    <t>Total for Fed-State Differences:</t>
  </si>
  <si>
    <t>State Taxable Income</t>
  </si>
  <si>
    <t>State NOL Utilization</t>
  </si>
  <si>
    <t>Calculated Tax</t>
  </si>
  <si>
    <t>Coal Credit</t>
  </si>
  <si>
    <t>State Current Tax</t>
  </si>
  <si>
    <t>Deferred Tax Adjustments</t>
  </si>
  <si>
    <t>Total Federal Timing Difference per Above</t>
  </si>
  <si>
    <t>Deferred State Adjustment</t>
  </si>
  <si>
    <t xml:space="preserve">  Subtotal</t>
  </si>
  <si>
    <t>Federal Income Tax Rate</t>
  </si>
  <si>
    <t>Federal Deferred Adjustments:</t>
  </si>
  <si>
    <t>PY Adjustments</t>
  </si>
  <si>
    <t>Credit Carryforwards (RE and Hydro)</t>
  </si>
  <si>
    <t>Valuation Allowances</t>
  </si>
  <si>
    <t>Excess Deferred</t>
  </si>
  <si>
    <t>TC2 Basis Adjusment</t>
  </si>
  <si>
    <t>Total Federal Deferred Adjustments</t>
  </si>
  <si>
    <t xml:space="preserve">  Federal Deferred Expense</t>
  </si>
  <si>
    <t>Total State Timing Differences</t>
  </si>
  <si>
    <t>Apportionment Factor</t>
  </si>
  <si>
    <t xml:space="preserve"> State Timing Differences after apport.</t>
  </si>
  <si>
    <t>State Income Tax Rate</t>
  </si>
  <si>
    <t>State Deferred Adjustments:</t>
  </si>
  <si>
    <t>Total State Deferred Adjustments</t>
  </si>
  <si>
    <t xml:space="preserve">  State Deferred Expense</t>
  </si>
  <si>
    <t>YTD Pre-Tax Income per books as reported</t>
  </si>
  <si>
    <t>Total Current Federal Tax Expense</t>
  </si>
  <si>
    <t>Total Current State Tax Expense</t>
  </si>
  <si>
    <t>Total Deferred Federal Tax Expense</t>
  </si>
  <si>
    <t>Total Deferred State Tax Expense</t>
  </si>
  <si>
    <t>ITC</t>
  </si>
  <si>
    <t xml:space="preserve">     TOTAL</t>
  </si>
  <si>
    <t>Net Income after Tax</t>
  </si>
  <si>
    <t>Effective Tax Rate</t>
  </si>
  <si>
    <t>UI Planner Check Digits</t>
  </si>
  <si>
    <t>Federal Current Tax Check Digit</t>
  </si>
  <si>
    <t>State Current Tax Check Digit</t>
  </si>
  <si>
    <t>Total Tax Check Digit</t>
  </si>
  <si>
    <t>Check to Income Statement</t>
  </si>
  <si>
    <t>JZ:[Income before Income Taxes]</t>
  </si>
  <si>
    <t>KA:[]</t>
  </si>
  <si>
    <t>KB:[Income Taxes]</t>
  </si>
  <si>
    <t xml:space="preserve">     KC:[Provision-Federal]</t>
  </si>
  <si>
    <t xml:space="preserve">     KD:[Provision -State]</t>
  </si>
  <si>
    <t xml:space="preserve">     KE:[Provision for Foreign Taxes]</t>
  </si>
  <si>
    <t xml:space="preserve">     KF:[Deferred Income Taxes]</t>
  </si>
  <si>
    <t>KG:[Income Taxes]</t>
  </si>
  <si>
    <t>Year</t>
  </si>
  <si>
    <t>Income Tax Detail</t>
  </si>
  <si>
    <t>Pretax Income</t>
  </si>
  <si>
    <t>KY Section 199 Manufacturing Deduction - Federal</t>
  </si>
  <si>
    <t>Federal NOL Adjustment (Utilization)</t>
  </si>
  <si>
    <t>Less: State Income Tax Current</t>
  </si>
  <si>
    <t>Federal Income Tax - Current</t>
  </si>
  <si>
    <t>Tax-Schedule M (Fed &amp; State)</t>
  </si>
  <si>
    <t>F:[Logic to Pull Pension and Post Retirement Funding from next year]</t>
  </si>
  <si>
    <t>G:[Timing - KY Pension Cash Payment]</t>
  </si>
  <si>
    <t>H:[Timing- KY Post Retirement VEBA Cash Payment]</t>
  </si>
  <si>
    <t>I:[Timing- KY Post Retirement 401(h) Cash Payment]</t>
  </si>
  <si>
    <t>J:[Timing- KY Post Retirement 401(h) Cash Payment- next year's payment]</t>
  </si>
  <si>
    <t>L:[Permanent Differences - Federal &amp; State:]</t>
  </si>
  <si>
    <t>M:[Permanent - ESOP Dividends included in O&amp;M]</t>
  </si>
  <si>
    <t>N:[Permanent - Business Meals Disallowed, lobbying &amp; penalties]</t>
  </si>
  <si>
    <t>O:[Permanent - Medicare Part D subsidy]</t>
  </si>
  <si>
    <t>P:[Permanent - Political Activities]</t>
  </si>
  <si>
    <t>Q:[Permanent - Life Insurance]</t>
  </si>
  <si>
    <t>R:[Permanent - Mgmt Challenge]</t>
  </si>
  <si>
    <t>S:[Permanent - Tax Exempt interest - auction rate securities]</t>
  </si>
  <si>
    <t>T:[Permanent - ESOP Dividends Paid in Cash]</t>
  </si>
  <si>
    <t>U:[Permanent - Equity Earnings of Subs - Affiliated]</t>
  </si>
  <si>
    <t>V:[Permanent - AFUDC Equity Interest]</t>
  </si>
  <si>
    <t>W:[Permanent - AFUDC Equity Depreciation]</t>
  </si>
  <si>
    <t>X:[Sale of Asset - adjustment]</t>
  </si>
  <si>
    <t>Y:[Total Permanent Differences - Federal &amp; State]</t>
  </si>
  <si>
    <t>Z:[]</t>
  </si>
  <si>
    <t>AA:[Permanent Differences - Federal Only:]</t>
  </si>
  <si>
    <t>AB:[Permanent - Equity Earnings of Subs (KU EEI Divd))]</t>
  </si>
  <si>
    <t>AC:[TotalPermanent Differences - Federal Only]</t>
  </si>
  <si>
    <t>AD:[]</t>
  </si>
  <si>
    <t>AE:[Total Permanent Differences - Federal &amp; State and Federal Only]</t>
  </si>
  <si>
    <t>AG:[Temporary Differences - Federal &amp; State - Calc Deferred Tax:]</t>
  </si>
  <si>
    <t>AK:[Timing - ARO CCR Expenditure]</t>
  </si>
  <si>
    <t>AL:[Timing - ARO CCR Amortization]</t>
  </si>
  <si>
    <t>AW:[Timing - Obsolete Inventory]</t>
  </si>
  <si>
    <t>AY:[Timing - Other]</t>
  </si>
  <si>
    <t>BC:[Timing - Loss on Disposition of Property]</t>
  </si>
  <si>
    <t>BE:[Timing - Conbributins in Aid of Construction (CIAC)]</t>
  </si>
  <si>
    <t>BT:[Timing - AFUDC Debt]</t>
  </si>
  <si>
    <t>CH:[Timing - Pension Cash Payment]</t>
  </si>
  <si>
    <t>CK:[Timing - Rescrh/Dev/Demo - misc def debits]</t>
  </si>
  <si>
    <t>CL:[Timing - AFUDC Debt Depreciation (KPSC Only)]</t>
  </si>
  <si>
    <t>CM:[Timing - KY Book Depreciation]</t>
  </si>
  <si>
    <t>CN:[Timing - KY Cost of Removal]</t>
  </si>
  <si>
    <t>CO:[Timing - KY Pension Expense Book]</t>
  </si>
  <si>
    <t>CP:[Timing - KY Pension Cash Payment 12 month forward]</t>
  </si>
  <si>
    <t>CQ:[Timing - KY Postretirement Expense Book]</t>
  </si>
  <si>
    <t>CR:[Timing - KY Postretirement Cash Payment (CY VEBA, NY 401(h))]</t>
  </si>
  <si>
    <t>CS:[Timing - KY EEI Inc/Divd Diff]</t>
  </si>
  <si>
    <t>CT:[Timing- KY EEI Impairement]</t>
  </si>
  <si>
    <t>CU:[Timing - KY Repairs Deduction]</t>
  </si>
  <si>
    <t>CV:[Timing - KY Capitalized Interest]</t>
  </si>
  <si>
    <t>CW:[Timing - KY Reg Assets]</t>
  </si>
  <si>
    <t>CX:[Timing - KY Reg Liabilities]</t>
  </si>
  <si>
    <t>DF:[Total Temporary Differences - Federal &amp; State - Calc Deferred Tax]</t>
  </si>
  <si>
    <t>DI:[Timing - KY Federal Tax Depreciation]</t>
  </si>
  <si>
    <t>DJ:[Timing - Reverse gain in sale of TBC]</t>
  </si>
  <si>
    <t>DK:[Timing - Gain on reacquisition of debt in 2009]</t>
  </si>
  <si>
    <t>DL:[Total Temporary Differences - Federal only - Calc Deferred Tax]</t>
  </si>
  <si>
    <t>DN:[Total For Deferred Tax:]</t>
  </si>
  <si>
    <t>DZ:[Total Temporary Differences - Federal &amp; State]</t>
  </si>
  <si>
    <t>EA:[Total Temporary Differences - Federal Only]</t>
  </si>
  <si>
    <t>EB:[Total Temporary Differences]</t>
  </si>
  <si>
    <t>EE:[Adj Tax - Amortize Investment Tax Credit]</t>
  </si>
  <si>
    <t>EF:[Gross Federal ITC Amoritzation - Old ITC/Job Development Credit]</t>
  </si>
  <si>
    <t>EO:[Total Tax Adjustments]</t>
  </si>
  <si>
    <t>FC:[Average CWIP Balance]</t>
  </si>
  <si>
    <t>FD:[Embedded Cost of Debt]</t>
  </si>
  <si>
    <t>FF:[ITC Credit]</t>
  </si>
  <si>
    <t>FG:[ITC  Credit]</t>
  </si>
  <si>
    <t>FH:[Equity Earnings of Subs (KU EEI Dividends)]</t>
  </si>
  <si>
    <t>FI:[Export Total Temporary state only]</t>
  </si>
  <si>
    <t>FJ:[Export Total Temporary state only]</t>
  </si>
  <si>
    <t>FK:[Export Total Temp differences Fed and State]</t>
  </si>
  <si>
    <t>FL:[Export Timing - KY Federal Tax Depreciation]</t>
  </si>
  <si>
    <t>KY Reg Assets &amp; Liabilities</t>
  </si>
  <si>
    <t>KY Tax Depreciation</t>
  </si>
  <si>
    <t>Total Federal Bonus Tax Depreciation</t>
  </si>
  <si>
    <t>Federal Tax Depreciation (excl Bonus)</t>
  </si>
  <si>
    <t>State Vintage Tax Depreciation on ECR Adds</t>
  </si>
  <si>
    <t>State Vintage Tax Depreciation on GLT Adds</t>
  </si>
  <si>
    <t>Income Tax - State</t>
  </si>
  <si>
    <t>KY</t>
  </si>
  <si>
    <t>KY 199 Manufacturing Deduction - State</t>
  </si>
  <si>
    <t>State ITC/(Coal credits)_x001C_</t>
  </si>
  <si>
    <t>Effective Tax Rate Report</t>
  </si>
  <si>
    <t>Federal Credit (R&amp;E, Hybrid, etc.)</t>
  </si>
  <si>
    <t>Federal Excess Deferred Taxes (net of fed ben)</t>
  </si>
  <si>
    <t>Investment Tax Credit Adjustment - Fed Basis Adj</t>
  </si>
  <si>
    <t>Investment Tax Credit Adjustment</t>
  </si>
  <si>
    <t>Jobs Development/ITC</t>
  </si>
  <si>
    <t>State Excess Deferred Taxes</t>
  </si>
  <si>
    <t>Investment Tax Credit Adjustment - State Basis Adj</t>
  </si>
  <si>
    <t>FAS 109 RATE(S) INFORMATIONAL:</t>
  </si>
  <si>
    <t>JURISDICTIONS:</t>
  </si>
  <si>
    <t>RATES</t>
  </si>
  <si>
    <t>FEDERAL</t>
  </si>
  <si>
    <t>Company</t>
  </si>
  <si>
    <t>STATE</t>
  </si>
  <si>
    <t>Account</t>
  </si>
  <si>
    <t>FEDERAL DEDUCT OF STATE</t>
  </si>
  <si>
    <t>182328</t>
  </si>
  <si>
    <t>TOTAL FAS 109 COMPOSITE</t>
  </si>
  <si>
    <t>182329</t>
  </si>
  <si>
    <t>182330</t>
  </si>
  <si>
    <t>REGULATED COMPANY:</t>
  </si>
  <si>
    <t>182331</t>
  </si>
  <si>
    <t>REGULATORY ASSET/LIAB GROSSUP COMPUTATION</t>
  </si>
  <si>
    <t>254001</t>
  </si>
  <si>
    <t>254002</t>
  </si>
  <si>
    <t>TOTAL REGULATORY FACTOR</t>
  </si>
  <si>
    <t>254003</t>
  </si>
  <si>
    <t>254004</t>
  </si>
  <si>
    <t>NOTE: 1/(1-FAS 109 COMPOSITE)</t>
  </si>
  <si>
    <t>Sum</t>
  </si>
  <si>
    <t>GROSSUP ONLY FACTOR</t>
  </si>
  <si>
    <t>NOTE: 1/(1-FAS 109 COMPOSITE) - 1</t>
  </si>
  <si>
    <t>ITC Basis Adjustments</t>
  </si>
  <si>
    <t>Total Reg Movement</t>
  </si>
  <si>
    <t>Ending Balance</t>
  </si>
  <si>
    <t>Hydro and R&amp;E Credits</t>
  </si>
  <si>
    <t>Description Above</t>
  </si>
  <si>
    <t>EI:[end if]</t>
  </si>
  <si>
    <t>FN:[]</t>
  </si>
  <si>
    <t>AFUDC-DEBT,REPAIR ALLOW.,MISC BOOK DIFFS-STATE</t>
  </si>
  <si>
    <t>CIAC &amp; INTEREST CAPITALIZED - FEDERAL</t>
  </si>
  <si>
    <t>CIAC &amp; INTEREST CAPITALIZED - STATE</t>
  </si>
  <si>
    <t>FAC Under Recovery KY</t>
  </si>
  <si>
    <t>Green River Regulatory Asset</t>
  </si>
  <si>
    <t>Muni True-up - Reg Asset</t>
  </si>
  <si>
    <t>NOL - KU - Federal</t>
  </si>
  <si>
    <t>Over/Under Accrual FICA</t>
  </si>
  <si>
    <t>Over/Under Accrual of PSC Tax</t>
  </si>
  <si>
    <t>Over/Under Accrual of UN/INS</t>
  </si>
  <si>
    <t>Refined Coal - KY - Reg Liab</t>
  </si>
  <si>
    <t>Refined Coal - VA - Reg Liab</t>
  </si>
  <si>
    <t>VA over/under Recovery Fuel Clause - Current</t>
  </si>
  <si>
    <t>EEI Investment - Stock Basis</t>
  </si>
  <si>
    <t>AFUDC-Equity Flow-Through</t>
  </si>
  <si>
    <t>Kentucky Utilities </t>
  </si>
  <si>
    <t>Above the Line Deferred Taxes</t>
  </si>
  <si>
    <t>Below the Line Deferred Taxes</t>
  </si>
  <si>
    <t>Regulatory Assets &amp; Liabilities</t>
  </si>
  <si>
    <t>0110</t>
  </si>
  <si>
    <t>AFUDC-Equity Flowthru</t>
  </si>
  <si>
    <t>AFUDC-Equity Flowthru-Tax Effect</t>
  </si>
  <si>
    <t>AFUDC Equity</t>
  </si>
  <si>
    <t>Kentucky Utilities</t>
  </si>
  <si>
    <t>CCR Pond Closures</t>
  </si>
  <si>
    <t>AFUDC-Equity Flow-Through (FAS 109)</t>
  </si>
  <si>
    <t>335/365</t>
  </si>
  <si>
    <t>304/365</t>
  </si>
  <si>
    <t>274/365</t>
  </si>
  <si>
    <t>243/365</t>
  </si>
  <si>
    <t>213/365</t>
  </si>
  <si>
    <t>182/365</t>
  </si>
  <si>
    <t>151/365</t>
  </si>
  <si>
    <t>123/365</t>
  </si>
  <si>
    <t>92/365</t>
  </si>
  <si>
    <t>62/365</t>
  </si>
  <si>
    <t>31/365</t>
  </si>
  <si>
    <t>1/365</t>
  </si>
  <si>
    <t>a-Jan 2018</t>
  </si>
  <si>
    <t>a-Feb 2018</t>
  </si>
  <si>
    <t>a-Mar 2018</t>
  </si>
  <si>
    <t>a-Apr 2018</t>
  </si>
  <si>
    <t>a-May 2018</t>
  </si>
  <si>
    <t>a-Jun 2018</t>
  </si>
  <si>
    <t>HC:[Deferred Income Tax Liabilities]</t>
  </si>
  <si>
    <t>AMS - OPEX Assets</t>
  </si>
  <si>
    <t>AMS - Old Meters Assets</t>
  </si>
  <si>
    <t>Loss on Disposition of Property</t>
  </si>
  <si>
    <t>Pension Cash Payment</t>
  </si>
  <si>
    <t>Amortization/Refund Activity of Tax Rate Changes-Electric</t>
  </si>
  <si>
    <t>Solar Credit</t>
  </si>
  <si>
    <t>R&amp;E/Hydro Credit</t>
  </si>
  <si>
    <t>Credit Utilization</t>
  </si>
  <si>
    <t>Federal NOL Adjustment (Addition)</t>
  </si>
  <si>
    <t>Federal Solar Credits</t>
  </si>
  <si>
    <t>AM:[Timing - Amortization of Unrecovered Plant - KPSC]</t>
  </si>
  <si>
    <t>U:[Ending Balance Green River Reg Asset]</t>
  </si>
  <si>
    <t>Z:[MUNI True Up Ending Balance]</t>
  </si>
  <si>
    <t>AD:[REG ASSET - LT INTEREST RATE SWAP]</t>
  </si>
  <si>
    <t>BV:[Miso Exit Fee Balance]</t>
  </si>
  <si>
    <t>BZ:[Sep '09Wind Storm Balance]</t>
  </si>
  <si>
    <t>CE:[Feb '09 Ice Storm Balance]</t>
  </si>
  <si>
    <t>DF:[ECR Balance]</t>
  </si>
  <si>
    <t>DR:[OST Balance - Asset]</t>
  </si>
  <si>
    <t>DW:[Rate Case Expenses Balance]</t>
  </si>
  <si>
    <t>EA:[Va Storm Expenses Balance]</t>
  </si>
  <si>
    <t>EF:[CMRG Funding Balance]</t>
  </si>
  <si>
    <t>GM:[Ending balance Outage Expenses - Assets - KPSC</t>
  </si>
  <si>
    <t>GQ:[Unamort Loss on Bonds Balance]</t>
  </si>
  <si>
    <t>HB:[Ending Balance AMS - OPEX - Assets</t>
  </si>
  <si>
    <t>GW:[Ending Balance AMS - Old Meters - Assets]</t>
  </si>
  <si>
    <t>HG:[Ending Balance Brown Inventory KPSC - Assets</t>
  </si>
  <si>
    <t>HT:[End Balance-Amortization/Refund of Tax Rate Change - Electric]</t>
  </si>
  <si>
    <t>IE:[Ending Balance Reg Liability - TCJA Electric - VA Only]</t>
  </si>
  <si>
    <t>HO:[MISO exit fee refund Balance]</t>
  </si>
  <si>
    <t>HT:[FAC Balance - Liability]</t>
  </si>
  <si>
    <t>HY:[OST Balance - Liability]</t>
  </si>
  <si>
    <t>IE:[DSM Balance]</t>
  </si>
  <si>
    <t>IV:[LT Interest Rate Swap Balance]</t>
  </si>
  <si>
    <t>JG:[Ending Balance VA Fuel Component Balance - Liability]</t>
  </si>
  <si>
    <t>JN:[Ending Balance Refined Coal - KY]</t>
  </si>
  <si>
    <t>JU:[Ending Balance Refined Coal - VA]</t>
  </si>
  <si>
    <t>KU:[Ending balance Outage Expenses - Liability - KPSC]</t>
  </si>
  <si>
    <t>State Immediate Deferred Tax Adjustment</t>
  </si>
  <si>
    <t>DK:[Adjust AMS Retired Meter Reg Asset Addition]</t>
  </si>
  <si>
    <t>Capitalized Property Tax</t>
  </si>
  <si>
    <t xml:space="preserve">Plant Outage Normalization - Reg Liability </t>
  </si>
  <si>
    <t>Research Dev. &amp; Demo Exp.</t>
  </si>
  <si>
    <t>TCJA - KPSC - Reg Liability</t>
  </si>
  <si>
    <t xml:space="preserve">TCJA - VA - Reg Liability </t>
  </si>
  <si>
    <t>O:[current date]</t>
  </si>
  <si>
    <t>P:[Jan 2018]</t>
  </si>
  <si>
    <t>Q:[Date for Feb 2017]</t>
  </si>
  <si>
    <t>R:[Federal Tax Rate]</t>
  </si>
  <si>
    <t>AB:[Income Tax Detail]</t>
  </si>
  <si>
    <t>AC:[Pretax income  (includes equity Income)]</t>
  </si>
  <si>
    <t>AE:[Less Equity earnings]</t>
  </si>
  <si>
    <t>AG:[Less Sale of Asset recorded net of tax]</t>
  </si>
  <si>
    <t>AH:[Pretax Income - excluding equity earnings &amp; asset sales]</t>
  </si>
  <si>
    <t>AI:[]</t>
  </si>
  <si>
    <t>AJ:[Permanent Differences - Federal &amp; State:]</t>
  </si>
  <si>
    <t>AK:[Permanent Differences - Federal &amp; Common]</t>
  </si>
  <si>
    <t>AL:[Permanent Differences - State Only]</t>
  </si>
  <si>
    <t>AM:[Total Permanent Differences]</t>
  </si>
  <si>
    <t>AN:[]</t>
  </si>
  <si>
    <t>AO:[Total Temporary Differences - Federal &amp; State:]</t>
  </si>
  <si>
    <t>AP:[Total Temporary Differences - Fed &amp; State]</t>
  </si>
  <si>
    <t>AQ:[Total Temporary Differences - Federal Only]</t>
  </si>
  <si>
    <t>AR:[Total Timing Differences]</t>
  </si>
  <si>
    <t>AS:[Less: State Income Tax Deferred]</t>
  </si>
  <si>
    <t>AT:[Federal Timing Differences net of State Income tax Deferred]</t>
  </si>
  <si>
    <t>AU:[Annual total of federal timing differences]</t>
  </si>
  <si>
    <t>AV:[Annual total of net federal timing differences]</t>
  </si>
  <si>
    <t>AX:[quarterly federal differences]</t>
  </si>
  <si>
    <t>AY:[quarterly net federal differences]</t>
  </si>
  <si>
    <t>BA:[State Totals:]</t>
  </si>
  <si>
    <t>BB:[Current State Income Tax]</t>
  </si>
  <si>
    <t>BC:[Deferred State Income Tax ]</t>
  </si>
  <si>
    <t>BD:[]</t>
  </si>
  <si>
    <t>BE:[Federal Section:]</t>
  </si>
  <si>
    <t>BF:[Pretax Income]</t>
  </si>
  <si>
    <t>BG:[Permanent - Removal of Interest Deduction]</t>
  </si>
  <si>
    <t>BI:[Total Permament Differences - Fed &amp; State]</t>
  </si>
  <si>
    <t>BJ:[Total Permament Differences - Federal Only]</t>
  </si>
  <si>
    <t>BK:[Bonus Depr Quarter Spread Correction]</t>
  </si>
  <si>
    <t>BL:[quarterly Federal Timing differences]</t>
  </si>
  <si>
    <t>BM:[]</t>
  </si>
  <si>
    <t>BN:[Less: State Income Tax Current]</t>
  </si>
  <si>
    <t>BO:[Federal Taxable Income before NOL]</t>
  </si>
  <si>
    <t>BP:[Federal NOL Adjustment (Addition)]</t>
  </si>
  <si>
    <t>BQ:[Federal NOL Adjustment (Utilization)]</t>
  </si>
  <si>
    <t>BR:[Federal Taxable Income]</t>
  </si>
  <si>
    <t>BS:[Federal Tax Rate]</t>
  </si>
  <si>
    <t>BT:[Federal Income Tax Based on Rate]</t>
  </si>
  <si>
    <t>BU:[Tax on Sale of Asset]</t>
  </si>
  <si>
    <t>BV:[AMT Credit Carried Forward]</t>
  </si>
  <si>
    <t>BW:[ITC Carried Forward]</t>
  </si>
  <si>
    <t>BX:[Solar Credit]</t>
  </si>
  <si>
    <t>BY:[R&amp;E/Hydro]</t>
  </si>
  <si>
    <t>BZ:[Federal Income Tax - Current]</t>
  </si>
  <si>
    <t>CA:[]</t>
  </si>
  <si>
    <t>CB:[Federal Taxable Income after NOL before Sec 199]</t>
  </si>
  <si>
    <t>CC:[Deferred Federal Tax:]</t>
  </si>
  <si>
    <t>CD:[quarterly Federal Timing Differences net of State Deferred Taxes]</t>
  </si>
  <si>
    <t>CE:[Federal Income Tax - Deferred  (calculated)]</t>
  </si>
  <si>
    <t>CF:[Federal Income Tax - Deferred  (Adjustments)]</t>
  </si>
  <si>
    <t>CG:[Federal Income Tax - Deferred - NOL (Addition)]</t>
  </si>
  <si>
    <t>CH:[Federal Income Tax - Deferred - NOL (Utilization)]</t>
  </si>
  <si>
    <t>CI:[Federal Income Tax - Deferred - NOL Stand Alone for Base and Forward]</t>
  </si>
  <si>
    <t>CJ:[Federal Income Tax - Deferred - Bonus Spread]</t>
  </si>
  <si>
    <t>CK:[Federal Income Tax - Deferred - ITC Basis Adj]</t>
  </si>
  <si>
    <t>CL:[Federal Income Tax - Deferred - AMT Credit Carryforward]</t>
  </si>
  <si>
    <t>CM:[Federal Income Tax - Deferred - ITC Carryforward]</t>
  </si>
  <si>
    <t>CN:[Federal Income Tax - Deferred - Solar Credits]</t>
  </si>
  <si>
    <t>CO:[Federal Income Tax - Deferred - Credits (R&amp;E, Hydro, etc.)]</t>
  </si>
  <si>
    <t>CP:[Federal Income Tax - Deferred - Excess Deferred Taxes]</t>
  </si>
  <si>
    <t>CQ:[Federal Income Tax - Immediate Deferred Tax Adjustment]</t>
  </si>
  <si>
    <t>CR:[Federal Income Tax - Deferred - VA on Tax Credit]</t>
  </si>
  <si>
    <t>CS:[Federal Income Tax - Deferred Unadjusted for ETR]</t>
  </si>
  <si>
    <t>CT:[Utilities Annual ETR Adjustment]</t>
  </si>
  <si>
    <t>CU:[ETR Adjustment for TYE Apr20]</t>
  </si>
  <si>
    <t>CV:[LKE Consolidated Annual ETR Adjustment (LKE Other)]</t>
  </si>
  <si>
    <t>CW:[Federal Income Tax - Deferred]</t>
  </si>
  <si>
    <t>CX:[]</t>
  </si>
  <si>
    <t>CY:[ITC Amortization]</t>
  </si>
  <si>
    <t>CZ:[Jobs Development/Old ITC Amortization]</t>
  </si>
  <si>
    <t>DA:[Solar Credit Basis Adjustment]</t>
  </si>
  <si>
    <t>DB:[]</t>
  </si>
  <si>
    <t>DK:[if]</t>
  </si>
  <si>
    <t>FE:[if]</t>
  </si>
  <si>
    <t>FH:[end if]</t>
  </si>
  <si>
    <t>FO:[Tax Sharing Allocation of Parent Loss:]</t>
  </si>
  <si>
    <t>FP:[Parent Tax]</t>
  </si>
  <si>
    <t>FQ:[]</t>
  </si>
  <si>
    <t>FR:[System Total Income of Profitable Co's]</t>
  </si>
  <si>
    <t>FS:[Income of Sub]</t>
  </si>
  <si>
    <t>FT:[Percent of Parent Loss]</t>
  </si>
  <si>
    <t>FU:[]</t>
  </si>
  <si>
    <t>FV:[Allocated Parent Loss Calculated]</t>
  </si>
  <si>
    <t>FW:[Input Parent Loss (Override)]</t>
  </si>
  <si>
    <t>FX:[Allocated Parent Loss Used]</t>
  </si>
  <si>
    <t>FY:[]</t>
  </si>
  <si>
    <t>FZ:[Tax Payment Section:]</t>
  </si>
  <si>
    <t>GA:[Current Income Tax Accrual - Federal]</t>
  </si>
  <si>
    <t>GB:[Current Income Tax Accrual - State (Not here, On State Tax Report)]</t>
  </si>
  <si>
    <t>GC:[Capital Stock Tax Accrual]</t>
  </si>
  <si>
    <t>GD:[Sale of Asset Tax Accrual]</t>
  </si>
  <si>
    <t>GE:[Total Current Accrual]</t>
  </si>
  <si>
    <t>GF:[Year-to-Date Accrual]</t>
  </si>
  <si>
    <t>GG:[]</t>
  </si>
  <si>
    <t>GH:[Month for Annualization]</t>
  </si>
  <si>
    <t>GI:[Year to date Pre tax income]</t>
  </si>
  <si>
    <t>GJ:[Year to date Pretax income Through December]</t>
  </si>
  <si>
    <t>GK:[Year to date Federal Income Tax Current]</t>
  </si>
  <si>
    <t>GL:[Year to date Federal Income Tax Current- December Value]</t>
  </si>
  <si>
    <t>GO:[Year to date Pretax income through February]</t>
  </si>
  <si>
    <t>GP:[Annualized February YTD Pretax Income]</t>
  </si>
  <si>
    <t>GQ:[Annualized February Tax Liability]</t>
  </si>
  <si>
    <t>GS:[Year to date Pretax income through April]</t>
  </si>
  <si>
    <t>GT:[Annualized April YTD Pretax Income]</t>
  </si>
  <si>
    <t>GU:[Annualized April Tax Liability]</t>
  </si>
  <si>
    <t xml:space="preserve">     GV:[elseif]</t>
  </si>
  <si>
    <t>GW:[Year to date Pretax income through July]</t>
  </si>
  <si>
    <t>GX:[Annualized July YTD Pretax Income]</t>
  </si>
  <si>
    <t>GY:[Annualized July Tax Liability]</t>
  </si>
  <si>
    <t xml:space="preserve">     GZ:[else]</t>
  </si>
  <si>
    <t>HA:[Value for Annualization]</t>
  </si>
  <si>
    <t>HB:[Annualized Tax]</t>
  </si>
  <si>
    <t xml:space="preserve">     HC:[end if]</t>
  </si>
  <si>
    <t>HD:[Annualized Tax Total]</t>
  </si>
  <si>
    <t>HE:[Cumulative Percent Due]</t>
  </si>
  <si>
    <t>HF:[Cumulative Payment Due]</t>
  </si>
  <si>
    <t>HG:[Previous YTD payments]</t>
  </si>
  <si>
    <t>HH:[Previous Extension/Final Settlement]</t>
  </si>
  <si>
    <t>HI:[end if]</t>
  </si>
  <si>
    <t>HJ:[Adding an if statement to account for extension settlement]</t>
  </si>
  <si>
    <t>HK:[if]</t>
  </si>
  <si>
    <t>HL:[Current Period Payment - Calc]</t>
  </si>
  <si>
    <t>HM:[elseif]</t>
  </si>
  <si>
    <t>HN:[Tax settlement]</t>
  </si>
  <si>
    <t>HO:[else]</t>
  </si>
  <si>
    <t>HP:[Current Period Payment - Calc]</t>
  </si>
  <si>
    <t>HQ:[end if]</t>
  </si>
  <si>
    <t>HR:[Current Period Payment]</t>
  </si>
  <si>
    <t>HS:[]</t>
  </si>
  <si>
    <t>HT:[Logic to Reclass Utility Activity to LKE Other When Annual is Zero]</t>
  </si>
  <si>
    <t>HW:[December Cumulative Payment]</t>
  </si>
  <si>
    <t>HX:[December Cumulative Payment Rounded]</t>
  </si>
  <si>
    <t>HZ:[Current Period Payment - Utilities]</t>
  </si>
  <si>
    <t>IB:[Current Period Payment - Utilities]</t>
  </si>
  <si>
    <t>ID:[Current Period Payment Utilities to Use]</t>
  </si>
  <si>
    <t>IG:[Current Period Payment - LKE Other]</t>
  </si>
  <si>
    <t>IH:[Cumulative Payment KU]</t>
  </si>
  <si>
    <t>II:[December Cumulative Payment - KU]</t>
  </si>
  <si>
    <t>IJ:[Cumulative Payment LG&amp;E]</t>
  </si>
  <si>
    <t>IK:[December Cumulative Payment - LG&amp;E]</t>
  </si>
  <si>
    <t>IM:[KU Period Activity Reclass to LKE Other]</t>
  </si>
  <si>
    <t>IO:[KU Period Activity Reclass to LKE Other]</t>
  </si>
  <si>
    <t>IR:[LG&amp;E Period Activity Reclass to LKE Other]</t>
  </si>
  <si>
    <t>IT:[LG&amp;E Period Activity Reclass to LKE Other]</t>
  </si>
  <si>
    <t>IV:[KU Period Activity Reclass to LKE Other to Use]</t>
  </si>
  <si>
    <t>IW:[LG&amp;E Period Activity Reclass to LKE Other to Use]</t>
  </si>
  <si>
    <t>IY:[Payment Override Switch (1=Override)]</t>
  </si>
  <si>
    <t>IZ:[Override Payment]</t>
  </si>
  <si>
    <t>JA:[Current Month]</t>
  </si>
  <si>
    <t>JB:[if]</t>
  </si>
  <si>
    <t>JC:[Previous Ending Balance CarryOver]</t>
  </si>
  <si>
    <t>JD:[Current Period Payment - Annual]</t>
  </si>
  <si>
    <t>JE:[end if]</t>
  </si>
  <si>
    <t>JF:[Current Period Payment]</t>
  </si>
  <si>
    <t>JG:[Year-To-Date Payments]</t>
  </si>
  <si>
    <t>JH:[Prior Year Audit Settlements]</t>
  </si>
  <si>
    <t>JI:[Extension/Final Settlement]</t>
  </si>
  <si>
    <t>JJ:[Carryover Payment:]</t>
  </si>
  <si>
    <t>JK:[Beginning Balance - Carryover Payment]</t>
  </si>
  <si>
    <t>JL:[if]</t>
  </si>
  <si>
    <t>JM:[Carry to next year]</t>
  </si>
  <si>
    <t>JN:[else if]</t>
  </si>
  <si>
    <t>JO:[March Carryover Payment]</t>
  </si>
  <si>
    <t>JP:[end if]</t>
  </si>
  <si>
    <t>JQ:[if]</t>
  </si>
  <si>
    <t>JR:[Ending Balance - Carryover Payment]</t>
  </si>
  <si>
    <t>JS:[end if]</t>
  </si>
  <si>
    <t>JT:[Tax Settlement to LKE]</t>
  </si>
  <si>
    <t>JU:[Tax Extension Payment]</t>
  </si>
  <si>
    <t>JV:[Interest Expense Removal Logic to start in 2018]</t>
  </si>
  <si>
    <t>JW:[January 1 2018]</t>
  </si>
  <si>
    <t>JX:[Current Date]</t>
  </si>
  <si>
    <t>JY:[if]</t>
  </si>
  <si>
    <t>JZ:[Permanent - Removal of Interest Deduction before 2018]</t>
  </si>
  <si>
    <t>KA:[else]</t>
  </si>
  <si>
    <t>KB:[Permanent - Removal of Interest Deduction starting 2018]</t>
  </si>
  <si>
    <t>KC:[end if]</t>
  </si>
  <si>
    <t>KD:[Permanent - Removal of Interest Deduction]</t>
  </si>
  <si>
    <t>KH:[Federal NOL stand alone adjustment]</t>
  </si>
  <si>
    <t>KI:[]</t>
  </si>
  <si>
    <t>KJ:[]</t>
  </si>
  <si>
    <t>Kentucky Utilities Company</t>
  </si>
  <si>
    <t>Old</t>
  </si>
  <si>
    <t>New</t>
  </si>
  <si>
    <t>JUN-2018</t>
  </si>
  <si>
    <t>Excess Deferreds Other</t>
  </si>
  <si>
    <t>2018 (actual)</t>
  </si>
  <si>
    <t>Activity Below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</si>
  <si>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</si>
  <si>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</si>
  <si>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</si>
  <si>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</si>
  <si>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</si>
  <si>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</si>
  <si>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</si>
  <si>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</si>
  <si>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</si>
  <si>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</si>
  <si>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</si>
  <si>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</si>
  <si>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Regulatory Assets</t>
  </si>
  <si>
    <t>Regulatory Liabilities</t>
  </si>
  <si>
    <t>Net</t>
  </si>
  <si>
    <t>Excess Deferreds ARAM</t>
  </si>
  <si>
    <t>KY Tax Reform:</t>
  </si>
  <si>
    <t>Reclass between 253 and 254</t>
  </si>
  <si>
    <t>Excess Deferred Tax Amortization</t>
  </si>
  <si>
    <t>Federal</t>
  </si>
  <si>
    <t>Fed Ben for UI</t>
  </si>
  <si>
    <t>State</t>
  </si>
  <si>
    <t>Total Excess</t>
  </si>
  <si>
    <t>Amount of State Excess Booked to 253</t>
  </si>
  <si>
    <t>DC:[Reclass Immediate Deferred to Special Items]</t>
  </si>
  <si>
    <t>DD:[Effective Tax Rate Adjustments]</t>
  </si>
  <si>
    <t>DE:[State Income Tax - Immediate Deferred Tax Adjustment]</t>
  </si>
  <si>
    <t>DF:[State Income Tax - Immediate Def Adj net of Fed Benefit]</t>
  </si>
  <si>
    <t>DG:[Tax Expense]</t>
  </si>
  <si>
    <t>DH:[Annual Tax Expense]</t>
  </si>
  <si>
    <t>DI:[Annual Pre-Tax Income]</t>
  </si>
  <si>
    <t>DJ:[ETR Adjustment at Utilities]</t>
  </si>
  <si>
    <t>DL:[if]</t>
  </si>
  <si>
    <t>DM:[YTD Tax Expense]</t>
  </si>
  <si>
    <t>DN:[YTD Pre-Tax Income]</t>
  </si>
  <si>
    <t>DO:[YTD Effective Tax Rate]</t>
  </si>
  <si>
    <t>DP:[Annual Effective Tax Rate]</t>
  </si>
  <si>
    <t>DQ:[YTD Adjusted Effective Taxes]</t>
  </si>
  <si>
    <t>DR:[YTD Effective Tax Rate Adjustment]</t>
  </si>
  <si>
    <t>DS:[if]</t>
  </si>
  <si>
    <t>DT:[Mar Qtr ETR Adjustment]</t>
  </si>
  <si>
    <t>DU:[end if]</t>
  </si>
  <si>
    <t>DV:[if]</t>
  </si>
  <si>
    <t>DW:[Mar YTD ETR Adjustment]</t>
  </si>
  <si>
    <t>DX:[Jun Qtr ETR Adjustment]</t>
  </si>
  <si>
    <t>DY:[end if]</t>
  </si>
  <si>
    <t>DZ:[if]</t>
  </si>
  <si>
    <t>EA:[June YTD ETR Adjustment]</t>
  </si>
  <si>
    <t>EB:[Sep Qtr ETR Adjustment]</t>
  </si>
  <si>
    <t>EC:[end if]</t>
  </si>
  <si>
    <t>ED:[if]</t>
  </si>
  <si>
    <t>EE:[Sep YTD ETR Adjustment]</t>
  </si>
  <si>
    <t>EF:[Dec Qtr ETR Adjustment]</t>
  </si>
  <si>
    <t>EG:[end if]</t>
  </si>
  <si>
    <t>EH:[Current Qtr ETR Adjustment]</t>
  </si>
  <si>
    <t>EJ:[end if]</t>
  </si>
  <si>
    <t>EK:[ETR Adjustment at LKE Other]</t>
  </si>
  <si>
    <t>EL:[Tax Expense LKE Consolidated]</t>
  </si>
  <si>
    <t>EM:[Pre-Tax Income LKE Consolidated]</t>
  </si>
  <si>
    <t>EN:[Monthly Adjusted Effective Tax Rate]</t>
  </si>
  <si>
    <t>EO:[Annual Tax Expense - LKE Consolidated]</t>
  </si>
  <si>
    <t>EP:[Annual Pre-Tax Income - LKE Consolidated]</t>
  </si>
  <si>
    <t>EQ:[Annual Adjusted Effective Tax Rate]</t>
  </si>
  <si>
    <t>ER:[Monthly Adjusted Effective Taxes]</t>
  </si>
  <si>
    <t>ES:[Effective Tax Rate Adjustement]</t>
  </si>
  <si>
    <t>ET:[if]</t>
  </si>
  <si>
    <t>EU:[KU Qtr ETR Adjustment]</t>
  </si>
  <si>
    <t>EV:[LG&amp;E Qtr ETR Adjustment]</t>
  </si>
  <si>
    <t>EW:[KU Qtr ETR Adjustment Offset]</t>
  </si>
  <si>
    <t>EX:[LG&amp;E Qtr ETR Adjustment Offset]</t>
  </si>
  <si>
    <t>EY:[LKE Consolidated Annual ETR Adjustment (LKE Other)]</t>
  </si>
  <si>
    <t>EZ:[Total LKE Other ETR Adjustment]</t>
  </si>
  <si>
    <t>FA:[end if]</t>
  </si>
  <si>
    <t>FB:[ETR Adjustment for TYE April 2020]</t>
  </si>
  <si>
    <t>FC:[Date for April 2020]</t>
  </si>
  <si>
    <t>FD:[Date for May 2020]</t>
  </si>
  <si>
    <t>FF:[if]</t>
  </si>
  <si>
    <t>FG:[Reverse ETR Adj 12ME Apr 20]</t>
  </si>
  <si>
    <t>FI:[end if]</t>
  </si>
  <si>
    <t>FJ:[if]</t>
  </si>
  <si>
    <t>FK:[Reverse Reversal of ETR Adj 12ME Apr20 for CY20]</t>
  </si>
  <si>
    <t>FL:[end if]</t>
  </si>
  <si>
    <t>FM:[ETR Adjustment for TYE Apr 2020]</t>
  </si>
  <si>
    <t>LG&amp;E </t>
  </si>
  <si>
    <t>Bonus Depr Quarter Spread Correction_x001C_</t>
  </si>
  <si>
    <t>2018 Summer Storm Balance</t>
  </si>
  <si>
    <t>2018 Summer Storm Damages</t>
  </si>
  <si>
    <t>Apr 2020 End Bal</t>
  </si>
  <si>
    <t>Apr 2020 Prorata</t>
  </si>
  <si>
    <t>Brown Regulatory Asset</t>
  </si>
  <si>
    <t>Excess Electric:</t>
  </si>
  <si>
    <t>Protected ARAM</t>
  </si>
  <si>
    <t>Protected NOLs</t>
  </si>
  <si>
    <t>Protected CCR</t>
  </si>
  <si>
    <t>Unprotected Timing Diffs</t>
  </si>
  <si>
    <t>ITC and Basis Adj Amortization</t>
  </si>
  <si>
    <t>Solar</t>
  </si>
  <si>
    <t>TC2</t>
  </si>
  <si>
    <t>Old Elect</t>
  </si>
  <si>
    <t>Basis Adjustments</t>
  </si>
  <si>
    <t>Book Depr Addback</t>
  </si>
  <si>
    <t>Prior State Excess</t>
  </si>
  <si>
    <t>Unamortized Excess Deferreds - Unprotected (balances as of 6/30/18)</t>
  </si>
  <si>
    <t>Unamortized Excess Deferreds - CCR (balances as of 6/30/18)</t>
  </si>
  <si>
    <t>Unamortized Excess Deferreds - NOL (balances as of 6/30/18)</t>
  </si>
  <si>
    <t>Base Period ADIT</t>
  </si>
  <si>
    <t xml:space="preserve">  </t>
  </si>
  <si>
    <t>Forward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</si>
</sst>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&quot;$&quot;#,##0_);[Red]\(&quot;$&quot;#,##0\);&quot; &quot;"/>
    <numFmt numFmtId="166" formatCode="_(* #,##0_);_(* \(#,##0\);_(* &quot;-&quot;??_);_(@_)"/>
    <numFmt numFmtId="167" formatCode="#,##0%_);[Red]\(#,##0%\);&quot; &quot;"/>
    <numFmt numFmtId="168" formatCode="#,##0.00%_);[Red]\(#,##0.00%\);&quot; &quot;"/>
    <numFmt numFmtId="169" formatCode="0.0%"/>
    <numFmt numFmtId="170" formatCode="#,##0.000_);[Red]\(#,##0.000\);&quot; &quot;"/>
    <numFmt numFmtId="171" formatCode="_(* #,##0.000_);_(* \(#,##0.000\);_(* &quot;-&quot;_);_(@_)"/>
    <numFmt numFmtId="172" formatCode="#,##0;\(#,##0\)"/>
    <numFmt numFmtId="173" formatCode="_(* #,##0.00000000_);_(* \(#,##0.00000000\);_(* &quot;-&quot;??_);_(@_)"/>
  </numFmts>
  <fonts count="4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00B0F0"/>
      <name val="Times New Roman"/>
      <family val="1"/>
    </font>
    <font>
      <b/>
      <i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7"/>
      <name val="Calibri"/>
      <family val="2"/>
      <scheme val="minor"/>
    </font>
    <font>
      <i/>
      <sz val="7"/>
      <name val="Calibri"/>
      <family val="2"/>
      <scheme val="minor"/>
    </font>
    <font>
      <i/>
      <u/>
      <sz val="7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5" applyNumberFormat="0" applyAlignment="0" applyProtection="0"/>
    <xf numFmtId="0" fontId="14" fillId="28" borderId="16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5" applyNumberFormat="0" applyAlignment="0" applyProtection="0"/>
    <xf numFmtId="0" fontId="21" fillId="0" borderId="20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0" fillId="0" borderId="0"/>
    <xf numFmtId="0" fontId="10" fillId="32" borderId="21" applyNumberFormat="0" applyFont="0" applyAlignment="0" applyProtection="0"/>
    <xf numFmtId="0" fontId="23" fillId="27" borderId="22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/>
    <xf numFmtId="164" fontId="28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right"/>
    </xf>
    <xf numFmtId="0" fontId="0" fillId="0" borderId="0" xfId="0" applyFill="1"/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0" fillId="0" borderId="0" xfId="0" applyFont="1" applyFill="1"/>
    <xf numFmtId="0" fontId="30" fillId="0" borderId="0" xfId="0" applyFont="1" applyFill="1" applyBorder="1" applyAlignment="1">
      <alignment horizontal="left"/>
    </xf>
    <xf numFmtId="41" fontId="31" fillId="0" borderId="0" xfId="29" quotePrefix="1" applyFont="1" applyFill="1" applyAlignment="1">
      <alignment horizontal="center" wrapText="1"/>
    </xf>
    <xf numFmtId="0" fontId="29" fillId="0" borderId="0" xfId="0" applyFont="1" applyFill="1" applyBorder="1"/>
    <xf numFmtId="166" fontId="29" fillId="0" borderId="0" xfId="28" applyNumberFormat="1" applyFont="1" applyFill="1"/>
    <xf numFmtId="0" fontId="29" fillId="0" borderId="0" xfId="0" applyFont="1" applyFill="1"/>
    <xf numFmtId="166" fontId="30" fillId="0" borderId="0" xfId="28" applyNumberFormat="1" applyFont="1" applyFill="1"/>
    <xf numFmtId="166" fontId="30" fillId="0" borderId="0" xfId="28" applyNumberFormat="1" applyFont="1" applyFill="1" applyBorder="1"/>
    <xf numFmtId="166" fontId="30" fillId="0" borderId="1" xfId="28" applyNumberFormat="1" applyFont="1" applyFill="1" applyBorder="1"/>
    <xf numFmtId="0" fontId="30" fillId="0" borderId="1" xfId="0" applyFont="1" applyFill="1" applyBorder="1"/>
    <xf numFmtId="0" fontId="29" fillId="0" borderId="1" xfId="0" applyFont="1" applyFill="1" applyBorder="1"/>
    <xf numFmtId="9" fontId="30" fillId="0" borderId="1" xfId="44" applyFont="1" applyFill="1" applyBorder="1"/>
    <xf numFmtId="171" fontId="30" fillId="0" borderId="0" xfId="29" applyNumberFormat="1" applyFont="1" applyFill="1"/>
    <xf numFmtId="166" fontId="30" fillId="0" borderId="2" xfId="28" applyNumberFormat="1" applyFont="1" applyFill="1" applyBorder="1"/>
    <xf numFmtId="9" fontId="30" fillId="0" borderId="1" xfId="44" applyFont="1" applyFill="1" applyBorder="1" applyAlignment="1">
      <alignment horizontal="right" wrapText="1"/>
    </xf>
    <xf numFmtId="166" fontId="29" fillId="0" borderId="0" xfId="28" applyNumberFormat="1" applyFont="1" applyFill="1" applyBorder="1"/>
    <xf numFmtId="10" fontId="29" fillId="0" borderId="0" xfId="44" applyNumberFormat="1" applyFont="1" applyFill="1"/>
    <xf numFmtId="0" fontId="32" fillId="0" borderId="0" xfId="0" applyFont="1" applyFill="1" applyBorder="1" applyAlignment="1">
      <alignment horizontal="left"/>
    </xf>
    <xf numFmtId="164" fontId="33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43" fontId="10" fillId="0" borderId="0" xfId="28" applyFont="1" applyFill="1"/>
    <xf numFmtId="164" fontId="34" fillId="0" borderId="0" xfId="0" applyNumberFormat="1" applyFont="1" applyFill="1" applyAlignment="1">
      <alignment horizontal="left"/>
    </xf>
    <xf numFmtId="164" fontId="35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164" fontId="34" fillId="0" borderId="3" xfId="0" applyNumberFormat="1" applyFont="1" applyFill="1" applyBorder="1" applyAlignment="1">
      <alignment horizontal="right"/>
    </xf>
    <xf numFmtId="49" fontId="28" fillId="0" borderId="0" xfId="0" applyNumberFormat="1" applyFont="1" applyFill="1" applyAlignment="1">
      <alignment horizontal="right" wrapText="1"/>
    </xf>
    <xf numFmtId="166" fontId="33" fillId="0" borderId="0" xfId="28" applyNumberFormat="1" applyFont="1" applyFill="1" applyAlignment="1">
      <alignment horizontal="right"/>
    </xf>
    <xf numFmtId="0" fontId="10" fillId="0" borderId="0" xfId="28" applyNumberFormat="1" applyFont="1" applyFill="1"/>
    <xf numFmtId="3" fontId="0" fillId="0" borderId="0" xfId="0" applyNumberFormat="1" applyFill="1"/>
    <xf numFmtId="0" fontId="0" fillId="0" borderId="0" xfId="0" applyNumberFormat="1" applyFill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7" fontId="3" fillId="0" borderId="5" xfId="0" quotePrefix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8" fontId="0" fillId="0" borderId="0" xfId="0" applyNumberFormat="1" applyFill="1"/>
    <xf numFmtId="0" fontId="4" fillId="0" borderId="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169" fontId="1" fillId="0" borderId="0" xfId="44" applyNumberFormat="1" applyFont="1" applyFill="1"/>
    <xf numFmtId="0" fontId="4" fillId="0" borderId="8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10" fontId="1" fillId="0" borderId="0" xfId="44" applyNumberFormat="1" applyFont="1" applyFill="1"/>
    <xf numFmtId="166" fontId="5" fillId="0" borderId="9" xfId="28" applyNumberFormat="1" applyFont="1" applyFill="1" applyBorder="1" applyAlignment="1">
      <alignment horizontal="right" vertical="top"/>
    </xf>
    <xf numFmtId="169" fontId="1" fillId="0" borderId="10" xfId="44" applyNumberFormat="1" applyFont="1" applyFill="1" applyBorder="1"/>
    <xf numFmtId="10" fontId="1" fillId="0" borderId="10" xfId="44" applyNumberFormat="1" applyFont="1" applyFill="1" applyBorder="1"/>
    <xf numFmtId="41" fontId="1" fillId="0" borderId="0" xfId="29" applyFont="1" applyFill="1"/>
    <xf numFmtId="41" fontId="6" fillId="0" borderId="0" xfId="29" applyFont="1" applyFill="1"/>
    <xf numFmtId="166" fontId="3" fillId="0" borderId="9" xfId="28" applyNumberFormat="1" applyFont="1" applyFill="1" applyBorder="1" applyAlignment="1">
      <alignment horizontal="right" vertical="top"/>
    </xf>
    <xf numFmtId="166" fontId="1" fillId="0" borderId="0" xfId="0" applyNumberFormat="1" applyFont="1" applyFill="1"/>
    <xf numFmtId="0" fontId="7" fillId="0" borderId="0" xfId="0" quotePrefix="1" applyFont="1" applyFill="1" applyAlignment="1">
      <alignment horizontal="center"/>
    </xf>
    <xf numFmtId="166" fontId="1" fillId="0" borderId="0" xfId="28" applyNumberFormat="1" applyFont="1" applyFill="1"/>
    <xf numFmtId="173" fontId="1" fillId="0" borderId="1" xfId="28" applyNumberFormat="1" applyFont="1" applyFill="1" applyBorder="1"/>
    <xf numFmtId="166" fontId="2" fillId="0" borderId="10" xfId="0" applyNumberFormat="1" applyFont="1" applyFill="1" applyBorder="1"/>
    <xf numFmtId="166" fontId="1" fillId="0" borderId="1" xfId="28" applyNumberFormat="1" applyFont="1" applyFill="1" applyBorder="1"/>
    <xf numFmtId="0" fontId="1" fillId="0" borderId="11" xfId="0" applyFont="1" applyFill="1" applyBorder="1"/>
    <xf numFmtId="166" fontId="36" fillId="0" borderId="0" xfId="0" quotePrefix="1" applyNumberFormat="1" applyFont="1" applyFill="1" applyAlignment="1">
      <alignment horizontal="center"/>
    </xf>
    <xf numFmtId="166" fontId="36" fillId="0" borderId="11" xfId="0" quotePrefix="1" applyNumberFormat="1" applyFont="1" applyFill="1" applyBorder="1" applyAlignment="1">
      <alignment horizontal="center"/>
    </xf>
    <xf numFmtId="166" fontId="36" fillId="0" borderId="0" xfId="0" quotePrefix="1" applyNumberFormat="1" applyFont="1" applyFill="1" applyBorder="1" applyAlignment="1">
      <alignment horizontal="center"/>
    </xf>
    <xf numFmtId="0" fontId="8" fillId="0" borderId="0" xfId="0" applyFont="1" applyFill="1"/>
    <xf numFmtId="0" fontId="7" fillId="0" borderId="11" xfId="0" quotePrefix="1" applyFont="1" applyFill="1" applyBorder="1" applyAlignment="1">
      <alignment horizontal="center"/>
    </xf>
    <xf numFmtId="172" fontId="1" fillId="0" borderId="0" xfId="0" applyNumberFormat="1" applyFont="1" applyFill="1"/>
    <xf numFmtId="172" fontId="1" fillId="0" borderId="11" xfId="0" applyNumberFormat="1" applyFont="1" applyFill="1" applyBorder="1"/>
    <xf numFmtId="172" fontId="1" fillId="0" borderId="1" xfId="0" applyNumberFormat="1" applyFont="1" applyFill="1" applyBorder="1"/>
    <xf numFmtId="172" fontId="1" fillId="0" borderId="12" xfId="0" applyNumberFormat="1" applyFont="1" applyFill="1" applyBorder="1"/>
    <xf numFmtId="172" fontId="37" fillId="0" borderId="0" xfId="0" applyNumberFormat="1" applyFont="1" applyFill="1"/>
    <xf numFmtId="172" fontId="37" fillId="0" borderId="11" xfId="0" applyNumberFormat="1" applyFont="1" applyFill="1" applyBorder="1"/>
    <xf numFmtId="166" fontId="1" fillId="0" borderId="11" xfId="28" applyNumberFormat="1" applyFont="1" applyFill="1" applyBorder="1"/>
    <xf numFmtId="173" fontId="1" fillId="0" borderId="12" xfId="28" applyNumberFormat="1" applyFont="1" applyFill="1" applyBorder="1"/>
    <xf numFmtId="10" fontId="1" fillId="0" borderId="1" xfId="44" applyNumberFormat="1" applyFont="1" applyFill="1" applyBorder="1"/>
    <xf numFmtId="10" fontId="1" fillId="0" borderId="12" xfId="44" applyNumberFormat="1" applyFont="1" applyFill="1" applyBorder="1"/>
    <xf numFmtId="43" fontId="1" fillId="0" borderId="0" xfId="28" applyNumberFormat="1" applyFont="1" applyFill="1"/>
    <xf numFmtId="166" fontId="2" fillId="0" borderId="13" xfId="0" applyNumberFormat="1" applyFont="1" applyFill="1" applyBorder="1"/>
    <xf numFmtId="166" fontId="36" fillId="0" borderId="0" xfId="0" applyNumberFormat="1" applyFont="1" applyFill="1"/>
    <xf numFmtId="166" fontId="1" fillId="0" borderId="0" xfId="44" applyNumberFormat="1" applyFont="1" applyFill="1"/>
    <xf numFmtId="166" fontId="1" fillId="0" borderId="11" xfId="44" applyNumberFormat="1" applyFont="1" applyFill="1" applyBorder="1"/>
    <xf numFmtId="166" fontId="1" fillId="0" borderId="4" xfId="0" applyNumberFormat="1" applyFont="1" applyFill="1" applyBorder="1"/>
    <xf numFmtId="166" fontId="1" fillId="0" borderId="14" xfId="0" applyNumberFormat="1" applyFont="1" applyFill="1" applyBorder="1"/>
    <xf numFmtId="49" fontId="34" fillId="0" borderId="0" xfId="0" applyNumberFormat="1" applyFont="1" applyFill="1" applyAlignment="1">
      <alignment horizontal="left" wrapText="1"/>
    </xf>
    <xf numFmtId="49" fontId="34" fillId="0" borderId="0" xfId="0" applyNumberFormat="1" applyFont="1" applyFill="1" applyAlignment="1">
      <alignment horizontal="right" wrapText="1"/>
    </xf>
    <xf numFmtId="164" fontId="35" fillId="0" borderId="0" xfId="0" applyNumberFormat="1" applyFont="1" applyFill="1" applyAlignment="1">
      <alignment horizontal="left"/>
    </xf>
    <xf numFmtId="164" fontId="38" fillId="0" borderId="0" xfId="0" applyNumberFormat="1" applyFont="1" applyFill="1" applyAlignment="1">
      <alignment horizontal="left"/>
    </xf>
    <xf numFmtId="167" fontId="34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7" fontId="34" fillId="0" borderId="0" xfId="0" applyNumberFormat="1" applyFont="1" applyFill="1" applyAlignment="1">
      <alignment horizontal="left"/>
    </xf>
    <xf numFmtId="168" fontId="34" fillId="0" borderId="0" xfId="0" applyNumberFormat="1" applyFont="1" applyFill="1" applyAlignment="1">
      <alignment horizontal="right"/>
    </xf>
    <xf numFmtId="168" fontId="34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166" fontId="1" fillId="0" borderId="0" xfId="28" applyNumberFormat="1" applyFont="1" applyFill="1" applyBorder="1"/>
    <xf numFmtId="166" fontId="1" fillId="0" borderId="0" xfId="0" applyNumberFormat="1" applyFont="1" applyFill="1" applyBorder="1"/>
    <xf numFmtId="166" fontId="1" fillId="0" borderId="4" xfId="28" applyNumberFormat="1" applyFont="1" applyFill="1" applyBorder="1"/>
    <xf numFmtId="0" fontId="0" fillId="0" borderId="0" xfId="0" applyFill="1" applyBorder="1" applyAlignment="1">
      <alignment horizontal="right"/>
    </xf>
    <xf numFmtId="41" fontId="9" fillId="0" borderId="0" xfId="0" applyNumberFormat="1" applyFont="1" applyFill="1" applyBorder="1"/>
    <xf numFmtId="170" fontId="34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center"/>
    </xf>
    <xf numFmtId="172" fontId="37" fillId="0" borderId="0" xfId="0" applyNumberFormat="1" applyFont="1" applyFill="1" applyBorder="1"/>
    <xf numFmtId="172" fontId="1" fillId="0" borderId="0" xfId="0" applyNumberFormat="1" applyFont="1" applyFill="1" applyBorder="1"/>
    <xf numFmtId="173" fontId="1" fillId="0" borderId="0" xfId="28" applyNumberFormat="1" applyFont="1" applyFill="1" applyBorder="1"/>
    <xf numFmtId="10" fontId="1" fillId="0" borderId="0" xfId="44" applyNumberFormat="1" applyFont="1" applyFill="1" applyBorder="1"/>
    <xf numFmtId="169" fontId="1" fillId="0" borderId="0" xfId="44" applyNumberFormat="1" applyFont="1" applyFill="1" applyBorder="1"/>
    <xf numFmtId="166" fontId="2" fillId="0" borderId="0" xfId="0" applyNumberFormat="1" applyFont="1" applyFill="1" applyBorder="1"/>
    <xf numFmtId="166" fontId="1" fillId="0" borderId="0" xfId="44" applyNumberFormat="1" applyFont="1" applyFill="1" applyBorder="1"/>
    <xf numFmtId="49" fontId="33" fillId="0" borderId="0" xfId="0" applyNumberFormat="1" applyFont="1" applyFill="1" applyAlignment="1">
      <alignment horizontal="left" wrapText="1"/>
    </xf>
    <xf numFmtId="49" fontId="33" fillId="0" borderId="0" xfId="0" applyNumberFormat="1" applyFont="1" applyFill="1" applyAlignment="1">
      <alignment horizontal="right" wrapText="1"/>
    </xf>
    <xf numFmtId="166" fontId="33" fillId="0" borderId="0" xfId="28" applyNumberFormat="1" applyFont="1" applyFill="1" applyAlignment="1">
      <alignment horizontal="right" wrapText="1"/>
    </xf>
    <xf numFmtId="166" fontId="33" fillId="0" borderId="0" xfId="28" quotePrefix="1" applyNumberFormat="1" applyFont="1" applyFill="1" applyAlignment="1">
      <alignment horizontal="right" wrapText="1"/>
    </xf>
    <xf numFmtId="0" fontId="33" fillId="0" borderId="0" xfId="0" applyNumberFormat="1" applyFont="1" applyFill="1" applyAlignment="1">
      <alignment horizontal="left" wrapText="1"/>
    </xf>
    <xf numFmtId="164" fontId="39" fillId="0" borderId="3" xfId="0" applyNumberFormat="1" applyFont="1" applyFill="1" applyBorder="1" applyAlignment="1">
      <alignment horizontal="left"/>
    </xf>
    <xf numFmtId="165" fontId="40" fillId="0" borderId="0" xfId="0" applyNumberFormat="1" applyFont="1" applyFill="1" applyAlignment="1">
      <alignment horizontal="left"/>
    </xf>
    <xf numFmtId="165" fontId="40" fillId="0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 horizontal="right"/>
    </xf>
    <xf numFmtId="165" fontId="33" fillId="0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 horizontal="left"/>
    </xf>
    <xf numFmtId="10" fontId="33" fillId="0" borderId="0" xfId="44" applyNumberFormat="1" applyFont="1" applyFill="1" applyAlignment="1">
      <alignment horizontal="right"/>
    </xf>
    <xf numFmtId="164" fontId="33" fillId="0" borderId="3" xfId="0" applyNumberFormat="1" applyFont="1" applyFill="1" applyBorder="1" applyAlignment="1">
      <alignment horizontal="left"/>
    </xf>
    <xf numFmtId="164" fontId="33" fillId="0" borderId="3" xfId="0" applyNumberFormat="1" applyFont="1" applyFill="1" applyBorder="1" applyAlignment="1">
      <alignment horizontal="right"/>
    </xf>
    <xf numFmtId="166" fontId="33" fillId="0" borderId="3" xfId="28" applyNumberFormat="1" applyFont="1" applyFill="1" applyBorder="1" applyAlignment="1">
      <alignment horizontal="right"/>
    </xf>
    <xf numFmtId="164" fontId="39" fillId="0" borderId="0" xfId="0" applyNumberFormat="1" applyFont="1" applyFill="1" applyAlignment="1">
      <alignment horizontal="left"/>
    </xf>
    <xf numFmtId="164" fontId="41" fillId="0" borderId="0" xfId="0" applyNumberFormat="1" applyFont="1" applyFill="1" applyAlignment="1">
      <alignment horizontal="left"/>
    </xf>
    <xf numFmtId="166" fontId="33" fillId="0" borderId="4" xfId="28" applyNumberFormat="1" applyFont="1" applyFill="1" applyBorder="1" applyAlignment="1">
      <alignment horizontal="right"/>
    </xf>
    <xf numFmtId="166" fontId="42" fillId="0" borderId="0" xfId="28" applyNumberFormat="1" applyFont="1" applyFill="1" applyAlignment="1">
      <alignment horizontal="right"/>
    </xf>
    <xf numFmtId="164" fontId="43" fillId="0" borderId="0" xfId="0" applyNumberFormat="1" applyFont="1" applyFill="1" applyAlignment="1">
      <alignment horizontal="left"/>
    </xf>
    <xf numFmtId="166" fontId="33" fillId="0" borderId="0" xfId="28" applyNumberFormat="1" applyFont="1" applyFill="1" applyBorder="1" applyAlignment="1">
      <alignment horizontal="right"/>
    </xf>
    <xf numFmtId="43" fontId="33" fillId="0" borderId="0" xfId="28" applyNumberFormat="1" applyFont="1" applyFill="1" applyBorder="1" applyAlignment="1">
      <alignment horizontal="right"/>
    </xf>
    <xf numFmtId="166" fontId="33" fillId="0" borderId="1" xfId="28" applyNumberFormat="1" applyFont="1" applyFill="1" applyBorder="1" applyAlignment="1">
      <alignment horizontal="right"/>
    </xf>
    <xf numFmtId="9" fontId="33" fillId="0" borderId="1" xfId="44" applyFont="1" applyFill="1" applyBorder="1" applyAlignment="1">
      <alignment horizontal="right"/>
    </xf>
    <xf numFmtId="43" fontId="33" fillId="0" borderId="0" xfId="28" applyNumberFormat="1" applyFont="1" applyFill="1" applyAlignment="1">
      <alignment horizontal="right"/>
    </xf>
    <xf numFmtId="164" fontId="33" fillId="0" borderId="0" xfId="0" applyNumberFormat="1" applyFont="1" applyFill="1" applyBorder="1" applyAlignment="1">
      <alignment horizontal="left"/>
    </xf>
    <xf numFmtId="164" fontId="33" fillId="0" borderId="0" xfId="0" applyNumberFormat="1" applyFont="1" applyFill="1" applyBorder="1" applyAlignment="1">
      <alignment horizontal="right"/>
    </xf>
    <xf numFmtId="166" fontId="39" fillId="0" borderId="4" xfId="28" applyNumberFormat="1" applyFont="1" applyFill="1" applyBorder="1" applyAlignment="1">
      <alignment horizontal="right"/>
    </xf>
    <xf numFmtId="166" fontId="39" fillId="0" borderId="0" xfId="28" applyNumberFormat="1" applyFont="1" applyFill="1" applyAlignment="1">
      <alignment horizontal="righ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" xfId="29" builtinId="6"/>
    <cellStyle name="Comma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te" xfId="42" builtinId="10" customBuiltin="1"/>
    <cellStyle name="Output" xfId="43" builtinId="21" customBuiltin="1"/>
    <cellStyle name="Percent" xfId="44" builtinId="5"/>
    <cellStyle name="Title" xfId="45" builtinId="15" customBuiltin="1"/>
    <cellStyle name="Title 2" xfId="46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8"/>
  <sheetViews>
    <sheetView tabSelected="1" zoomScale="130" zoomScaleNormal="130" workbookViewId="0">
      <pane xSplit="1" ySplit="3" topLeftCell="G4" activePane="bottomRight" state="frozen"/>
      <selection activeCell="H116" sqref="H116"/>
      <selection pane="topRight" activeCell="H116" sqref="H116"/>
      <selection pane="bottomLeft" activeCell="H116" sqref="H116"/>
      <selection pane="bottomRight" activeCell="A2" sqref="A2"/>
    </sheetView>
  </sheetViews>
  <sheetFormatPr defaultColWidth="9.109375" defaultRowHeight="8.4" x14ac:dyDescent="0.15"/>
  <cols>
    <col min="1" max="1" width="30.6640625" style="24" customWidth="1"/>
    <col min="2" max="8" width="10.6640625" style="25" customWidth="1"/>
    <col min="9" max="37" width="10.6640625" style="32" customWidth="1"/>
    <col min="38" max="38" width="9.109375" style="25"/>
    <col min="39" max="39" width="9.5546875" style="25" bestFit="1" customWidth="1"/>
    <col min="40" max="40" width="9.6640625" style="25" bestFit="1" customWidth="1"/>
    <col min="41" max="51" width="9.21875" style="25" bestFit="1" customWidth="1"/>
    <col min="52" max="52" width="9.44140625" style="25" bestFit="1" customWidth="1"/>
    <col min="53" max="53" width="9.33203125" style="25" bestFit="1" customWidth="1"/>
    <col min="54" max="16384" width="9.109375" style="25"/>
  </cols>
  <sheetData>
    <row r="1" spans="1:53" s="109" customFormat="1" x14ac:dyDescent="0.15">
      <c r="A1" s="108"/>
      <c r="I1" s="110"/>
      <c r="J1" s="111">
        <v>2</v>
      </c>
      <c r="K1" s="110"/>
      <c r="L1" s="110"/>
      <c r="M1" s="110"/>
      <c r="N1" s="110"/>
      <c r="O1" s="110"/>
      <c r="P1" s="110"/>
      <c r="Q1" s="110">
        <v>3</v>
      </c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>
        <v>4</v>
      </c>
      <c r="AE1" s="110"/>
      <c r="AF1" s="110"/>
      <c r="AG1" s="110"/>
      <c r="AH1" s="110"/>
      <c r="AI1" s="110"/>
      <c r="AJ1" s="110"/>
      <c r="AK1" s="110"/>
    </row>
    <row r="2" spans="1:53" s="109" customFormat="1" ht="16.8" x14ac:dyDescent="0.15">
      <c r="A2" s="112"/>
      <c r="B2" s="109" t="s">
        <v>364</v>
      </c>
      <c r="C2" s="109" t="s">
        <v>365</v>
      </c>
      <c r="D2" s="109" t="s">
        <v>366</v>
      </c>
      <c r="E2" s="109" t="s">
        <v>367</v>
      </c>
      <c r="F2" s="109" t="s">
        <v>368</v>
      </c>
      <c r="G2" s="109" t="s">
        <v>369</v>
      </c>
      <c r="H2" s="109" t="s">
        <v>0</v>
      </c>
      <c r="I2" s="109" t="s">
        <v>1</v>
      </c>
      <c r="J2" s="109" t="s">
        <v>2</v>
      </c>
      <c r="K2" s="109" t="s">
        <v>3</v>
      </c>
      <c r="L2" s="109" t="s">
        <v>4</v>
      </c>
      <c r="M2" s="109" t="s">
        <v>5</v>
      </c>
      <c r="N2" s="109" t="s">
        <v>6</v>
      </c>
      <c r="O2" s="109" t="s">
        <v>7</v>
      </c>
      <c r="P2" s="109" t="s">
        <v>8</v>
      </c>
      <c r="Q2" s="109" t="s">
        <v>9</v>
      </c>
      <c r="R2" s="109" t="s">
        <v>10</v>
      </c>
      <c r="S2" s="109" t="s">
        <v>11</v>
      </c>
      <c r="T2" s="109" t="s">
        <v>12</v>
      </c>
      <c r="U2" s="109" t="s">
        <v>13</v>
      </c>
      <c r="V2" s="109" t="s">
        <v>14</v>
      </c>
      <c r="W2" s="109" t="s">
        <v>15</v>
      </c>
      <c r="X2" s="109" t="s">
        <v>16</v>
      </c>
      <c r="Y2" s="109" t="s">
        <v>17</v>
      </c>
      <c r="Z2" s="109" t="s">
        <v>18</v>
      </c>
      <c r="AA2" s="109" t="s">
        <v>19</v>
      </c>
      <c r="AB2" s="109" t="s">
        <v>20</v>
      </c>
      <c r="AC2" s="109" t="s">
        <v>21</v>
      </c>
      <c r="AD2" s="109" t="s">
        <v>22</v>
      </c>
      <c r="AE2" s="109" t="s">
        <v>23</v>
      </c>
      <c r="AF2" s="109" t="s">
        <v>24</v>
      </c>
      <c r="AG2" s="109" t="s">
        <v>25</v>
      </c>
      <c r="AH2" s="109" t="s">
        <v>26</v>
      </c>
      <c r="AI2" s="109" t="s">
        <v>27</v>
      </c>
      <c r="AJ2" s="109" t="s">
        <v>28</v>
      </c>
      <c r="AK2" s="109" t="s">
        <v>29</v>
      </c>
      <c r="AM2" s="109" t="s">
        <v>9</v>
      </c>
      <c r="AN2" s="109" t="s">
        <v>10</v>
      </c>
      <c r="AO2" s="109" t="s">
        <v>11</v>
      </c>
      <c r="AP2" s="109" t="s">
        <v>12</v>
      </c>
      <c r="AQ2" s="109" t="s">
        <v>13</v>
      </c>
      <c r="AR2" s="109" t="s">
        <v>14</v>
      </c>
      <c r="AS2" s="109" t="s">
        <v>15</v>
      </c>
      <c r="AT2" s="109" t="s">
        <v>16</v>
      </c>
      <c r="AU2" s="109" t="s">
        <v>17</v>
      </c>
      <c r="AV2" s="109" t="s">
        <v>18</v>
      </c>
      <c r="AW2" s="109" t="s">
        <v>19</v>
      </c>
      <c r="AX2" s="109" t="s">
        <v>20</v>
      </c>
      <c r="AY2" s="109" t="s">
        <v>21</v>
      </c>
      <c r="AZ2" s="109" t="s">
        <v>697</v>
      </c>
      <c r="BA2" s="109" t="s">
        <v>698</v>
      </c>
    </row>
    <row r="3" spans="1:53" s="109" customFormat="1" x14ac:dyDescent="0.15">
      <c r="A3" s="108"/>
    </row>
    <row r="4" spans="1:53" ht="15" thickBot="1" x14ac:dyDescent="0.35">
      <c r="A4" s="113" t="s">
        <v>341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3" s="117" customFormat="1" ht="10.199999999999999" x14ac:dyDescent="0.2">
      <c r="A5" s="114" t="s">
        <v>370</v>
      </c>
      <c r="B5" s="115">
        <v>691290.64697999996</v>
      </c>
      <c r="C5" s="115">
        <v>691290.64697999996</v>
      </c>
      <c r="D5" s="115">
        <v>696016.06397000002</v>
      </c>
      <c r="E5" s="115">
        <v>695806.61550999898</v>
      </c>
      <c r="F5" s="115">
        <v>695806.61550999898</v>
      </c>
      <c r="G5" s="115">
        <v>689651.09628000006</v>
      </c>
      <c r="H5" s="115">
        <v>689693.44458166603</v>
      </c>
      <c r="I5" s="115">
        <v>689735.79288333305</v>
      </c>
      <c r="J5" s="115">
        <v>723668.86972188496</v>
      </c>
      <c r="K5" s="115">
        <v>723711.21802355198</v>
      </c>
      <c r="L5" s="115">
        <v>723753.566325219</v>
      </c>
      <c r="M5" s="115">
        <v>742242.192533097</v>
      </c>
      <c r="N5" s="115">
        <v>742284.54083476402</v>
      </c>
      <c r="O5" s="115">
        <v>742326.88913643104</v>
      </c>
      <c r="P5" s="115">
        <v>757528.76813605998</v>
      </c>
      <c r="Q5" s="115">
        <v>758003.58494342898</v>
      </c>
      <c r="R5" s="115">
        <v>758038.60843842896</v>
      </c>
      <c r="S5" s="115">
        <v>775977.69144336705</v>
      </c>
      <c r="T5" s="115">
        <v>776012.71493836702</v>
      </c>
      <c r="U5" s="115">
        <v>776047.73843336699</v>
      </c>
      <c r="V5" s="115">
        <v>792672.98498595995</v>
      </c>
      <c r="W5" s="115">
        <v>792708.00848096004</v>
      </c>
      <c r="X5" s="115">
        <v>792743.03197596001</v>
      </c>
      <c r="Y5" s="115">
        <v>810905.12015239801</v>
      </c>
      <c r="Z5" s="115">
        <v>810940.14364739798</v>
      </c>
      <c r="AA5" s="115">
        <v>810975.16714239796</v>
      </c>
      <c r="AB5" s="115">
        <v>814468.02957911405</v>
      </c>
      <c r="AC5" s="115">
        <v>815591.59045220201</v>
      </c>
      <c r="AD5" s="115">
        <v>815065.12793769001</v>
      </c>
      <c r="AE5" s="115">
        <v>822545.62371664902</v>
      </c>
      <c r="AF5" s="115">
        <v>822580.64721164899</v>
      </c>
      <c r="AG5" s="115">
        <v>822615.67070664896</v>
      </c>
      <c r="AH5" s="115">
        <v>827604.50601881696</v>
      </c>
      <c r="AI5" s="115">
        <v>827639.52951381705</v>
      </c>
      <c r="AJ5" s="115">
        <v>827674.55300881702</v>
      </c>
      <c r="AK5" s="115">
        <v>834968.20435812999</v>
      </c>
      <c r="AL5" s="115"/>
      <c r="AM5" s="116"/>
      <c r="AN5" s="32" t="s">
        <v>352</v>
      </c>
      <c r="AO5" s="32" t="s">
        <v>353</v>
      </c>
      <c r="AP5" s="32" t="s">
        <v>354</v>
      </c>
      <c r="AQ5" s="32" t="s">
        <v>355</v>
      </c>
      <c r="AR5" s="32" t="s">
        <v>356</v>
      </c>
      <c r="AS5" s="32" t="s">
        <v>357</v>
      </c>
      <c r="AT5" s="32" t="s">
        <v>358</v>
      </c>
      <c r="AU5" s="32" t="s">
        <v>359</v>
      </c>
      <c r="AV5" s="32" t="s">
        <v>360</v>
      </c>
      <c r="AW5" s="32" t="s">
        <v>361</v>
      </c>
      <c r="AX5" s="32" t="s">
        <v>362</v>
      </c>
      <c r="AY5" s="32" t="s">
        <v>363</v>
      </c>
      <c r="AZ5" s="32"/>
    </row>
    <row r="6" spans="1:53" x14ac:dyDescent="0.15">
      <c r="A6" s="118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M6" s="117"/>
      <c r="AN6" s="119">
        <v>0.9178082191780822</v>
      </c>
      <c r="AO6" s="119">
        <v>0.83287671232876714</v>
      </c>
      <c r="AP6" s="119">
        <v>0.75068493150684934</v>
      </c>
      <c r="AQ6" s="119">
        <v>0.66575342465753429</v>
      </c>
      <c r="AR6" s="119">
        <v>0.58356164383561648</v>
      </c>
      <c r="AS6" s="119">
        <v>0.49863013698630138</v>
      </c>
      <c r="AT6" s="119">
        <v>0.41369863013698632</v>
      </c>
      <c r="AU6" s="119">
        <v>0.33698630136986302</v>
      </c>
      <c r="AV6" s="119">
        <v>0.25205479452054796</v>
      </c>
      <c r="AW6" s="119">
        <v>0.16986301369863013</v>
      </c>
      <c r="AX6" s="119">
        <v>8.4931506849315067E-2</v>
      </c>
      <c r="AY6" s="119">
        <v>2.7397260273972603E-3</v>
      </c>
      <c r="AZ6" s="119"/>
      <c r="BA6" s="119"/>
    </row>
    <row r="7" spans="1:53" s="121" customFormat="1" ht="9" thickBot="1" x14ac:dyDescent="0.2">
      <c r="A7" s="120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</row>
    <row r="9" spans="1:53" x14ac:dyDescent="0.15">
      <c r="A9" s="123" t="s">
        <v>30</v>
      </c>
    </row>
    <row r="10" spans="1:53" x14ac:dyDescent="0.15">
      <c r="A10" s="24" t="s">
        <v>31</v>
      </c>
      <c r="B10" s="32">
        <f t="shared" ref="B10:AG10" si="0">-B5*1000</f>
        <v>-691290646.98000002</v>
      </c>
      <c r="C10" s="32">
        <f t="shared" si="0"/>
        <v>-691290646.98000002</v>
      </c>
      <c r="D10" s="32">
        <f t="shared" si="0"/>
        <v>-696016063.97000003</v>
      </c>
      <c r="E10" s="32">
        <f t="shared" si="0"/>
        <v>-695806615.50999904</v>
      </c>
      <c r="F10" s="32">
        <f t="shared" si="0"/>
        <v>-695806615.50999904</v>
      </c>
      <c r="G10" s="32">
        <f t="shared" si="0"/>
        <v>-689651096.28000009</v>
      </c>
      <c r="H10" s="32">
        <f t="shared" si="0"/>
        <v>-689693444.58166599</v>
      </c>
      <c r="I10" s="32">
        <f t="shared" si="0"/>
        <v>-689735792.88333309</v>
      </c>
      <c r="J10" s="32">
        <f t="shared" si="0"/>
        <v>-723668869.72188497</v>
      </c>
      <c r="K10" s="32">
        <f t="shared" si="0"/>
        <v>-723711218.02355194</v>
      </c>
      <c r="L10" s="32">
        <f t="shared" si="0"/>
        <v>-723753566.32521904</v>
      </c>
      <c r="M10" s="32">
        <f t="shared" si="0"/>
        <v>-742242192.53309703</v>
      </c>
      <c r="N10" s="32">
        <f t="shared" si="0"/>
        <v>-742284540.834764</v>
      </c>
      <c r="O10" s="32">
        <f t="shared" si="0"/>
        <v>-742326889.1364311</v>
      </c>
      <c r="P10" s="32">
        <f t="shared" si="0"/>
        <v>-757528768.13606</v>
      </c>
      <c r="Q10" s="32">
        <f t="shared" si="0"/>
        <v>-758003584.94342899</v>
      </c>
      <c r="R10" s="32">
        <f t="shared" si="0"/>
        <v>-758038608.438429</v>
      </c>
      <c r="S10" s="32">
        <f t="shared" si="0"/>
        <v>-775977691.443367</v>
      </c>
      <c r="T10" s="32">
        <f t="shared" si="0"/>
        <v>-776012714.93836701</v>
      </c>
      <c r="U10" s="32">
        <f t="shared" si="0"/>
        <v>-776047738.43336701</v>
      </c>
      <c r="V10" s="32">
        <f t="shared" si="0"/>
        <v>-792672984.98596001</v>
      </c>
      <c r="W10" s="32">
        <f t="shared" si="0"/>
        <v>-792708008.48096001</v>
      </c>
      <c r="X10" s="32">
        <f>-X5*1000</f>
        <v>-792743031.97596002</v>
      </c>
      <c r="Y10" s="32">
        <f t="shared" si="0"/>
        <v>-810905120.15239799</v>
      </c>
      <c r="Z10" s="32">
        <f t="shared" si="0"/>
        <v>-810940143.64739799</v>
      </c>
      <c r="AA10" s="32">
        <f t="shared" si="0"/>
        <v>-810975167.142398</v>
      </c>
      <c r="AB10" s="32">
        <f t="shared" si="0"/>
        <v>-814468029.57911408</v>
      </c>
      <c r="AC10" s="32">
        <f t="shared" si="0"/>
        <v>-815591590.45220196</v>
      </c>
      <c r="AD10" s="32">
        <f t="shared" si="0"/>
        <v>-815065127.93769002</v>
      </c>
      <c r="AE10" s="32">
        <f t="shared" si="0"/>
        <v>-822545623.71664906</v>
      </c>
      <c r="AF10" s="32">
        <f t="shared" si="0"/>
        <v>-822580647.21164894</v>
      </c>
      <c r="AG10" s="32">
        <f t="shared" si="0"/>
        <v>-822615670.70664895</v>
      </c>
      <c r="AH10" s="32">
        <f>-AH5*1000</f>
        <v>-827604506.01881695</v>
      </c>
      <c r="AI10" s="32">
        <f>-AI5*1000</f>
        <v>-827639529.51381707</v>
      </c>
      <c r="AJ10" s="32">
        <f>-AJ5*1000</f>
        <v>-827674553.00881708</v>
      </c>
      <c r="AK10" s="32">
        <f>-AK5*1000</f>
        <v>-834968204.35812998</v>
      </c>
    </row>
    <row r="11" spans="1:53" x14ac:dyDescent="0.15">
      <c r="C11" s="25">
        <f>+C10-B10</f>
        <v>0</v>
      </c>
      <c r="H11" s="25">
        <f t="shared" ref="H11:AK11" si="1">+H10-G10</f>
        <v>-42348.301665902138</v>
      </c>
      <c r="I11" s="25">
        <f t="shared" si="1"/>
        <v>-42348.301667094231</v>
      </c>
      <c r="J11" s="32">
        <f>+J10-I10</f>
        <v>-33933076.838551879</v>
      </c>
      <c r="K11" s="32">
        <f t="shared" si="1"/>
        <v>-42348.301666975021</v>
      </c>
      <c r="L11" s="32">
        <f t="shared" si="1"/>
        <v>-42348.301667094231</v>
      </c>
      <c r="M11" s="32">
        <f t="shared" si="1"/>
        <v>-18488626.207877994</v>
      </c>
      <c r="N11" s="32">
        <f t="shared" si="1"/>
        <v>-42348.301666975021</v>
      </c>
      <c r="O11" s="32">
        <f t="shared" si="1"/>
        <v>-42348.301667094231</v>
      </c>
      <c r="P11" s="32">
        <f t="shared" si="1"/>
        <v>-15201878.999628901</v>
      </c>
      <c r="Q11" s="32">
        <f t="shared" si="1"/>
        <v>-474816.80736899376</v>
      </c>
      <c r="R11" s="32">
        <f t="shared" si="1"/>
        <v>-35023.495000004768</v>
      </c>
      <c r="S11" s="32">
        <f t="shared" si="1"/>
        <v>-17939083.004938006</v>
      </c>
      <c r="T11" s="32">
        <f t="shared" si="1"/>
        <v>-35023.495000004768</v>
      </c>
      <c r="U11" s="32">
        <f t="shared" si="1"/>
        <v>-35023.495000004768</v>
      </c>
      <c r="V11" s="32">
        <f t="shared" si="1"/>
        <v>-16625246.552592993</v>
      </c>
      <c r="W11" s="32">
        <f t="shared" si="1"/>
        <v>-35023.495000004768</v>
      </c>
      <c r="X11" s="32">
        <f t="shared" si="1"/>
        <v>-35023.495000004768</v>
      </c>
      <c r="Y11" s="32">
        <f t="shared" si="1"/>
        <v>-18162088.176437974</v>
      </c>
      <c r="Z11" s="32">
        <f t="shared" si="1"/>
        <v>-35023.495000004768</v>
      </c>
      <c r="AA11" s="32">
        <f t="shared" si="1"/>
        <v>-35023.495000004768</v>
      </c>
      <c r="AB11" s="32">
        <f t="shared" si="1"/>
        <v>-3492862.4367160797</v>
      </c>
      <c r="AC11" s="32">
        <f t="shared" si="1"/>
        <v>-1123560.873087883</v>
      </c>
      <c r="AD11" s="32">
        <f t="shared" si="1"/>
        <v>526462.51451194286</v>
      </c>
      <c r="AE11" s="32">
        <f t="shared" si="1"/>
        <v>-7480495.7789590359</v>
      </c>
      <c r="AF11" s="32">
        <f t="shared" si="1"/>
        <v>-35023.494999885559</v>
      </c>
      <c r="AG11" s="32">
        <f t="shared" si="1"/>
        <v>-35023.495000004768</v>
      </c>
      <c r="AH11" s="32">
        <f t="shared" si="1"/>
        <v>-4988835.3121680021</v>
      </c>
      <c r="AI11" s="32">
        <f t="shared" si="1"/>
        <v>-35023.495000123978</v>
      </c>
      <c r="AJ11" s="32">
        <f t="shared" si="1"/>
        <v>-35023.495000004768</v>
      </c>
      <c r="AK11" s="32">
        <f t="shared" si="1"/>
        <v>-7293651.3493129015</v>
      </c>
    </row>
    <row r="13" spans="1:53" x14ac:dyDescent="0.15">
      <c r="A13" s="124" t="s">
        <v>96</v>
      </c>
      <c r="M13" s="136" t="s">
        <v>715</v>
      </c>
      <c r="BA13" s="136" t="s">
        <v>717</v>
      </c>
    </row>
    <row r="14" spans="1:53" x14ac:dyDescent="0.15">
      <c r="A14" s="24" t="s">
        <v>342</v>
      </c>
      <c r="G14" s="32">
        <f>+G95</f>
        <v>-1335037502.4400008</v>
      </c>
      <c r="H14" s="32">
        <f>+H95</f>
        <v>-1335079850.8375008</v>
      </c>
      <c r="I14" s="32">
        <f>+I95</f>
        <v>-1335122199.2350008</v>
      </c>
      <c r="J14" s="32">
        <f t="shared" ref="J14:AK14" si="2">+J95</f>
        <v>-1365768705.1071501</v>
      </c>
      <c r="K14" s="32">
        <f t="shared" si="2"/>
        <v>-1365811053.4088161</v>
      </c>
      <c r="L14" s="32">
        <f t="shared" si="2"/>
        <v>-1365853401.7104821</v>
      </c>
      <c r="M14" s="136">
        <f t="shared" si="2"/>
        <v>-1380626003.4777756</v>
      </c>
      <c r="N14" s="32">
        <f t="shared" si="2"/>
        <v>-1380668351.7794416</v>
      </c>
      <c r="O14" s="32">
        <f t="shared" si="2"/>
        <v>-1380710700.0811076</v>
      </c>
      <c r="P14" s="32">
        <f t="shared" si="2"/>
        <v>-1390487563.7672224</v>
      </c>
      <c r="Q14" s="32">
        <f t="shared" si="2"/>
        <v>-1389229039.8703742</v>
      </c>
      <c r="R14" s="32">
        <f t="shared" si="2"/>
        <v>-1389264063.0778742</v>
      </c>
      <c r="S14" s="32">
        <f t="shared" si="2"/>
        <v>-1403501730.7388284</v>
      </c>
      <c r="T14" s="32">
        <f t="shared" si="2"/>
        <v>-1403536754.2763286</v>
      </c>
      <c r="U14" s="32">
        <f t="shared" si="2"/>
        <v>-1403571777.8138285</v>
      </c>
      <c r="V14" s="32">
        <f t="shared" si="2"/>
        <v>-1414757396.9112682</v>
      </c>
      <c r="W14" s="32">
        <f t="shared" si="2"/>
        <v>-1414792420.4487681</v>
      </c>
      <c r="X14" s="32">
        <f t="shared" si="2"/>
        <v>-1414827443.986268</v>
      </c>
      <c r="Y14" s="32">
        <f t="shared" si="2"/>
        <v>-1427549905.3285503</v>
      </c>
      <c r="Z14" s="32">
        <f t="shared" si="2"/>
        <v>-1427584928.8660502</v>
      </c>
      <c r="AA14" s="32">
        <f t="shared" si="2"/>
        <v>-1427619952.4035504</v>
      </c>
      <c r="AB14" s="32">
        <f t="shared" si="2"/>
        <v>-1424561182.7093499</v>
      </c>
      <c r="AC14" s="32">
        <f t="shared" si="2"/>
        <v>-1423572313.2899644</v>
      </c>
      <c r="AD14" s="32">
        <f t="shared" si="2"/>
        <v>-1423045850.8179519</v>
      </c>
      <c r="AE14" s="32">
        <f t="shared" si="2"/>
        <v>-1426087144.8009944</v>
      </c>
      <c r="AF14" s="32">
        <f t="shared" si="2"/>
        <v>-1426122168.3384945</v>
      </c>
      <c r="AG14" s="32">
        <f t="shared" si="2"/>
        <v>-1426157191.8759944</v>
      </c>
      <c r="AH14" s="32">
        <f t="shared" si="2"/>
        <v>-1424594395.057271</v>
      </c>
      <c r="AI14" s="32">
        <f t="shared" si="2"/>
        <v>-1424629418.5947711</v>
      </c>
      <c r="AJ14" s="32">
        <f t="shared" si="2"/>
        <v>-1424664442.1322711</v>
      </c>
      <c r="AK14" s="32">
        <f t="shared" si="2"/>
        <v>-1425406461.3506923</v>
      </c>
      <c r="AM14" s="32">
        <f>+Q14</f>
        <v>-1389229039.8703742</v>
      </c>
      <c r="AN14" s="32">
        <f>($AZ14-$AM14)/12*AN$6</f>
        <v>-2626711.55149834</v>
      </c>
      <c r="AO14" s="32">
        <f t="shared" ref="AO14:AY16" si="3">($AZ14-$AM14)/12*AO$6</f>
        <v>-2383642.7213596879</v>
      </c>
      <c r="AP14" s="32">
        <f t="shared" si="3"/>
        <v>-2148414.8212255081</v>
      </c>
      <c r="AQ14" s="32">
        <f t="shared" si="3"/>
        <v>-1905345.9910868558</v>
      </c>
      <c r="AR14" s="32">
        <f t="shared" si="3"/>
        <v>-1670118.090952676</v>
      </c>
      <c r="AS14" s="32">
        <f t="shared" si="3"/>
        <v>-1427049.2608140234</v>
      </c>
      <c r="AT14" s="32">
        <f t="shared" si="3"/>
        <v>-1183980.4306753713</v>
      </c>
      <c r="AU14" s="32">
        <f t="shared" si="3"/>
        <v>-964434.3905501368</v>
      </c>
      <c r="AV14" s="32">
        <f t="shared" si="3"/>
        <v>-721365.56041148445</v>
      </c>
      <c r="AW14" s="32">
        <f t="shared" si="3"/>
        <v>-486137.66027730471</v>
      </c>
      <c r="AX14" s="32">
        <f t="shared" si="3"/>
        <v>-243068.83013865235</v>
      </c>
      <c r="AY14" s="32">
        <f t="shared" si="3"/>
        <v>-7840.9300044726569</v>
      </c>
      <c r="AZ14" s="32">
        <f>+AC14</f>
        <v>-1423572313.2899644</v>
      </c>
      <c r="BA14" s="136">
        <f>SUM(AM14:AY14)</f>
        <v>-1404997150.1093686</v>
      </c>
    </row>
    <row r="15" spans="1:53" x14ac:dyDescent="0.15">
      <c r="A15" s="24" t="s">
        <v>343</v>
      </c>
      <c r="G15" s="32">
        <f>+G100</f>
        <v>330021.44</v>
      </c>
      <c r="H15" s="32">
        <f>+H100</f>
        <v>330021.44</v>
      </c>
      <c r="I15" s="32">
        <f>+I100</f>
        <v>330021.44</v>
      </c>
      <c r="J15" s="32">
        <f t="shared" ref="J15:AK15" si="4">+J100</f>
        <v>330021.44</v>
      </c>
      <c r="K15" s="32">
        <f t="shared" si="4"/>
        <v>330021.44</v>
      </c>
      <c r="L15" s="32">
        <f t="shared" si="4"/>
        <v>330021.44</v>
      </c>
      <c r="M15" s="32">
        <f t="shared" si="4"/>
        <v>330021.44</v>
      </c>
      <c r="N15" s="32">
        <f t="shared" si="4"/>
        <v>330021.44</v>
      </c>
      <c r="O15" s="32">
        <f t="shared" si="4"/>
        <v>330021.44</v>
      </c>
      <c r="P15" s="32">
        <f t="shared" si="4"/>
        <v>330021.44</v>
      </c>
      <c r="Q15" s="32">
        <f t="shared" si="4"/>
        <v>330021.44</v>
      </c>
      <c r="R15" s="32">
        <f t="shared" si="4"/>
        <v>330021.44</v>
      </c>
      <c r="S15" s="32">
        <f t="shared" si="4"/>
        <v>330021.44</v>
      </c>
      <c r="T15" s="32">
        <f t="shared" si="4"/>
        <v>330021.44</v>
      </c>
      <c r="U15" s="32">
        <f t="shared" si="4"/>
        <v>330021.44</v>
      </c>
      <c r="V15" s="32">
        <f t="shared" si="4"/>
        <v>330021.44</v>
      </c>
      <c r="W15" s="32">
        <f t="shared" si="4"/>
        <v>330021.44</v>
      </c>
      <c r="X15" s="32">
        <f t="shared" si="4"/>
        <v>330021.44</v>
      </c>
      <c r="Y15" s="32">
        <f t="shared" si="4"/>
        <v>330021.44</v>
      </c>
      <c r="Z15" s="32">
        <f t="shared" si="4"/>
        <v>330021.44</v>
      </c>
      <c r="AA15" s="32">
        <f t="shared" si="4"/>
        <v>330021.44</v>
      </c>
      <c r="AB15" s="32">
        <f t="shared" si="4"/>
        <v>330021.44</v>
      </c>
      <c r="AC15" s="32">
        <f t="shared" si="4"/>
        <v>330021.44</v>
      </c>
      <c r="AD15" s="32">
        <f t="shared" si="4"/>
        <v>330021.44</v>
      </c>
      <c r="AE15" s="32">
        <f t="shared" si="4"/>
        <v>330021.44</v>
      </c>
      <c r="AF15" s="32">
        <f t="shared" si="4"/>
        <v>330021.44</v>
      </c>
      <c r="AG15" s="32">
        <f t="shared" si="4"/>
        <v>330021.44</v>
      </c>
      <c r="AH15" s="32">
        <f t="shared" si="4"/>
        <v>330021.44</v>
      </c>
      <c r="AI15" s="32">
        <f t="shared" si="4"/>
        <v>330021.44</v>
      </c>
      <c r="AJ15" s="32">
        <f t="shared" si="4"/>
        <v>330021.44</v>
      </c>
      <c r="AK15" s="32">
        <f t="shared" si="4"/>
        <v>330021.44</v>
      </c>
      <c r="AM15" s="25">
        <f>+Q15</f>
        <v>330021.44</v>
      </c>
      <c r="AN15" s="25">
        <f>($AZ15-$AM15)/12*AN$6</f>
        <v>0</v>
      </c>
      <c r="AO15" s="25">
        <f t="shared" si="3"/>
        <v>0</v>
      </c>
      <c r="AP15" s="25">
        <f t="shared" si="3"/>
        <v>0</v>
      </c>
      <c r="AQ15" s="25">
        <f t="shared" si="3"/>
        <v>0</v>
      </c>
      <c r="AR15" s="25">
        <f t="shared" si="3"/>
        <v>0</v>
      </c>
      <c r="AS15" s="25">
        <f t="shared" si="3"/>
        <v>0</v>
      </c>
      <c r="AT15" s="25">
        <f t="shared" si="3"/>
        <v>0</v>
      </c>
      <c r="AU15" s="25">
        <f t="shared" si="3"/>
        <v>0</v>
      </c>
      <c r="AV15" s="25">
        <f t="shared" si="3"/>
        <v>0</v>
      </c>
      <c r="AW15" s="25">
        <f t="shared" si="3"/>
        <v>0</v>
      </c>
      <c r="AX15" s="25">
        <f t="shared" si="3"/>
        <v>0</v>
      </c>
      <c r="AY15" s="25">
        <f t="shared" si="3"/>
        <v>0</v>
      </c>
      <c r="AZ15" s="25">
        <f>+AC15</f>
        <v>330021.44</v>
      </c>
      <c r="BA15" s="25">
        <f>SUM(AM15:AY15)</f>
        <v>330021.44</v>
      </c>
    </row>
    <row r="16" spans="1:53" x14ac:dyDescent="0.15">
      <c r="A16" s="24" t="s">
        <v>344</v>
      </c>
      <c r="G16" s="32">
        <f>+G107</f>
        <v>645056386.98000002</v>
      </c>
      <c r="H16" s="32">
        <f>+H107</f>
        <v>645056386.98000002</v>
      </c>
      <c r="I16" s="32">
        <f>+I107</f>
        <v>645056386.98000002</v>
      </c>
      <c r="J16" s="32">
        <f t="shared" ref="J16:AK16" si="5">+J107</f>
        <v>641769814.75899887</v>
      </c>
      <c r="K16" s="32">
        <f t="shared" si="5"/>
        <v>641769814.75899887</v>
      </c>
      <c r="L16" s="32">
        <f t="shared" si="5"/>
        <v>641769814.75899887</v>
      </c>
      <c r="M16" s="32">
        <f t="shared" si="5"/>
        <v>638053790.09958684</v>
      </c>
      <c r="N16" s="32">
        <f t="shared" si="5"/>
        <v>638053790.09958684</v>
      </c>
      <c r="O16" s="32">
        <f t="shared" si="5"/>
        <v>638053790.09958684</v>
      </c>
      <c r="P16" s="32">
        <f t="shared" si="5"/>
        <v>632628774.41148138</v>
      </c>
      <c r="Q16" s="32">
        <f t="shared" si="5"/>
        <v>630895433.70726526</v>
      </c>
      <c r="R16" s="32">
        <f t="shared" si="5"/>
        <v>630895433.70726526</v>
      </c>
      <c r="S16" s="32">
        <f t="shared" si="5"/>
        <v>627194018.55015802</v>
      </c>
      <c r="T16" s="32">
        <f t="shared" si="5"/>
        <v>627194018.55015802</v>
      </c>
      <c r="U16" s="32">
        <f t="shared" si="5"/>
        <v>627194018.55015802</v>
      </c>
      <c r="V16" s="32">
        <f t="shared" si="5"/>
        <v>621754391.26978087</v>
      </c>
      <c r="W16" s="32">
        <f t="shared" si="5"/>
        <v>621754391.26978087</v>
      </c>
      <c r="X16" s="32">
        <f t="shared" si="5"/>
        <v>621754391.26978087</v>
      </c>
      <c r="Y16" s="32">
        <f t="shared" si="5"/>
        <v>616314764.61039913</v>
      </c>
      <c r="Z16" s="32">
        <f t="shared" si="5"/>
        <v>616314764.61039913</v>
      </c>
      <c r="AA16" s="32">
        <f t="shared" si="5"/>
        <v>616314764.61039913</v>
      </c>
      <c r="AB16" s="32">
        <f t="shared" si="5"/>
        <v>609763132.46378171</v>
      </c>
      <c r="AC16" s="32">
        <f t="shared" si="5"/>
        <v>607650702.12880778</v>
      </c>
      <c r="AD16" s="32">
        <f t="shared" si="5"/>
        <v>607650702.12880778</v>
      </c>
      <c r="AE16" s="32">
        <f t="shared" si="5"/>
        <v>603211500.31716442</v>
      </c>
      <c r="AF16" s="32">
        <f t="shared" si="5"/>
        <v>603211500.31716442</v>
      </c>
      <c r="AG16" s="32">
        <f t="shared" si="5"/>
        <v>603211500.31716442</v>
      </c>
      <c r="AH16" s="32">
        <f t="shared" si="5"/>
        <v>596659868.17054701</v>
      </c>
      <c r="AI16" s="32">
        <f t="shared" si="5"/>
        <v>596659868.17054701</v>
      </c>
      <c r="AJ16" s="32">
        <f t="shared" si="5"/>
        <v>596659868.17054701</v>
      </c>
      <c r="AK16" s="32">
        <f t="shared" si="5"/>
        <v>590108236.02392972</v>
      </c>
      <c r="AM16" s="25">
        <f>+Q16</f>
        <v>630895433.70726526</v>
      </c>
      <c r="AN16" s="25">
        <f>($AZ16-$AM16)/12*AN$6</f>
        <v>-1777850.4746080488</v>
      </c>
      <c r="AO16" s="25">
        <f t="shared" si="3"/>
        <v>-1613332.968002528</v>
      </c>
      <c r="AP16" s="25">
        <f t="shared" si="3"/>
        <v>-1454122.4777391206</v>
      </c>
      <c r="AQ16" s="25">
        <f t="shared" si="3"/>
        <v>-1289604.9711335998</v>
      </c>
      <c r="AR16" s="25">
        <f t="shared" si="3"/>
        <v>-1130394.4808701924</v>
      </c>
      <c r="AS16" s="25">
        <f t="shared" si="3"/>
        <v>-965876.97426467133</v>
      </c>
      <c r="AT16" s="25">
        <f t="shared" si="3"/>
        <v>-801359.46765915037</v>
      </c>
      <c r="AU16" s="25">
        <f t="shared" si="3"/>
        <v>-652763.01007997012</v>
      </c>
      <c r="AV16" s="25">
        <f t="shared" si="3"/>
        <v>-488245.50347444927</v>
      </c>
      <c r="AW16" s="25">
        <f t="shared" si="3"/>
        <v>-329035.01321104186</v>
      </c>
      <c r="AX16" s="25">
        <f t="shared" si="3"/>
        <v>-164517.50660552093</v>
      </c>
      <c r="AY16" s="25">
        <f t="shared" si="3"/>
        <v>-5307.0163421135785</v>
      </c>
      <c r="AZ16" s="25">
        <f>+AC16</f>
        <v>607650702.12880778</v>
      </c>
      <c r="BA16" s="25">
        <f>SUM(AM16:AY16)</f>
        <v>620223023.84327483</v>
      </c>
    </row>
    <row r="17" spans="1:53" ht="9" thickBot="1" x14ac:dyDescent="0.2">
      <c r="A17" s="24" t="s">
        <v>88</v>
      </c>
      <c r="G17" s="125">
        <f>SUM(G14:G16)</f>
        <v>-689651094.0200007</v>
      </c>
      <c r="H17" s="125">
        <f>SUM(H14:H16)</f>
        <v>-689693442.41750073</v>
      </c>
      <c r="I17" s="125">
        <f>SUM(I14:I16)</f>
        <v>-689735790.81500077</v>
      </c>
      <c r="J17" s="125">
        <f t="shared" ref="J17:AM17" si="6">SUM(J14:J16)</f>
        <v>-723668868.90815115</v>
      </c>
      <c r="K17" s="125">
        <f t="shared" si="6"/>
        <v>-723711217.20981717</v>
      </c>
      <c r="L17" s="125">
        <f t="shared" si="6"/>
        <v>-723753565.51148319</v>
      </c>
      <c r="M17" s="125">
        <f t="shared" si="6"/>
        <v>-742242191.93818867</v>
      </c>
      <c r="N17" s="125">
        <f t="shared" si="6"/>
        <v>-742284540.23985469</v>
      </c>
      <c r="O17" s="125">
        <f t="shared" si="6"/>
        <v>-742326888.54152071</v>
      </c>
      <c r="P17" s="125">
        <f t="shared" si="6"/>
        <v>-757528767.91574097</v>
      </c>
      <c r="Q17" s="125">
        <f t="shared" si="6"/>
        <v>-758003584.72310889</v>
      </c>
      <c r="R17" s="125">
        <f t="shared" si="6"/>
        <v>-758038607.93060887</v>
      </c>
      <c r="S17" s="125">
        <f t="shared" si="6"/>
        <v>-775977690.74867034</v>
      </c>
      <c r="T17" s="125">
        <f t="shared" si="6"/>
        <v>-776012714.28617048</v>
      </c>
      <c r="U17" s="125">
        <f t="shared" si="6"/>
        <v>-776047737.82367039</v>
      </c>
      <c r="V17" s="125">
        <f t="shared" si="6"/>
        <v>-792672984.2014873</v>
      </c>
      <c r="W17" s="125">
        <f t="shared" si="6"/>
        <v>-792708007.73898721</v>
      </c>
      <c r="X17" s="125">
        <f t="shared" si="6"/>
        <v>-792743031.27648711</v>
      </c>
      <c r="Y17" s="125">
        <f t="shared" si="6"/>
        <v>-810905119.27815115</v>
      </c>
      <c r="Z17" s="125">
        <f t="shared" si="6"/>
        <v>-810940142.81565106</v>
      </c>
      <c r="AA17" s="125">
        <f t="shared" si="6"/>
        <v>-810975166.3531512</v>
      </c>
      <c r="AB17" s="125">
        <f t="shared" si="6"/>
        <v>-814468028.8055681</v>
      </c>
      <c r="AC17" s="125">
        <f t="shared" si="6"/>
        <v>-815591589.7211566</v>
      </c>
      <c r="AD17" s="125">
        <f t="shared" si="6"/>
        <v>-815065127.24914408</v>
      </c>
      <c r="AE17" s="125">
        <f t="shared" si="6"/>
        <v>-822545623.04382992</v>
      </c>
      <c r="AF17" s="125">
        <f t="shared" si="6"/>
        <v>-822580646.58133006</v>
      </c>
      <c r="AG17" s="125">
        <f t="shared" si="6"/>
        <v>-822615670.11882997</v>
      </c>
      <c r="AH17" s="125">
        <f t="shared" si="6"/>
        <v>-827604505.44672394</v>
      </c>
      <c r="AI17" s="125">
        <f t="shared" si="6"/>
        <v>-827639528.98422408</v>
      </c>
      <c r="AJ17" s="125">
        <f t="shared" si="6"/>
        <v>-827674552.52172399</v>
      </c>
      <c r="AK17" s="125">
        <f t="shared" si="6"/>
        <v>-834968203.8867625</v>
      </c>
      <c r="AM17" s="125">
        <f t="shared" si="6"/>
        <v>-758003584.72310889</v>
      </c>
      <c r="AN17" s="125">
        <f t="shared" ref="AN17:BA17" si="7">SUM(AN14:AN16)</f>
        <v>-4404562.0261063892</v>
      </c>
      <c r="AO17" s="125">
        <f t="shared" si="7"/>
        <v>-3996975.6893622158</v>
      </c>
      <c r="AP17" s="125">
        <f t="shared" si="7"/>
        <v>-3602537.2989646289</v>
      </c>
      <c r="AQ17" s="125">
        <f t="shared" si="7"/>
        <v>-3194950.9622204555</v>
      </c>
      <c r="AR17" s="125">
        <f t="shared" si="7"/>
        <v>-2800512.5718228687</v>
      </c>
      <c r="AS17" s="125">
        <f t="shared" si="7"/>
        <v>-2392926.2350786948</v>
      </c>
      <c r="AT17" s="125">
        <f t="shared" si="7"/>
        <v>-1985339.8983345218</v>
      </c>
      <c r="AU17" s="125">
        <f t="shared" si="7"/>
        <v>-1617197.4006301069</v>
      </c>
      <c r="AV17" s="125">
        <f t="shared" si="7"/>
        <v>-1209611.0638859337</v>
      </c>
      <c r="AW17" s="125">
        <f t="shared" si="7"/>
        <v>-815172.67348834663</v>
      </c>
      <c r="AX17" s="125">
        <f t="shared" si="7"/>
        <v>-407586.33674417331</v>
      </c>
      <c r="AY17" s="125">
        <f t="shared" si="7"/>
        <v>-13147.946346586235</v>
      </c>
      <c r="AZ17" s="125">
        <f t="shared" si="7"/>
        <v>-815591589.7211566</v>
      </c>
      <c r="BA17" s="125">
        <f t="shared" si="7"/>
        <v>-784444104.82609367</v>
      </c>
    </row>
    <row r="18" spans="1:53" x14ac:dyDescent="0.15">
      <c r="G18" s="126">
        <f>+G5*1000+G17</f>
        <v>2.2599993944168091</v>
      </c>
      <c r="H18" s="126">
        <f>+H5*1000+H17</f>
        <v>2.1641652584075928</v>
      </c>
      <c r="I18" s="126">
        <f>+I5*1000+I17</f>
        <v>2.068332314491272</v>
      </c>
      <c r="J18" s="126">
        <f>+J5*1000+J17</f>
        <v>0.81373381614685059</v>
      </c>
      <c r="K18" s="126">
        <f t="shared" ref="K18:AK18" si="8">+K5*1000+K17</f>
        <v>0.81373476982116699</v>
      </c>
      <c r="L18" s="126">
        <f t="shared" si="8"/>
        <v>0.81373584270477295</v>
      </c>
      <c r="M18" s="126">
        <f t="shared" si="8"/>
        <v>0.59490835666656494</v>
      </c>
      <c r="N18" s="126">
        <f t="shared" si="8"/>
        <v>0.59490931034088135</v>
      </c>
      <c r="O18" s="126">
        <f t="shared" si="8"/>
        <v>0.5949103832244873</v>
      </c>
      <c r="P18" s="126">
        <f>+P5*1000+P17</f>
        <v>0.22031903266906738</v>
      </c>
      <c r="Q18" s="126">
        <f t="shared" si="8"/>
        <v>0.22032010555267334</v>
      </c>
      <c r="R18" s="126">
        <f t="shared" si="8"/>
        <v>0.50782012939453125</v>
      </c>
      <c r="S18" s="126">
        <f t="shared" si="8"/>
        <v>0.69469666481018066</v>
      </c>
      <c r="T18" s="126">
        <f t="shared" si="8"/>
        <v>0.65219652652740479</v>
      </c>
      <c r="U18" s="126">
        <f t="shared" si="8"/>
        <v>0.60969662666320801</v>
      </c>
      <c r="V18" s="126">
        <f t="shared" si="8"/>
        <v>0.78447270393371582</v>
      </c>
      <c r="W18" s="126">
        <f t="shared" si="8"/>
        <v>0.74197280406951904</v>
      </c>
      <c r="X18" s="126">
        <f t="shared" si="8"/>
        <v>0.69947290420532227</v>
      </c>
      <c r="Y18" s="126">
        <f t="shared" si="8"/>
        <v>0.87424683570861816</v>
      </c>
      <c r="Z18" s="126">
        <f t="shared" si="8"/>
        <v>0.83174693584442139</v>
      </c>
      <c r="AA18" s="126">
        <f t="shared" si="8"/>
        <v>0.78924679756164551</v>
      </c>
      <c r="AB18" s="126">
        <f>+AB5*1000+AB17</f>
        <v>0.77354598045349121</v>
      </c>
      <c r="AC18" s="126">
        <f t="shared" si="8"/>
        <v>0.73104536533355713</v>
      </c>
      <c r="AD18" s="126">
        <f t="shared" si="8"/>
        <v>0.68854594230651855</v>
      </c>
      <c r="AE18" s="126">
        <f t="shared" si="8"/>
        <v>0.67281913757324219</v>
      </c>
      <c r="AF18" s="126">
        <f t="shared" si="8"/>
        <v>0.63031888008117676</v>
      </c>
      <c r="AG18" s="126">
        <f t="shared" si="8"/>
        <v>0.58781898021697998</v>
      </c>
      <c r="AH18" s="126">
        <f t="shared" si="8"/>
        <v>0.57209300994873047</v>
      </c>
      <c r="AI18" s="126">
        <f t="shared" si="8"/>
        <v>0.52959299087524414</v>
      </c>
      <c r="AJ18" s="126">
        <f t="shared" si="8"/>
        <v>0.48709309101104736</v>
      </c>
      <c r="AK18" s="126">
        <f t="shared" si="8"/>
        <v>0.4713674783706665</v>
      </c>
    </row>
    <row r="19" spans="1:53" x14ac:dyDescent="0.15">
      <c r="A19" s="124" t="s">
        <v>32</v>
      </c>
    </row>
    <row r="21" spans="1:53" x14ac:dyDescent="0.15">
      <c r="A21" s="127" t="s">
        <v>342</v>
      </c>
    </row>
    <row r="22" spans="1:53" x14ac:dyDescent="0.15">
      <c r="A22" s="24" t="s">
        <v>33</v>
      </c>
      <c r="G22" s="32">
        <v>-114121.04</v>
      </c>
      <c r="H22" s="32">
        <f t="shared" ref="H22:AK22" si="9">+G22+SUMIF($B$224:$B$274,$A22,H$224:H$274)</f>
        <v>-114121.04</v>
      </c>
      <c r="I22" s="32">
        <f t="shared" si="9"/>
        <v>-114121.04</v>
      </c>
      <c r="J22" s="32">
        <f t="shared" si="9"/>
        <v>-100426.506455</v>
      </c>
      <c r="K22" s="32">
        <f t="shared" si="9"/>
        <v>-100426.506455</v>
      </c>
      <c r="L22" s="32">
        <f t="shared" si="9"/>
        <v>-100426.506455</v>
      </c>
      <c r="M22" s="32">
        <f t="shared" si="9"/>
        <v>-86731.972909999997</v>
      </c>
      <c r="N22" s="32">
        <f t="shared" si="9"/>
        <v>-86731.972909999997</v>
      </c>
      <c r="O22" s="32">
        <f t="shared" si="9"/>
        <v>-86731.972909999997</v>
      </c>
      <c r="P22" s="32">
        <f t="shared" si="9"/>
        <v>-76899.998764999997</v>
      </c>
      <c r="Q22" s="32">
        <f t="shared" si="9"/>
        <v>-76899.998764999997</v>
      </c>
      <c r="R22" s="32">
        <f t="shared" si="9"/>
        <v>-76899.998764999997</v>
      </c>
      <c r="S22" s="32">
        <f t="shared" si="9"/>
        <v>-67068.024619999982</v>
      </c>
      <c r="T22" s="32">
        <f t="shared" si="9"/>
        <v>-67068.024619999982</v>
      </c>
      <c r="U22" s="32">
        <f t="shared" si="9"/>
        <v>-67068.024619999982</v>
      </c>
      <c r="V22" s="32">
        <f t="shared" si="9"/>
        <v>-57236.050474999975</v>
      </c>
      <c r="W22" s="32">
        <f t="shared" si="9"/>
        <v>-57236.050474999975</v>
      </c>
      <c r="X22" s="32">
        <f t="shared" si="9"/>
        <v>-57236.050474999975</v>
      </c>
      <c r="Y22" s="32">
        <f t="shared" si="9"/>
        <v>-47404.076329999967</v>
      </c>
      <c r="Z22" s="32">
        <f t="shared" si="9"/>
        <v>-47404.076329999967</v>
      </c>
      <c r="AA22" s="32">
        <f t="shared" si="9"/>
        <v>-47404.076329999967</v>
      </c>
      <c r="AB22" s="32">
        <f t="shared" si="9"/>
        <v>-39503.381884999966</v>
      </c>
      <c r="AC22" s="32">
        <f t="shared" si="9"/>
        <v>-39503.381884999966</v>
      </c>
      <c r="AD22" s="32">
        <f t="shared" si="9"/>
        <v>-39503.381884999966</v>
      </c>
      <c r="AE22" s="32">
        <f t="shared" si="9"/>
        <v>-31602.687439999965</v>
      </c>
      <c r="AF22" s="32">
        <f t="shared" si="9"/>
        <v>-31602.687439999965</v>
      </c>
      <c r="AG22" s="32">
        <f t="shared" si="9"/>
        <v>-31602.687439999965</v>
      </c>
      <c r="AH22" s="32">
        <f t="shared" si="9"/>
        <v>-23701.992994999964</v>
      </c>
      <c r="AI22" s="32">
        <f t="shared" si="9"/>
        <v>-23701.992994999964</v>
      </c>
      <c r="AJ22" s="32">
        <f t="shared" si="9"/>
        <v>-23701.992994999964</v>
      </c>
      <c r="AK22" s="32">
        <f t="shared" si="9"/>
        <v>-15801.298549999963</v>
      </c>
      <c r="AM22" s="25">
        <f t="shared" ref="AM22:AM52" si="10">+Q22</f>
        <v>-76899.998764999997</v>
      </c>
      <c r="AN22" s="25">
        <f t="shared" ref="AN22:AY42" si="11">($AZ22-$AM22)/12*AN$6</f>
        <v>2860.243528493153</v>
      </c>
      <c r="AO22" s="25">
        <f t="shared" si="11"/>
        <v>2595.5642766027422</v>
      </c>
      <c r="AP22" s="25">
        <f t="shared" si="11"/>
        <v>2339.4230650958925</v>
      </c>
      <c r="AQ22" s="25">
        <f t="shared" si="11"/>
        <v>2074.7438132054813</v>
      </c>
      <c r="AR22" s="25">
        <f t="shared" si="11"/>
        <v>1818.6026016986318</v>
      </c>
      <c r="AS22" s="25">
        <f t="shared" si="11"/>
        <v>1553.9233498082206</v>
      </c>
      <c r="AT22" s="25">
        <f t="shared" si="11"/>
        <v>1289.2440979178093</v>
      </c>
      <c r="AU22" s="25">
        <f t="shared" si="11"/>
        <v>1050.1789671780832</v>
      </c>
      <c r="AV22" s="25">
        <f t="shared" si="11"/>
        <v>785.49971528767196</v>
      </c>
      <c r="AW22" s="25">
        <f t="shared" si="11"/>
        <v>529.35850378082239</v>
      </c>
      <c r="AX22" s="25">
        <f t="shared" si="11"/>
        <v>264.67925189041119</v>
      </c>
      <c r="AY22" s="25">
        <f t="shared" si="11"/>
        <v>8.5380403835616505</v>
      </c>
      <c r="AZ22" s="25">
        <f t="shared" ref="AZ22:AZ52" si="12">+AC22</f>
        <v>-39503.381884999966</v>
      </c>
      <c r="BA22" s="25">
        <f t="shared" ref="BA22:BA84" si="13">SUM(AM22:AY22)</f>
        <v>-59729.999553657515</v>
      </c>
    </row>
    <row r="23" spans="1:53" x14ac:dyDescent="0.15">
      <c r="A23" s="24" t="s">
        <v>34</v>
      </c>
      <c r="B23" s="25" t="s">
        <v>716</v>
      </c>
      <c r="G23" s="32">
        <v>-2975119.14</v>
      </c>
      <c r="H23" s="32">
        <f t="shared" ref="H23:AK23" si="14">+G23+SUMIF($B$224:$B$274,$A23,H$224:H$274)</f>
        <v>-2975119.14</v>
      </c>
      <c r="I23" s="32">
        <f t="shared" si="14"/>
        <v>-2975119.14</v>
      </c>
      <c r="J23" s="32">
        <f t="shared" si="14"/>
        <v>-2618104.8644700008</v>
      </c>
      <c r="K23" s="32">
        <f t="shared" si="14"/>
        <v>-2618104.8644700008</v>
      </c>
      <c r="L23" s="32">
        <f t="shared" si="14"/>
        <v>-2618104.8644700008</v>
      </c>
      <c r="M23" s="32">
        <f t="shared" si="14"/>
        <v>-2261090.5889400016</v>
      </c>
      <c r="N23" s="32">
        <f t="shared" si="14"/>
        <v>-2261090.5889400016</v>
      </c>
      <c r="O23" s="32">
        <f t="shared" si="14"/>
        <v>-2261090.5889400016</v>
      </c>
      <c r="P23" s="32">
        <f t="shared" si="14"/>
        <v>-2004772.6321800018</v>
      </c>
      <c r="Q23" s="32">
        <f t="shared" si="14"/>
        <v>-2004772.6321800018</v>
      </c>
      <c r="R23" s="32">
        <f t="shared" si="14"/>
        <v>-2004772.6321800018</v>
      </c>
      <c r="S23" s="32">
        <f t="shared" si="14"/>
        <v>-1748454.6754200021</v>
      </c>
      <c r="T23" s="32">
        <f t="shared" si="14"/>
        <v>-1748454.6754200021</v>
      </c>
      <c r="U23" s="32">
        <f t="shared" si="14"/>
        <v>-1748454.6754200021</v>
      </c>
      <c r="V23" s="32">
        <f t="shared" si="14"/>
        <v>-1492136.7186600023</v>
      </c>
      <c r="W23" s="32">
        <f t="shared" si="14"/>
        <v>-1492136.7186600023</v>
      </c>
      <c r="X23" s="32">
        <f t="shared" si="14"/>
        <v>-1492136.7186600023</v>
      </c>
      <c r="Y23" s="32">
        <f t="shared" si="14"/>
        <v>-1235818.7619000026</v>
      </c>
      <c r="Z23" s="32">
        <f t="shared" si="14"/>
        <v>-1235818.7619000026</v>
      </c>
      <c r="AA23" s="32">
        <f t="shared" si="14"/>
        <v>-1235818.7619000026</v>
      </c>
      <c r="AB23" s="32">
        <f t="shared" si="14"/>
        <v>-1029848.9645250026</v>
      </c>
      <c r="AC23" s="32">
        <f t="shared" si="14"/>
        <v>-1029848.9645250026</v>
      </c>
      <c r="AD23" s="32">
        <f t="shared" si="14"/>
        <v>-1029848.9645250026</v>
      </c>
      <c r="AE23" s="32">
        <f t="shared" si="14"/>
        <v>-823879.16715000267</v>
      </c>
      <c r="AF23" s="32">
        <f t="shared" si="14"/>
        <v>-823879.16715000267</v>
      </c>
      <c r="AG23" s="32">
        <f t="shared" si="14"/>
        <v>-823879.16715000267</v>
      </c>
      <c r="AH23" s="32">
        <f t="shared" si="14"/>
        <v>-617909.36977500271</v>
      </c>
      <c r="AI23" s="32">
        <f t="shared" si="14"/>
        <v>-617909.36977500271</v>
      </c>
      <c r="AJ23" s="32">
        <f t="shared" si="14"/>
        <v>-617909.36977500271</v>
      </c>
      <c r="AK23" s="32">
        <f t="shared" si="14"/>
        <v>-411939.57240000274</v>
      </c>
      <c r="AM23" s="25">
        <f t="shared" si="10"/>
        <v>-2004772.6321800018</v>
      </c>
      <c r="AN23" s="25">
        <f t="shared" si="11"/>
        <v>74566.079603749939</v>
      </c>
      <c r="AO23" s="25">
        <f t="shared" si="11"/>
        <v>67665.934923999943</v>
      </c>
      <c r="AP23" s="25">
        <f t="shared" si="11"/>
        <v>60988.375556499952</v>
      </c>
      <c r="AQ23" s="25">
        <f t="shared" si="11"/>
        <v>54088.230876749963</v>
      </c>
      <c r="AR23" s="25">
        <f t="shared" si="11"/>
        <v>47410.671509249965</v>
      </c>
      <c r="AS23" s="25">
        <f t="shared" si="11"/>
        <v>40510.52682949997</v>
      </c>
      <c r="AT23" s="25">
        <f t="shared" si="11"/>
        <v>33610.382149749974</v>
      </c>
      <c r="AU23" s="25">
        <f t="shared" si="11"/>
        <v>27377.993406749978</v>
      </c>
      <c r="AV23" s="25">
        <f t="shared" si="11"/>
        <v>20477.848726999986</v>
      </c>
      <c r="AW23" s="25">
        <f t="shared" si="11"/>
        <v>13800.28935949999</v>
      </c>
      <c r="AX23" s="25">
        <f t="shared" si="11"/>
        <v>6900.1446797499948</v>
      </c>
      <c r="AY23" s="25">
        <f t="shared" si="11"/>
        <v>222.58531224999982</v>
      </c>
      <c r="AZ23" s="25">
        <f t="shared" si="12"/>
        <v>-1029848.9645250026</v>
      </c>
      <c r="BA23" s="25">
        <f t="shared" si="13"/>
        <v>-1557153.5692452518</v>
      </c>
    </row>
    <row r="24" spans="1:53" x14ac:dyDescent="0.15">
      <c r="A24" s="24" t="s">
        <v>140</v>
      </c>
      <c r="G24" s="32">
        <v>-46229.56</v>
      </c>
      <c r="H24" s="32">
        <f t="shared" ref="H24:AK24" si="15">+G24+SUMIF($B$224:$B$274,$A24,H$224:H$274)</f>
        <v>-46229.56</v>
      </c>
      <c r="I24" s="32">
        <f t="shared" si="15"/>
        <v>-46229.56</v>
      </c>
      <c r="J24" s="32">
        <f t="shared" si="15"/>
        <v>-60323.469451195189</v>
      </c>
      <c r="K24" s="32">
        <f t="shared" si="15"/>
        <v>-60323.469451195189</v>
      </c>
      <c r="L24" s="32">
        <f t="shared" si="15"/>
        <v>-60323.469451195189</v>
      </c>
      <c r="M24" s="32">
        <f t="shared" si="15"/>
        <v>-74417.378902390381</v>
      </c>
      <c r="N24" s="32">
        <f t="shared" si="15"/>
        <v>-74417.378902390381</v>
      </c>
      <c r="O24" s="32">
        <f t="shared" si="15"/>
        <v>-74417.378902390381</v>
      </c>
      <c r="P24" s="32">
        <f t="shared" si="15"/>
        <v>-74999.607635578766</v>
      </c>
      <c r="Q24" s="32">
        <f t="shared" si="15"/>
        <v>-74999.607635578766</v>
      </c>
      <c r="R24" s="32">
        <f t="shared" si="15"/>
        <v>-74999.607635578766</v>
      </c>
      <c r="S24" s="32">
        <f t="shared" si="15"/>
        <v>-75581.836368767152</v>
      </c>
      <c r="T24" s="32">
        <f t="shared" si="15"/>
        <v>-75581.836368767152</v>
      </c>
      <c r="U24" s="32">
        <f t="shared" si="15"/>
        <v>-75581.836368767152</v>
      </c>
      <c r="V24" s="32">
        <f t="shared" si="15"/>
        <v>-76164.065101955537</v>
      </c>
      <c r="W24" s="32">
        <f t="shared" si="15"/>
        <v>-76164.065101955537</v>
      </c>
      <c r="X24" s="32">
        <f t="shared" si="15"/>
        <v>-76164.065101955537</v>
      </c>
      <c r="Y24" s="32">
        <f t="shared" si="15"/>
        <v>-76746.293835143922</v>
      </c>
      <c r="Z24" s="32">
        <f t="shared" si="15"/>
        <v>-76746.293835143922</v>
      </c>
      <c r="AA24" s="32">
        <f t="shared" si="15"/>
        <v>-76746.293835143922</v>
      </c>
      <c r="AB24" s="32">
        <f t="shared" si="15"/>
        <v>-76766.700739780485</v>
      </c>
      <c r="AC24" s="32">
        <f t="shared" si="15"/>
        <v>-76766.700739780485</v>
      </c>
      <c r="AD24" s="32">
        <f t="shared" si="15"/>
        <v>-76766.700739780485</v>
      </c>
      <c r="AE24" s="32">
        <f t="shared" si="15"/>
        <v>-76787.107644417047</v>
      </c>
      <c r="AF24" s="32">
        <f t="shared" si="15"/>
        <v>-76787.107644417047</v>
      </c>
      <c r="AG24" s="32">
        <f t="shared" si="15"/>
        <v>-76787.107644417047</v>
      </c>
      <c r="AH24" s="32">
        <f t="shared" si="15"/>
        <v>-76807.514549053609</v>
      </c>
      <c r="AI24" s="32">
        <f t="shared" si="15"/>
        <v>-76807.514549053609</v>
      </c>
      <c r="AJ24" s="32">
        <f t="shared" si="15"/>
        <v>-76807.514549053609</v>
      </c>
      <c r="AK24" s="32">
        <f t="shared" si="15"/>
        <v>-76827.921453690171</v>
      </c>
      <c r="AM24" s="25">
        <f t="shared" si="10"/>
        <v>-74999.607635578766</v>
      </c>
      <c r="AN24" s="25">
        <f t="shared" si="11"/>
        <v>-135.15438125743734</v>
      </c>
      <c r="AO24" s="25">
        <f t="shared" si="11"/>
        <v>-122.64755791719688</v>
      </c>
      <c r="AP24" s="25">
        <f t="shared" si="11"/>
        <v>-110.54418049115772</v>
      </c>
      <c r="AQ24" s="25">
        <f t="shared" si="11"/>
        <v>-98.037357150917245</v>
      </c>
      <c r="AR24" s="25">
        <f t="shared" si="11"/>
        <v>-85.933979724878085</v>
      </c>
      <c r="AS24" s="25">
        <f t="shared" si="11"/>
        <v>-73.427156384637598</v>
      </c>
      <c r="AT24" s="25">
        <f t="shared" si="11"/>
        <v>-60.920333044397132</v>
      </c>
      <c r="AU24" s="25">
        <f t="shared" si="11"/>
        <v>-49.623847446760578</v>
      </c>
      <c r="AV24" s="25">
        <f t="shared" si="11"/>
        <v>-37.117024106520113</v>
      </c>
      <c r="AW24" s="25">
        <f t="shared" si="11"/>
        <v>-25.013646680480942</v>
      </c>
      <c r="AX24" s="25">
        <f t="shared" si="11"/>
        <v>-12.506823340240471</v>
      </c>
      <c r="AY24" s="25">
        <f t="shared" si="11"/>
        <v>-0.40344591420130549</v>
      </c>
      <c r="AZ24" s="25">
        <f t="shared" si="12"/>
        <v>-76766.700739780485</v>
      </c>
      <c r="BA24" s="25">
        <f t="shared" si="13"/>
        <v>-75810.937369037594</v>
      </c>
    </row>
    <row r="25" spans="1:53" x14ac:dyDescent="0.15">
      <c r="A25" s="24" t="s">
        <v>326</v>
      </c>
      <c r="G25" s="32">
        <v>-4765.83</v>
      </c>
      <c r="H25" s="32">
        <f t="shared" ref="H25:AK25" si="16">+G25+SUMIF($B$224:$B$274,$A25,H$224:H$274)</f>
        <v>-4765.83</v>
      </c>
      <c r="I25" s="32">
        <f t="shared" si="16"/>
        <v>-4765.83</v>
      </c>
      <c r="J25" s="32">
        <f t="shared" si="16"/>
        <v>-4765.83</v>
      </c>
      <c r="K25" s="32">
        <f t="shared" si="16"/>
        <v>-4765.83</v>
      </c>
      <c r="L25" s="32">
        <f t="shared" si="16"/>
        <v>-4765.83</v>
      </c>
      <c r="M25" s="32">
        <f t="shared" si="16"/>
        <v>-4765.83</v>
      </c>
      <c r="N25" s="32">
        <f t="shared" si="16"/>
        <v>-4765.83</v>
      </c>
      <c r="O25" s="32">
        <f t="shared" si="16"/>
        <v>-4765.83</v>
      </c>
      <c r="P25" s="32">
        <f t="shared" si="16"/>
        <v>-4765.83</v>
      </c>
      <c r="Q25" s="32">
        <f t="shared" si="16"/>
        <v>-4765.83</v>
      </c>
      <c r="R25" s="32">
        <f t="shared" si="16"/>
        <v>-4765.83</v>
      </c>
      <c r="S25" s="32">
        <f t="shared" si="16"/>
        <v>-4765.83</v>
      </c>
      <c r="T25" s="32">
        <f t="shared" si="16"/>
        <v>-4765.83</v>
      </c>
      <c r="U25" s="32">
        <f t="shared" si="16"/>
        <v>-4765.83</v>
      </c>
      <c r="V25" s="32">
        <f t="shared" si="16"/>
        <v>-4765.83</v>
      </c>
      <c r="W25" s="32">
        <f t="shared" si="16"/>
        <v>-4765.83</v>
      </c>
      <c r="X25" s="32">
        <f t="shared" si="16"/>
        <v>-4765.83</v>
      </c>
      <c r="Y25" s="32">
        <f t="shared" si="16"/>
        <v>-4765.83</v>
      </c>
      <c r="Z25" s="32">
        <f t="shared" si="16"/>
        <v>-4765.83</v>
      </c>
      <c r="AA25" s="32">
        <f t="shared" si="16"/>
        <v>-4765.83</v>
      </c>
      <c r="AB25" s="32">
        <f t="shared" si="16"/>
        <v>-4765.83</v>
      </c>
      <c r="AC25" s="32">
        <f t="shared" si="16"/>
        <v>-4765.83</v>
      </c>
      <c r="AD25" s="32">
        <f t="shared" si="16"/>
        <v>-4765.83</v>
      </c>
      <c r="AE25" s="32">
        <f t="shared" si="16"/>
        <v>-4765.83</v>
      </c>
      <c r="AF25" s="32">
        <f t="shared" si="16"/>
        <v>-4765.83</v>
      </c>
      <c r="AG25" s="32">
        <f t="shared" si="16"/>
        <v>-4765.83</v>
      </c>
      <c r="AH25" s="32">
        <f t="shared" si="16"/>
        <v>-4765.83</v>
      </c>
      <c r="AI25" s="32">
        <f t="shared" si="16"/>
        <v>-4765.83</v>
      </c>
      <c r="AJ25" s="32">
        <f t="shared" si="16"/>
        <v>-4765.83</v>
      </c>
      <c r="AK25" s="32">
        <f t="shared" si="16"/>
        <v>-4765.83</v>
      </c>
      <c r="AM25" s="25">
        <f t="shared" si="10"/>
        <v>-4765.83</v>
      </c>
      <c r="AN25" s="25">
        <f t="shared" si="11"/>
        <v>0</v>
      </c>
      <c r="AO25" s="25">
        <f t="shared" si="11"/>
        <v>0</v>
      </c>
      <c r="AP25" s="25">
        <f t="shared" si="11"/>
        <v>0</v>
      </c>
      <c r="AQ25" s="25">
        <f t="shared" si="11"/>
        <v>0</v>
      </c>
      <c r="AR25" s="25">
        <f t="shared" si="11"/>
        <v>0</v>
      </c>
      <c r="AS25" s="25">
        <f t="shared" si="11"/>
        <v>0</v>
      </c>
      <c r="AT25" s="25">
        <f t="shared" si="11"/>
        <v>0</v>
      </c>
      <c r="AU25" s="25">
        <f t="shared" si="11"/>
        <v>0</v>
      </c>
      <c r="AV25" s="25">
        <f t="shared" si="11"/>
        <v>0</v>
      </c>
      <c r="AW25" s="25">
        <f t="shared" si="11"/>
        <v>0</v>
      </c>
      <c r="AX25" s="25">
        <f t="shared" si="11"/>
        <v>0</v>
      </c>
      <c r="AY25" s="25">
        <f t="shared" si="11"/>
        <v>0</v>
      </c>
      <c r="AZ25" s="25">
        <f t="shared" si="12"/>
        <v>-4765.83</v>
      </c>
      <c r="BA25" s="25">
        <f t="shared" si="13"/>
        <v>-4765.83</v>
      </c>
    </row>
    <row r="26" spans="1:53" x14ac:dyDescent="0.15">
      <c r="A26" s="24" t="s">
        <v>35</v>
      </c>
      <c r="G26" s="32">
        <v>-2123402.88</v>
      </c>
      <c r="H26" s="32">
        <f t="shared" ref="H26:AK26" si="17">+G26+SUMIF($B$224:$B$274,$A26,H$224:H$274)</f>
        <v>-2123402.88</v>
      </c>
      <c r="I26" s="32">
        <f t="shared" si="17"/>
        <v>-2123402.88</v>
      </c>
      <c r="J26" s="32">
        <f t="shared" si="17"/>
        <v>-2099629.1140675</v>
      </c>
      <c r="K26" s="32">
        <f t="shared" si="17"/>
        <v>-2099629.1140675</v>
      </c>
      <c r="L26" s="32">
        <f t="shared" si="17"/>
        <v>-2099629.1140675</v>
      </c>
      <c r="M26" s="32">
        <f t="shared" si="17"/>
        <v>-2075855.3481350001</v>
      </c>
      <c r="N26" s="32">
        <f t="shared" si="17"/>
        <v>-2075855.3481350001</v>
      </c>
      <c r="O26" s="32">
        <f t="shared" si="17"/>
        <v>-2075855.3481350001</v>
      </c>
      <c r="P26" s="32">
        <f t="shared" si="17"/>
        <v>-2042116.3335151642</v>
      </c>
      <c r="Q26" s="32">
        <f t="shared" si="17"/>
        <v>-2042116.3335151642</v>
      </c>
      <c r="R26" s="32">
        <f t="shared" si="17"/>
        <v>-2042116.3335151642</v>
      </c>
      <c r="S26" s="32">
        <f t="shared" si="17"/>
        <v>-2008377.3188953283</v>
      </c>
      <c r="T26" s="32">
        <f t="shared" si="17"/>
        <v>-2008377.3188953283</v>
      </c>
      <c r="U26" s="32">
        <f t="shared" si="17"/>
        <v>-2008377.3188953283</v>
      </c>
      <c r="V26" s="32">
        <f t="shared" si="17"/>
        <v>-1974638.3042754924</v>
      </c>
      <c r="W26" s="32">
        <f t="shared" si="17"/>
        <v>-1974638.3042754924</v>
      </c>
      <c r="X26" s="32">
        <f t="shared" si="17"/>
        <v>-1974638.3042754924</v>
      </c>
      <c r="Y26" s="32">
        <f t="shared" si="17"/>
        <v>-1940899.2896556566</v>
      </c>
      <c r="Z26" s="32">
        <f t="shared" si="17"/>
        <v>-1940899.2896556566</v>
      </c>
      <c r="AA26" s="32">
        <f t="shared" si="17"/>
        <v>-1940899.2896556566</v>
      </c>
      <c r="AB26" s="32">
        <f t="shared" si="17"/>
        <v>-1920388.7760173145</v>
      </c>
      <c r="AC26" s="32">
        <f t="shared" si="17"/>
        <v>-1920388.7760173145</v>
      </c>
      <c r="AD26" s="32">
        <f t="shared" si="17"/>
        <v>-1920388.7760173145</v>
      </c>
      <c r="AE26" s="32">
        <f t="shared" si="17"/>
        <v>-1899878.2623789725</v>
      </c>
      <c r="AF26" s="32">
        <f t="shared" si="17"/>
        <v>-1899878.2623789725</v>
      </c>
      <c r="AG26" s="32">
        <f t="shared" si="17"/>
        <v>-1899878.2623789725</v>
      </c>
      <c r="AH26" s="32">
        <f t="shared" si="17"/>
        <v>-1879367.7487406305</v>
      </c>
      <c r="AI26" s="32">
        <f t="shared" si="17"/>
        <v>-1879367.7487406305</v>
      </c>
      <c r="AJ26" s="32">
        <f t="shared" si="17"/>
        <v>-1879367.7487406305</v>
      </c>
      <c r="AK26" s="32">
        <f t="shared" si="17"/>
        <v>-1858857.2351022884</v>
      </c>
      <c r="AM26" s="25">
        <f t="shared" si="10"/>
        <v>-2042116.3335151642</v>
      </c>
      <c r="AN26" s="25">
        <f t="shared" si="11"/>
        <v>9310.2127309999196</v>
      </c>
      <c r="AO26" s="25">
        <f t="shared" si="11"/>
        <v>8448.6706573850024</v>
      </c>
      <c r="AP26" s="25">
        <f t="shared" si="11"/>
        <v>7614.9202635641132</v>
      </c>
      <c r="AQ26" s="25">
        <f t="shared" si="11"/>
        <v>6753.378189949196</v>
      </c>
      <c r="AR26" s="25">
        <f t="shared" si="11"/>
        <v>5919.6277961283076</v>
      </c>
      <c r="AS26" s="25">
        <f t="shared" si="11"/>
        <v>5058.0857225133896</v>
      </c>
      <c r="AT26" s="25">
        <f t="shared" si="11"/>
        <v>4196.5436488984715</v>
      </c>
      <c r="AU26" s="25">
        <f t="shared" si="11"/>
        <v>3418.3766146656421</v>
      </c>
      <c r="AV26" s="25">
        <f t="shared" si="11"/>
        <v>2556.8345410507245</v>
      </c>
      <c r="AW26" s="25">
        <f t="shared" si="11"/>
        <v>1723.0841472298359</v>
      </c>
      <c r="AX26" s="25">
        <f t="shared" si="11"/>
        <v>861.54207361491797</v>
      </c>
      <c r="AY26" s="25">
        <f t="shared" si="11"/>
        <v>27.791679794029612</v>
      </c>
      <c r="AZ26" s="25">
        <f t="shared" si="12"/>
        <v>-1920388.7760173145</v>
      </c>
      <c r="BA26" s="25">
        <f t="shared" si="13"/>
        <v>-1986227.265449371</v>
      </c>
    </row>
    <row r="27" spans="1:53" x14ac:dyDescent="0.15">
      <c r="A27" s="24" t="s">
        <v>375</v>
      </c>
      <c r="G27" s="32"/>
      <c r="H27" s="32">
        <f t="shared" ref="H27:AK27" si="18">+G27+SUMIF($B$224:$B$274,$A27,H$224:H$274)</f>
        <v>0</v>
      </c>
      <c r="I27" s="32">
        <f t="shared" si="18"/>
        <v>0</v>
      </c>
      <c r="J27" s="32">
        <f t="shared" si="18"/>
        <v>502259.70650792809</v>
      </c>
      <c r="K27" s="32">
        <f t="shared" si="18"/>
        <v>502259.70650792809</v>
      </c>
      <c r="L27" s="32">
        <f t="shared" si="18"/>
        <v>502259.70650792809</v>
      </c>
      <c r="M27" s="32">
        <f t="shared" si="18"/>
        <v>1004519.4130158562</v>
      </c>
      <c r="N27" s="32">
        <f t="shared" si="18"/>
        <v>1004519.4130158562</v>
      </c>
      <c r="O27" s="32">
        <f t="shared" si="18"/>
        <v>1004519.4130158562</v>
      </c>
      <c r="P27" s="32">
        <f t="shared" si="18"/>
        <v>581822.81596687436</v>
      </c>
      <c r="Q27" s="32">
        <f t="shared" si="18"/>
        <v>581822.81596687436</v>
      </c>
      <c r="R27" s="32">
        <f t="shared" si="18"/>
        <v>581822.81596687436</v>
      </c>
      <c r="S27" s="32">
        <f t="shared" si="18"/>
        <v>159126.21891789249</v>
      </c>
      <c r="T27" s="32">
        <f t="shared" si="18"/>
        <v>159126.21891789249</v>
      </c>
      <c r="U27" s="32">
        <f t="shared" si="18"/>
        <v>159126.21891789249</v>
      </c>
      <c r="V27" s="32">
        <f t="shared" si="18"/>
        <v>-263570.37813108938</v>
      </c>
      <c r="W27" s="32">
        <f t="shared" si="18"/>
        <v>-263570.37813108938</v>
      </c>
      <c r="X27" s="32">
        <f t="shared" si="18"/>
        <v>-263570.37813108938</v>
      </c>
      <c r="Y27" s="32">
        <f t="shared" si="18"/>
        <v>-686266.97518007131</v>
      </c>
      <c r="Z27" s="32">
        <f t="shared" si="18"/>
        <v>-686266.97518007131</v>
      </c>
      <c r="AA27" s="32">
        <f t="shared" si="18"/>
        <v>-686266.97518007131</v>
      </c>
      <c r="AB27" s="32">
        <f t="shared" si="18"/>
        <v>-686266.97518007131</v>
      </c>
      <c r="AC27" s="32">
        <f t="shared" si="18"/>
        <v>-686266.97518007131</v>
      </c>
      <c r="AD27" s="32">
        <f t="shared" si="18"/>
        <v>-686266.97518007131</v>
      </c>
      <c r="AE27" s="32">
        <f t="shared" si="18"/>
        <v>-686266.97518007131</v>
      </c>
      <c r="AF27" s="32">
        <f t="shared" si="18"/>
        <v>-686266.97518007131</v>
      </c>
      <c r="AG27" s="32">
        <f t="shared" si="18"/>
        <v>-686266.97518007131</v>
      </c>
      <c r="AH27" s="32">
        <f t="shared" si="18"/>
        <v>-686266.97518007131</v>
      </c>
      <c r="AI27" s="32">
        <f t="shared" si="18"/>
        <v>-686266.97518007131</v>
      </c>
      <c r="AJ27" s="32">
        <f t="shared" si="18"/>
        <v>-686266.97518007131</v>
      </c>
      <c r="AK27" s="32">
        <f t="shared" si="18"/>
        <v>-686266.97518007131</v>
      </c>
      <c r="AM27" s="25">
        <f t="shared" si="10"/>
        <v>581822.81596687436</v>
      </c>
      <c r="AN27" s="25">
        <f t="shared" si="11"/>
        <v>-96988.602747540368</v>
      </c>
      <c r="AO27" s="25">
        <f t="shared" si="11"/>
        <v>-88013.538015678423</v>
      </c>
      <c r="AP27" s="25">
        <f t="shared" si="11"/>
        <v>-79327.991500973309</v>
      </c>
      <c r="AQ27" s="25">
        <f t="shared" si="11"/>
        <v>-70352.926769111364</v>
      </c>
      <c r="AR27" s="25">
        <f t="shared" si="11"/>
        <v>-61667.380254406264</v>
      </c>
      <c r="AS27" s="25">
        <f t="shared" si="11"/>
        <v>-52692.315522544319</v>
      </c>
      <c r="AT27" s="25">
        <f t="shared" si="11"/>
        <v>-43717.250790682374</v>
      </c>
      <c r="AU27" s="25">
        <f t="shared" si="11"/>
        <v>-35610.740710290942</v>
      </c>
      <c r="AV27" s="25">
        <f t="shared" si="11"/>
        <v>-26635.675978428997</v>
      </c>
      <c r="AW27" s="25">
        <f t="shared" si="11"/>
        <v>-17950.129463723886</v>
      </c>
      <c r="AX27" s="25">
        <f t="shared" si="11"/>
        <v>-8975.0647318619431</v>
      </c>
      <c r="AY27" s="25">
        <f t="shared" si="11"/>
        <v>-289.5182171568369</v>
      </c>
      <c r="AZ27" s="25">
        <f t="shared" si="12"/>
        <v>-686266.97518007131</v>
      </c>
      <c r="BA27" s="25">
        <f t="shared" si="13"/>
        <v>-398.31873552459109</v>
      </c>
    </row>
    <row r="28" spans="1:53" x14ac:dyDescent="0.15">
      <c r="A28" s="24" t="s">
        <v>699</v>
      </c>
      <c r="G28" s="32"/>
      <c r="H28" s="32">
        <f t="shared" ref="H28:AK28" si="19">+G28+SUMIF($B$224:$B$274,$A28,H$224:H$274)</f>
        <v>0</v>
      </c>
      <c r="I28" s="32">
        <f t="shared" si="19"/>
        <v>0</v>
      </c>
      <c r="J28" s="32">
        <f t="shared" si="19"/>
        <v>0</v>
      </c>
      <c r="K28" s="32">
        <f t="shared" si="19"/>
        <v>0</v>
      </c>
      <c r="L28" s="32">
        <f t="shared" si="19"/>
        <v>0</v>
      </c>
      <c r="M28" s="32">
        <f t="shared" si="19"/>
        <v>0</v>
      </c>
      <c r="N28" s="32">
        <f t="shared" si="19"/>
        <v>0</v>
      </c>
      <c r="O28" s="32">
        <f t="shared" si="19"/>
        <v>0</v>
      </c>
      <c r="P28" s="32">
        <f t="shared" si="19"/>
        <v>-91237.596625000006</v>
      </c>
      <c r="Q28" s="32">
        <f t="shared" si="19"/>
        <v>-91237.596625000006</v>
      </c>
      <c r="R28" s="32">
        <f t="shared" si="19"/>
        <v>-91237.596625000006</v>
      </c>
      <c r="S28" s="32">
        <f t="shared" si="19"/>
        <v>-182475.19325000001</v>
      </c>
      <c r="T28" s="32">
        <f t="shared" si="19"/>
        <v>-182475.19325000001</v>
      </c>
      <c r="U28" s="32">
        <f t="shared" si="19"/>
        <v>-182475.19325000001</v>
      </c>
      <c r="V28" s="32">
        <f t="shared" si="19"/>
        <v>-273712.78987500002</v>
      </c>
      <c r="W28" s="32">
        <f t="shared" si="19"/>
        <v>-273712.78987500002</v>
      </c>
      <c r="X28" s="32">
        <f t="shared" si="19"/>
        <v>-273712.78987500002</v>
      </c>
      <c r="Y28" s="32">
        <f t="shared" si="19"/>
        <v>-364950.38650000002</v>
      </c>
      <c r="Z28" s="32">
        <f t="shared" si="19"/>
        <v>-364950.38650000002</v>
      </c>
      <c r="AA28" s="32">
        <f t="shared" si="19"/>
        <v>-364950.38650000002</v>
      </c>
      <c r="AB28" s="32">
        <f t="shared" si="19"/>
        <v>-325848.55937500001</v>
      </c>
      <c r="AC28" s="32">
        <f t="shared" si="19"/>
        <v>-325848.55937500001</v>
      </c>
      <c r="AD28" s="32">
        <f t="shared" si="19"/>
        <v>-325848.55937500001</v>
      </c>
      <c r="AE28" s="32">
        <f t="shared" si="19"/>
        <v>-286746.73225</v>
      </c>
      <c r="AF28" s="32">
        <f t="shared" si="19"/>
        <v>-286746.73225</v>
      </c>
      <c r="AG28" s="32">
        <f t="shared" si="19"/>
        <v>-286746.73225</v>
      </c>
      <c r="AH28" s="32">
        <f t="shared" si="19"/>
        <v>-247644.90512499999</v>
      </c>
      <c r="AI28" s="32">
        <f t="shared" si="19"/>
        <v>-247644.90512499999</v>
      </c>
      <c r="AJ28" s="32">
        <f t="shared" si="19"/>
        <v>-247644.90512499999</v>
      </c>
      <c r="AK28" s="32">
        <f t="shared" si="19"/>
        <v>-208543.07799999998</v>
      </c>
      <c r="AM28" s="25">
        <f t="shared" si="10"/>
        <v>-91237.596625000006</v>
      </c>
      <c r="AN28" s="25">
        <f t="shared" si="11"/>
        <v>-17943.989160102741</v>
      </c>
      <c r="AO28" s="25">
        <f t="shared" si="11"/>
        <v>-16283.500610958907</v>
      </c>
      <c r="AP28" s="25">
        <f t="shared" si="11"/>
        <v>-14676.576208561646</v>
      </c>
      <c r="AQ28" s="25">
        <f t="shared" si="11"/>
        <v>-13016.08765941781</v>
      </c>
      <c r="AR28" s="25">
        <f t="shared" si="11"/>
        <v>-11409.163257020549</v>
      </c>
      <c r="AS28" s="25">
        <f t="shared" si="11"/>
        <v>-9748.674707876713</v>
      </c>
      <c r="AT28" s="25">
        <f t="shared" si="11"/>
        <v>-8088.1861587328776</v>
      </c>
      <c r="AU28" s="25">
        <f t="shared" si="11"/>
        <v>-6588.3900498287676</v>
      </c>
      <c r="AV28" s="25">
        <f t="shared" si="11"/>
        <v>-4927.9015006849322</v>
      </c>
      <c r="AW28" s="25">
        <f t="shared" si="11"/>
        <v>-3320.9770982876717</v>
      </c>
      <c r="AX28" s="25">
        <f t="shared" si="11"/>
        <v>-1660.4885491438358</v>
      </c>
      <c r="AY28" s="25">
        <f t="shared" si="11"/>
        <v>-53.564146746575346</v>
      </c>
      <c r="AZ28" s="25">
        <f t="shared" si="12"/>
        <v>-325848.55937500001</v>
      </c>
      <c r="BA28" s="25">
        <f t="shared" si="13"/>
        <v>-198955.09573236303</v>
      </c>
    </row>
    <row r="29" spans="1:53" x14ac:dyDescent="0.15">
      <c r="A29" s="24" t="s">
        <v>696</v>
      </c>
      <c r="G29" s="32"/>
      <c r="H29" s="32">
        <f t="shared" ref="H29:AK29" si="20">+G29+SUMIF($B$224:$B$274,$A29,H$224:H$274)</f>
        <v>0</v>
      </c>
      <c r="I29" s="32">
        <f t="shared" si="20"/>
        <v>0</v>
      </c>
      <c r="J29" s="32">
        <f t="shared" si="20"/>
        <v>-294614.24070000002</v>
      </c>
      <c r="K29" s="32">
        <f t="shared" si="20"/>
        <v>-294614.24070000002</v>
      </c>
      <c r="L29" s="32">
        <f t="shared" si="20"/>
        <v>-294614.24070000002</v>
      </c>
      <c r="M29" s="32">
        <f t="shared" si="20"/>
        <v>-589228.48140000005</v>
      </c>
      <c r="N29" s="32">
        <f t="shared" si="20"/>
        <v>-589228.48140000005</v>
      </c>
      <c r="O29" s="32">
        <f t="shared" si="20"/>
        <v>-589228.48140000005</v>
      </c>
      <c r="P29" s="32">
        <f t="shared" si="20"/>
        <v>-549946.58264000015</v>
      </c>
      <c r="Q29" s="32">
        <f t="shared" si="20"/>
        <v>-549946.58264000015</v>
      </c>
      <c r="R29" s="32">
        <f t="shared" si="20"/>
        <v>-549946.58264000015</v>
      </c>
      <c r="S29" s="32">
        <f t="shared" si="20"/>
        <v>-510664.6838800002</v>
      </c>
      <c r="T29" s="32">
        <f t="shared" si="20"/>
        <v>-510664.6838800002</v>
      </c>
      <c r="U29" s="32">
        <f t="shared" si="20"/>
        <v>-510664.6838800002</v>
      </c>
      <c r="V29" s="32">
        <f t="shared" si="20"/>
        <v>-471382.78512000025</v>
      </c>
      <c r="W29" s="32">
        <f t="shared" si="20"/>
        <v>-471382.78512000025</v>
      </c>
      <c r="X29" s="32">
        <f t="shared" si="20"/>
        <v>-471382.78512000025</v>
      </c>
      <c r="Y29" s="32">
        <f t="shared" si="20"/>
        <v>-432100.8863600003</v>
      </c>
      <c r="Z29" s="32">
        <f t="shared" si="20"/>
        <v>-432100.8863600003</v>
      </c>
      <c r="AA29" s="32">
        <f t="shared" si="20"/>
        <v>-432100.8863600003</v>
      </c>
      <c r="AB29" s="32">
        <f t="shared" si="20"/>
        <v>-373178.03822000005</v>
      </c>
      <c r="AC29" s="32">
        <f t="shared" si="20"/>
        <v>-373178.03822000005</v>
      </c>
      <c r="AD29" s="32">
        <f t="shared" si="20"/>
        <v>-373178.03822000005</v>
      </c>
      <c r="AE29" s="32">
        <f t="shared" si="20"/>
        <v>-314255.1900799998</v>
      </c>
      <c r="AF29" s="32">
        <f t="shared" si="20"/>
        <v>-314255.1900799998</v>
      </c>
      <c r="AG29" s="32">
        <f t="shared" si="20"/>
        <v>-314255.1900799998</v>
      </c>
      <c r="AH29" s="32">
        <f t="shared" si="20"/>
        <v>-255332.34193999955</v>
      </c>
      <c r="AI29" s="32">
        <f t="shared" si="20"/>
        <v>-255332.34193999955</v>
      </c>
      <c r="AJ29" s="32">
        <f t="shared" si="20"/>
        <v>-255332.34193999955</v>
      </c>
      <c r="AK29" s="32">
        <f t="shared" si="20"/>
        <v>-196409.4937999993</v>
      </c>
      <c r="AM29" s="25">
        <f t="shared" si="10"/>
        <v>-549946.58264000015</v>
      </c>
      <c r="AN29" s="25">
        <f t="shared" si="11"/>
        <v>13519.968580068502</v>
      </c>
      <c r="AO29" s="25">
        <f t="shared" si="11"/>
        <v>12268.867009972611</v>
      </c>
      <c r="AP29" s="25">
        <f t="shared" si="11"/>
        <v>11058.123555041104</v>
      </c>
      <c r="AQ29" s="25">
        <f t="shared" si="11"/>
        <v>9807.0219849452133</v>
      </c>
      <c r="AR29" s="25">
        <f t="shared" si="11"/>
        <v>8596.2785300137057</v>
      </c>
      <c r="AS29" s="25">
        <f t="shared" si="11"/>
        <v>7345.1769599178133</v>
      </c>
      <c r="AT29" s="25">
        <f t="shared" si="11"/>
        <v>6094.0753898219218</v>
      </c>
      <c r="AU29" s="25">
        <f t="shared" si="11"/>
        <v>4964.0481652191811</v>
      </c>
      <c r="AV29" s="25">
        <f t="shared" si="11"/>
        <v>3712.9465951232905</v>
      </c>
      <c r="AW29" s="25">
        <f t="shared" si="11"/>
        <v>2502.2031401917825</v>
      </c>
      <c r="AX29" s="25">
        <f t="shared" si="11"/>
        <v>1251.1015700958912</v>
      </c>
      <c r="AY29" s="25">
        <f t="shared" si="11"/>
        <v>40.358115164383591</v>
      </c>
      <c r="AZ29" s="25">
        <f t="shared" si="12"/>
        <v>-373178.03822000005</v>
      </c>
      <c r="BA29" s="25">
        <f t="shared" si="13"/>
        <v>-468786.41304442473</v>
      </c>
    </row>
    <row r="30" spans="1:53" x14ac:dyDescent="0.15">
      <c r="A30" s="24" t="s">
        <v>36</v>
      </c>
      <c r="G30" s="32">
        <v>368790.95</v>
      </c>
      <c r="H30" s="32">
        <f t="shared" ref="H30:AK30" si="21">+G30+SUMIF($B$224:$B$274,$A30,H$224:H$274)</f>
        <v>368790.95</v>
      </c>
      <c r="I30" s="32">
        <f t="shared" si="21"/>
        <v>368790.95</v>
      </c>
      <c r="J30" s="32">
        <f t="shared" si="21"/>
        <v>368790.95</v>
      </c>
      <c r="K30" s="32">
        <f t="shared" si="21"/>
        <v>368790.95</v>
      </c>
      <c r="L30" s="32">
        <f t="shared" si="21"/>
        <v>368790.95</v>
      </c>
      <c r="M30" s="32">
        <f t="shared" si="21"/>
        <v>368790.95</v>
      </c>
      <c r="N30" s="32">
        <f t="shared" si="21"/>
        <v>368790.95</v>
      </c>
      <c r="O30" s="32">
        <f t="shared" si="21"/>
        <v>368790.95</v>
      </c>
      <c r="P30" s="32">
        <f t="shared" si="21"/>
        <v>368790.95</v>
      </c>
      <c r="Q30" s="32">
        <f t="shared" si="21"/>
        <v>368790.95</v>
      </c>
      <c r="R30" s="32">
        <f t="shared" si="21"/>
        <v>368790.95</v>
      </c>
      <c r="S30" s="32">
        <f t="shared" si="21"/>
        <v>368790.95</v>
      </c>
      <c r="T30" s="32">
        <f t="shared" si="21"/>
        <v>368790.95</v>
      </c>
      <c r="U30" s="32">
        <f t="shared" si="21"/>
        <v>368790.95</v>
      </c>
      <c r="V30" s="32">
        <f t="shared" si="21"/>
        <v>368790.95</v>
      </c>
      <c r="W30" s="32">
        <f t="shared" si="21"/>
        <v>368790.95</v>
      </c>
      <c r="X30" s="32">
        <f t="shared" si="21"/>
        <v>368790.95</v>
      </c>
      <c r="Y30" s="32">
        <f t="shared" si="21"/>
        <v>368790.95</v>
      </c>
      <c r="Z30" s="32">
        <f t="shared" si="21"/>
        <v>368790.95</v>
      </c>
      <c r="AA30" s="32">
        <f t="shared" si="21"/>
        <v>368790.95</v>
      </c>
      <c r="AB30" s="32">
        <f t="shared" si="21"/>
        <v>368790.95</v>
      </c>
      <c r="AC30" s="32">
        <f t="shared" si="21"/>
        <v>368790.95</v>
      </c>
      <c r="AD30" s="32">
        <f t="shared" si="21"/>
        <v>368790.95</v>
      </c>
      <c r="AE30" s="32">
        <f t="shared" si="21"/>
        <v>368790.95</v>
      </c>
      <c r="AF30" s="32">
        <f t="shared" si="21"/>
        <v>368790.95</v>
      </c>
      <c r="AG30" s="32">
        <f t="shared" si="21"/>
        <v>368790.95</v>
      </c>
      <c r="AH30" s="32">
        <f t="shared" si="21"/>
        <v>368790.95</v>
      </c>
      <c r="AI30" s="32">
        <f t="shared" si="21"/>
        <v>368790.95</v>
      </c>
      <c r="AJ30" s="32">
        <f t="shared" si="21"/>
        <v>368790.95</v>
      </c>
      <c r="AK30" s="32">
        <f t="shared" si="21"/>
        <v>368790.95</v>
      </c>
      <c r="AM30" s="25">
        <f t="shared" si="10"/>
        <v>368790.95</v>
      </c>
      <c r="AN30" s="25">
        <f t="shared" si="11"/>
        <v>0</v>
      </c>
      <c r="AO30" s="25">
        <f t="shared" si="11"/>
        <v>0</v>
      </c>
      <c r="AP30" s="25">
        <f t="shared" si="11"/>
        <v>0</v>
      </c>
      <c r="AQ30" s="25">
        <f t="shared" si="11"/>
        <v>0</v>
      </c>
      <c r="AR30" s="25">
        <f t="shared" si="11"/>
        <v>0</v>
      </c>
      <c r="AS30" s="25">
        <f t="shared" si="11"/>
        <v>0</v>
      </c>
      <c r="AT30" s="25">
        <f t="shared" si="11"/>
        <v>0</v>
      </c>
      <c r="AU30" s="25">
        <f t="shared" si="11"/>
        <v>0</v>
      </c>
      <c r="AV30" s="25">
        <f t="shared" si="11"/>
        <v>0</v>
      </c>
      <c r="AW30" s="25">
        <f t="shared" si="11"/>
        <v>0</v>
      </c>
      <c r="AX30" s="25">
        <f t="shared" si="11"/>
        <v>0</v>
      </c>
      <c r="AY30" s="25">
        <f t="shared" si="11"/>
        <v>0</v>
      </c>
      <c r="AZ30" s="25">
        <f t="shared" si="12"/>
        <v>368790.95</v>
      </c>
      <c r="BA30" s="25">
        <f t="shared" si="13"/>
        <v>368790.95</v>
      </c>
    </row>
    <row r="31" spans="1:53" x14ac:dyDescent="0.15">
      <c r="A31" s="24" t="s">
        <v>37</v>
      </c>
      <c r="G31" s="32">
        <v>-16820295.800000001</v>
      </c>
      <c r="H31" s="32">
        <f t="shared" ref="H31:AK31" si="22">+G31+SUMIF($B$224:$B$274,$A31,H$224:H$274)</f>
        <v>-16820295.800000001</v>
      </c>
      <c r="I31" s="32">
        <f t="shared" si="22"/>
        <v>-16820295.800000001</v>
      </c>
      <c r="J31" s="32">
        <f t="shared" si="22"/>
        <v>-32473087.745000001</v>
      </c>
      <c r="K31" s="32">
        <f t="shared" si="22"/>
        <v>-32473087.745000001</v>
      </c>
      <c r="L31" s="32">
        <f t="shared" si="22"/>
        <v>-32473087.745000001</v>
      </c>
      <c r="M31" s="32">
        <f t="shared" si="22"/>
        <v>-37690684.43</v>
      </c>
      <c r="N31" s="32">
        <f t="shared" si="22"/>
        <v>-37690684.43</v>
      </c>
      <c r="O31" s="32">
        <f t="shared" si="22"/>
        <v>-37690684.43</v>
      </c>
      <c r="P31" s="32">
        <f t="shared" si="22"/>
        <v>-44554496.420000002</v>
      </c>
      <c r="Q31" s="32">
        <f t="shared" si="22"/>
        <v>-44554496.420000002</v>
      </c>
      <c r="R31" s="32">
        <f t="shared" si="22"/>
        <v>-44554496.420000002</v>
      </c>
      <c r="S31" s="32">
        <f t="shared" si="22"/>
        <v>-51418308.410000004</v>
      </c>
      <c r="T31" s="32">
        <f t="shared" si="22"/>
        <v>-51418308.410000004</v>
      </c>
      <c r="U31" s="32">
        <f t="shared" si="22"/>
        <v>-51418308.410000004</v>
      </c>
      <c r="V31" s="32">
        <f t="shared" si="22"/>
        <v>-58282120.400000006</v>
      </c>
      <c r="W31" s="32">
        <f t="shared" si="22"/>
        <v>-58282120.400000006</v>
      </c>
      <c r="X31" s="32">
        <f t="shared" si="22"/>
        <v>-58282120.400000006</v>
      </c>
      <c r="Y31" s="32">
        <f t="shared" si="22"/>
        <v>-65145932.390000008</v>
      </c>
      <c r="Z31" s="32">
        <f t="shared" si="22"/>
        <v>-65145932.390000008</v>
      </c>
      <c r="AA31" s="32">
        <f t="shared" si="22"/>
        <v>-65145932.390000008</v>
      </c>
      <c r="AB31" s="32">
        <f t="shared" si="22"/>
        <v>-65145932.390000008</v>
      </c>
      <c r="AC31" s="32">
        <f t="shared" si="22"/>
        <v>-65145932.390000008</v>
      </c>
      <c r="AD31" s="32">
        <f t="shared" si="22"/>
        <v>-65145932.390000008</v>
      </c>
      <c r="AE31" s="32">
        <f t="shared" si="22"/>
        <v>-65145932.390000008</v>
      </c>
      <c r="AF31" s="32">
        <f t="shared" si="22"/>
        <v>-65145932.390000008</v>
      </c>
      <c r="AG31" s="32">
        <f t="shared" si="22"/>
        <v>-65145932.390000008</v>
      </c>
      <c r="AH31" s="32">
        <f t="shared" si="22"/>
        <v>-65145932.390000008</v>
      </c>
      <c r="AI31" s="32">
        <f t="shared" si="22"/>
        <v>-65145932.390000008</v>
      </c>
      <c r="AJ31" s="32">
        <f t="shared" si="22"/>
        <v>-65145932.390000008</v>
      </c>
      <c r="AK31" s="32">
        <f t="shared" si="22"/>
        <v>-65145932.390000008</v>
      </c>
      <c r="AM31" s="25">
        <f t="shared" si="10"/>
        <v>-44554496.420000002</v>
      </c>
      <c r="AN31" s="25">
        <f t="shared" si="11"/>
        <v>-1574915.7648287676</v>
      </c>
      <c r="AO31" s="25">
        <f t="shared" si="11"/>
        <v>-1429177.2910684936</v>
      </c>
      <c r="AP31" s="25">
        <f t="shared" si="11"/>
        <v>-1288140.0583972607</v>
      </c>
      <c r="AQ31" s="25">
        <f t="shared" si="11"/>
        <v>-1142401.5846369867</v>
      </c>
      <c r="AR31" s="25">
        <f t="shared" si="11"/>
        <v>-1001364.3519657538</v>
      </c>
      <c r="AS31" s="25">
        <f t="shared" si="11"/>
        <v>-855625.8782054797</v>
      </c>
      <c r="AT31" s="25">
        <f t="shared" si="11"/>
        <v>-709887.4044452057</v>
      </c>
      <c r="AU31" s="25">
        <f t="shared" si="11"/>
        <v>-578252.65395205503</v>
      </c>
      <c r="AV31" s="25">
        <f t="shared" si="11"/>
        <v>-432514.18019178096</v>
      </c>
      <c r="AW31" s="25">
        <f t="shared" si="11"/>
        <v>-291476.94752054801</v>
      </c>
      <c r="AX31" s="25">
        <f t="shared" si="11"/>
        <v>-145738.47376027401</v>
      </c>
      <c r="AY31" s="25">
        <f t="shared" si="11"/>
        <v>-4701.2410890410974</v>
      </c>
      <c r="AZ31" s="25">
        <f t="shared" si="12"/>
        <v>-65145932.390000008</v>
      </c>
      <c r="BA31" s="25">
        <f t="shared" si="13"/>
        <v>-54008692.250061654</v>
      </c>
    </row>
    <row r="32" spans="1:53" x14ac:dyDescent="0.15">
      <c r="A32" s="24" t="s">
        <v>38</v>
      </c>
      <c r="G32" s="32">
        <v>67911578.359999999</v>
      </c>
      <c r="H32" s="32">
        <f t="shared" ref="H32:AK32" si="23">+G32+SUMIF($B$224:$B$274,$A32,H$224:H$274)</f>
        <v>67911578.359999999</v>
      </c>
      <c r="I32" s="32">
        <f t="shared" si="23"/>
        <v>67911578.359999999</v>
      </c>
      <c r="J32" s="32">
        <f t="shared" si="23"/>
        <v>85060486.34922263</v>
      </c>
      <c r="K32" s="32">
        <f t="shared" si="23"/>
        <v>85060486.34922263</v>
      </c>
      <c r="L32" s="32">
        <f t="shared" si="23"/>
        <v>85060486.34922263</v>
      </c>
      <c r="M32" s="32">
        <f t="shared" si="23"/>
        <v>102209394.33844526</v>
      </c>
      <c r="N32" s="32">
        <f t="shared" si="23"/>
        <v>102209394.33844526</v>
      </c>
      <c r="O32" s="32">
        <f t="shared" si="23"/>
        <v>102209394.33844526</v>
      </c>
      <c r="P32" s="32">
        <f t="shared" si="23"/>
        <v>122866054.58989437</v>
      </c>
      <c r="Q32" s="32">
        <f t="shared" si="23"/>
        <v>122866054.58989437</v>
      </c>
      <c r="R32" s="32">
        <f t="shared" si="23"/>
        <v>122866054.58989437</v>
      </c>
      <c r="S32" s="32">
        <f t="shared" si="23"/>
        <v>143522714.84134346</v>
      </c>
      <c r="T32" s="32">
        <f t="shared" si="23"/>
        <v>143522714.84134346</v>
      </c>
      <c r="U32" s="32">
        <f t="shared" si="23"/>
        <v>143522714.84134346</v>
      </c>
      <c r="V32" s="32">
        <f t="shared" si="23"/>
        <v>164179375.09279257</v>
      </c>
      <c r="W32" s="32">
        <f t="shared" si="23"/>
        <v>164179375.09279257</v>
      </c>
      <c r="X32" s="32">
        <f t="shared" si="23"/>
        <v>164179375.09279257</v>
      </c>
      <c r="Y32" s="32">
        <f t="shared" si="23"/>
        <v>184836035.34424168</v>
      </c>
      <c r="Z32" s="32">
        <f t="shared" si="23"/>
        <v>184836035.34424168</v>
      </c>
      <c r="AA32" s="32">
        <f t="shared" si="23"/>
        <v>184836035.34424168</v>
      </c>
      <c r="AB32" s="32">
        <f t="shared" si="23"/>
        <v>207802604.48865297</v>
      </c>
      <c r="AC32" s="32">
        <f t="shared" si="23"/>
        <v>207802604.48865297</v>
      </c>
      <c r="AD32" s="32">
        <f t="shared" si="23"/>
        <v>207802604.48865297</v>
      </c>
      <c r="AE32" s="32">
        <f t="shared" si="23"/>
        <v>230769173.63306427</v>
      </c>
      <c r="AF32" s="32">
        <f t="shared" si="23"/>
        <v>230769173.63306427</v>
      </c>
      <c r="AG32" s="32">
        <f t="shared" si="23"/>
        <v>230769173.63306427</v>
      </c>
      <c r="AH32" s="32">
        <f t="shared" si="23"/>
        <v>253735742.77747557</v>
      </c>
      <c r="AI32" s="32">
        <f t="shared" si="23"/>
        <v>253735742.77747557</v>
      </c>
      <c r="AJ32" s="32">
        <f t="shared" si="23"/>
        <v>253735742.77747557</v>
      </c>
      <c r="AK32" s="32">
        <f t="shared" si="23"/>
        <v>276702311.92188686</v>
      </c>
      <c r="AM32" s="25">
        <f t="shared" si="10"/>
        <v>122866054.58989437</v>
      </c>
      <c r="AN32" s="25">
        <f t="shared" si="11"/>
        <v>6496288.6338091632</v>
      </c>
      <c r="AO32" s="25">
        <f t="shared" si="11"/>
        <v>5895139.5363521958</v>
      </c>
      <c r="AP32" s="25">
        <f t="shared" si="11"/>
        <v>5313382.3452648083</v>
      </c>
      <c r="AQ32" s="25">
        <f t="shared" si="11"/>
        <v>4712233.2478078408</v>
      </c>
      <c r="AR32" s="25">
        <f t="shared" si="11"/>
        <v>4130476.0567204533</v>
      </c>
      <c r="AS32" s="25">
        <f t="shared" si="11"/>
        <v>3529326.9592634854</v>
      </c>
      <c r="AT32" s="25">
        <f t="shared" si="11"/>
        <v>2928177.8618065184</v>
      </c>
      <c r="AU32" s="25">
        <f t="shared" si="11"/>
        <v>2385204.4834582899</v>
      </c>
      <c r="AV32" s="25">
        <f t="shared" si="11"/>
        <v>1784055.3860013224</v>
      </c>
      <c r="AW32" s="25">
        <f t="shared" si="11"/>
        <v>1202298.1949139347</v>
      </c>
      <c r="AX32" s="25">
        <f t="shared" si="11"/>
        <v>601149.09745696734</v>
      </c>
      <c r="AY32" s="25">
        <f t="shared" si="11"/>
        <v>19391.906369579592</v>
      </c>
      <c r="AZ32" s="25">
        <f t="shared" si="12"/>
        <v>207802604.48865297</v>
      </c>
      <c r="BA32" s="25">
        <f t="shared" si="13"/>
        <v>161863178.29911888</v>
      </c>
    </row>
    <row r="33" spans="1:53" x14ac:dyDescent="0.15">
      <c r="A33" s="24" t="s">
        <v>39</v>
      </c>
      <c r="G33" s="32">
        <v>176860.79</v>
      </c>
      <c r="H33" s="32">
        <f t="shared" ref="H33:AK33" si="24">+G33+SUMIF($B$224:$B$274,$A33,H$224:H$274)</f>
        <v>176860.79</v>
      </c>
      <c r="I33" s="32">
        <f t="shared" si="24"/>
        <v>176860.79</v>
      </c>
      <c r="J33" s="32">
        <f t="shared" si="24"/>
        <v>176860.79</v>
      </c>
      <c r="K33" s="32">
        <f t="shared" si="24"/>
        <v>176860.79</v>
      </c>
      <c r="L33" s="32">
        <f t="shared" si="24"/>
        <v>176860.79</v>
      </c>
      <c r="M33" s="32">
        <f t="shared" si="24"/>
        <v>176860.79</v>
      </c>
      <c r="N33" s="32">
        <f t="shared" si="24"/>
        <v>176860.79</v>
      </c>
      <c r="O33" s="32">
        <f t="shared" si="24"/>
        <v>176860.79</v>
      </c>
      <c r="P33" s="32">
        <f t="shared" si="24"/>
        <v>176860.79</v>
      </c>
      <c r="Q33" s="32">
        <f t="shared" si="24"/>
        <v>176860.79</v>
      </c>
      <c r="R33" s="32">
        <f t="shared" si="24"/>
        <v>176860.79</v>
      </c>
      <c r="S33" s="32">
        <f t="shared" si="24"/>
        <v>176860.79</v>
      </c>
      <c r="T33" s="32">
        <f t="shared" si="24"/>
        <v>176860.79</v>
      </c>
      <c r="U33" s="32">
        <f t="shared" si="24"/>
        <v>176860.79</v>
      </c>
      <c r="V33" s="32">
        <f t="shared" si="24"/>
        <v>176860.79</v>
      </c>
      <c r="W33" s="32">
        <f t="shared" si="24"/>
        <v>176860.79</v>
      </c>
      <c r="X33" s="32">
        <f t="shared" si="24"/>
        <v>176860.79</v>
      </c>
      <c r="Y33" s="32">
        <f t="shared" si="24"/>
        <v>176860.79</v>
      </c>
      <c r="Z33" s="32">
        <f t="shared" si="24"/>
        <v>176860.79</v>
      </c>
      <c r="AA33" s="32">
        <f t="shared" si="24"/>
        <v>176860.79</v>
      </c>
      <c r="AB33" s="32">
        <f t="shared" si="24"/>
        <v>176860.79</v>
      </c>
      <c r="AC33" s="32">
        <f t="shared" si="24"/>
        <v>176860.79</v>
      </c>
      <c r="AD33" s="32">
        <f t="shared" si="24"/>
        <v>176860.79</v>
      </c>
      <c r="AE33" s="32">
        <f t="shared" si="24"/>
        <v>176860.79</v>
      </c>
      <c r="AF33" s="32">
        <f t="shared" si="24"/>
        <v>176860.79</v>
      </c>
      <c r="AG33" s="32">
        <f t="shared" si="24"/>
        <v>176860.79</v>
      </c>
      <c r="AH33" s="32">
        <f t="shared" si="24"/>
        <v>176860.79</v>
      </c>
      <c r="AI33" s="32">
        <f t="shared" si="24"/>
        <v>176860.79</v>
      </c>
      <c r="AJ33" s="32">
        <f t="shared" si="24"/>
        <v>176860.79</v>
      </c>
      <c r="AK33" s="32">
        <f t="shared" si="24"/>
        <v>176860.79</v>
      </c>
      <c r="AM33" s="25">
        <f t="shared" si="10"/>
        <v>176860.79</v>
      </c>
      <c r="AN33" s="25">
        <f t="shared" si="11"/>
        <v>0</v>
      </c>
      <c r="AO33" s="25">
        <f t="shared" si="11"/>
        <v>0</v>
      </c>
      <c r="AP33" s="25">
        <f t="shared" si="11"/>
        <v>0</v>
      </c>
      <c r="AQ33" s="25">
        <f t="shared" si="11"/>
        <v>0</v>
      </c>
      <c r="AR33" s="25">
        <f t="shared" si="11"/>
        <v>0</v>
      </c>
      <c r="AS33" s="25">
        <f t="shared" si="11"/>
        <v>0</v>
      </c>
      <c r="AT33" s="25">
        <f t="shared" si="11"/>
        <v>0</v>
      </c>
      <c r="AU33" s="25">
        <f t="shared" si="11"/>
        <v>0</v>
      </c>
      <c r="AV33" s="25">
        <f t="shared" si="11"/>
        <v>0</v>
      </c>
      <c r="AW33" s="25">
        <f t="shared" si="11"/>
        <v>0</v>
      </c>
      <c r="AX33" s="25">
        <f t="shared" si="11"/>
        <v>0</v>
      </c>
      <c r="AY33" s="25">
        <f t="shared" si="11"/>
        <v>0</v>
      </c>
      <c r="AZ33" s="25">
        <f t="shared" si="12"/>
        <v>176860.79</v>
      </c>
      <c r="BA33" s="25">
        <f t="shared" si="13"/>
        <v>176860.79</v>
      </c>
    </row>
    <row r="34" spans="1:53" x14ac:dyDescent="0.15">
      <c r="A34" s="24" t="s">
        <v>40</v>
      </c>
      <c r="G34" s="32">
        <v>33266.67</v>
      </c>
      <c r="H34" s="32">
        <f t="shared" ref="H34:AK34" si="25">+G34+SUMIF($B$224:$B$274,$A34,H$224:H$274)</f>
        <v>33266.67</v>
      </c>
      <c r="I34" s="32">
        <f t="shared" si="25"/>
        <v>33266.67</v>
      </c>
      <c r="J34" s="32">
        <f t="shared" si="25"/>
        <v>33266.67</v>
      </c>
      <c r="K34" s="32">
        <f t="shared" si="25"/>
        <v>33266.67</v>
      </c>
      <c r="L34" s="32">
        <f t="shared" si="25"/>
        <v>33266.67</v>
      </c>
      <c r="M34" s="32">
        <f t="shared" si="25"/>
        <v>33266.67</v>
      </c>
      <c r="N34" s="32">
        <f t="shared" si="25"/>
        <v>33266.67</v>
      </c>
      <c r="O34" s="32">
        <f t="shared" si="25"/>
        <v>33266.67</v>
      </c>
      <c r="P34" s="32">
        <f t="shared" si="25"/>
        <v>33266.67</v>
      </c>
      <c r="Q34" s="32">
        <f t="shared" si="25"/>
        <v>33266.67</v>
      </c>
      <c r="R34" s="32">
        <f t="shared" si="25"/>
        <v>33266.67</v>
      </c>
      <c r="S34" s="32">
        <f t="shared" si="25"/>
        <v>33266.67</v>
      </c>
      <c r="T34" s="32">
        <f t="shared" si="25"/>
        <v>33266.67</v>
      </c>
      <c r="U34" s="32">
        <f t="shared" si="25"/>
        <v>33266.67</v>
      </c>
      <c r="V34" s="32">
        <f t="shared" si="25"/>
        <v>33266.67</v>
      </c>
      <c r="W34" s="32">
        <f t="shared" si="25"/>
        <v>33266.67</v>
      </c>
      <c r="X34" s="32">
        <f t="shared" si="25"/>
        <v>33266.67</v>
      </c>
      <c r="Y34" s="32">
        <f t="shared" si="25"/>
        <v>33266.67</v>
      </c>
      <c r="Z34" s="32">
        <f t="shared" si="25"/>
        <v>33266.67</v>
      </c>
      <c r="AA34" s="32">
        <f t="shared" si="25"/>
        <v>33266.67</v>
      </c>
      <c r="AB34" s="32">
        <f t="shared" si="25"/>
        <v>33266.67</v>
      </c>
      <c r="AC34" s="32">
        <f t="shared" si="25"/>
        <v>33266.67</v>
      </c>
      <c r="AD34" s="32">
        <f t="shared" si="25"/>
        <v>33266.67</v>
      </c>
      <c r="AE34" s="32">
        <f t="shared" si="25"/>
        <v>33266.67</v>
      </c>
      <c r="AF34" s="32">
        <f t="shared" si="25"/>
        <v>33266.67</v>
      </c>
      <c r="AG34" s="32">
        <f t="shared" si="25"/>
        <v>33266.67</v>
      </c>
      <c r="AH34" s="32">
        <f t="shared" si="25"/>
        <v>33266.67</v>
      </c>
      <c r="AI34" s="32">
        <f t="shared" si="25"/>
        <v>33266.67</v>
      </c>
      <c r="AJ34" s="32">
        <f t="shared" si="25"/>
        <v>33266.67</v>
      </c>
      <c r="AK34" s="32">
        <f t="shared" si="25"/>
        <v>33266.67</v>
      </c>
      <c r="AM34" s="25">
        <f t="shared" si="10"/>
        <v>33266.67</v>
      </c>
      <c r="AN34" s="25">
        <f t="shared" si="11"/>
        <v>0</v>
      </c>
      <c r="AO34" s="25">
        <f t="shared" si="11"/>
        <v>0</v>
      </c>
      <c r="AP34" s="25">
        <f t="shared" si="11"/>
        <v>0</v>
      </c>
      <c r="AQ34" s="25">
        <f t="shared" si="11"/>
        <v>0</v>
      </c>
      <c r="AR34" s="25">
        <f t="shared" si="11"/>
        <v>0</v>
      </c>
      <c r="AS34" s="25">
        <f t="shared" si="11"/>
        <v>0</v>
      </c>
      <c r="AT34" s="25">
        <f t="shared" si="11"/>
        <v>0</v>
      </c>
      <c r="AU34" s="25">
        <f t="shared" si="11"/>
        <v>0</v>
      </c>
      <c r="AV34" s="25">
        <f t="shared" si="11"/>
        <v>0</v>
      </c>
      <c r="AW34" s="25">
        <f t="shared" si="11"/>
        <v>0</v>
      </c>
      <c r="AX34" s="25">
        <f t="shared" si="11"/>
        <v>0</v>
      </c>
      <c r="AY34" s="25">
        <f t="shared" si="11"/>
        <v>0</v>
      </c>
      <c r="AZ34" s="25">
        <f t="shared" si="12"/>
        <v>33266.67</v>
      </c>
      <c r="BA34" s="25">
        <f t="shared" si="13"/>
        <v>33266.67</v>
      </c>
    </row>
    <row r="35" spans="1:53" x14ac:dyDescent="0.15">
      <c r="A35" s="24" t="s">
        <v>411</v>
      </c>
      <c r="G35" s="32">
        <v>-55117.9</v>
      </c>
      <c r="H35" s="32">
        <f t="shared" ref="H35:AK35" si="26">+G35+SUMIF($B$224:$B$274,$A35,H$224:H$274)</f>
        <v>-55117.9</v>
      </c>
      <c r="I35" s="32">
        <f t="shared" si="26"/>
        <v>-55117.9</v>
      </c>
      <c r="J35" s="32">
        <f t="shared" si="26"/>
        <v>-55117.9</v>
      </c>
      <c r="K35" s="32">
        <f t="shared" si="26"/>
        <v>-55117.9</v>
      </c>
      <c r="L35" s="32">
        <f t="shared" si="26"/>
        <v>-55117.9</v>
      </c>
      <c r="M35" s="32">
        <f t="shared" si="26"/>
        <v>-55117.9</v>
      </c>
      <c r="N35" s="32">
        <f t="shared" si="26"/>
        <v>-55117.9</v>
      </c>
      <c r="O35" s="32">
        <f t="shared" si="26"/>
        <v>-55117.9</v>
      </c>
      <c r="P35" s="32">
        <f t="shared" si="26"/>
        <v>-55117.9</v>
      </c>
      <c r="Q35" s="32">
        <f t="shared" si="26"/>
        <v>-55117.9</v>
      </c>
      <c r="R35" s="32">
        <f t="shared" si="26"/>
        <v>-55117.9</v>
      </c>
      <c r="S35" s="32">
        <f t="shared" si="26"/>
        <v>-55117.9</v>
      </c>
      <c r="T35" s="32">
        <f t="shared" si="26"/>
        <v>-55117.9</v>
      </c>
      <c r="U35" s="32">
        <f t="shared" si="26"/>
        <v>-55117.9</v>
      </c>
      <c r="V35" s="32">
        <f t="shared" si="26"/>
        <v>-55117.9</v>
      </c>
      <c r="W35" s="32">
        <f t="shared" si="26"/>
        <v>-55117.9</v>
      </c>
      <c r="X35" s="32">
        <f t="shared" si="26"/>
        <v>-55117.9</v>
      </c>
      <c r="Y35" s="32">
        <f t="shared" si="26"/>
        <v>-55117.9</v>
      </c>
      <c r="Z35" s="32">
        <f t="shared" si="26"/>
        <v>-55117.9</v>
      </c>
      <c r="AA35" s="32">
        <f t="shared" si="26"/>
        <v>-55117.9</v>
      </c>
      <c r="AB35" s="32">
        <f t="shared" si="26"/>
        <v>-55117.9</v>
      </c>
      <c r="AC35" s="32">
        <f t="shared" si="26"/>
        <v>-55117.9</v>
      </c>
      <c r="AD35" s="32">
        <f t="shared" si="26"/>
        <v>-55117.9</v>
      </c>
      <c r="AE35" s="32">
        <f t="shared" si="26"/>
        <v>-55117.9</v>
      </c>
      <c r="AF35" s="32">
        <f t="shared" si="26"/>
        <v>-55117.9</v>
      </c>
      <c r="AG35" s="32">
        <f t="shared" si="26"/>
        <v>-55117.9</v>
      </c>
      <c r="AH35" s="32">
        <f t="shared" si="26"/>
        <v>-55117.9</v>
      </c>
      <c r="AI35" s="32">
        <f t="shared" si="26"/>
        <v>-55117.9</v>
      </c>
      <c r="AJ35" s="32">
        <f t="shared" si="26"/>
        <v>-55117.9</v>
      </c>
      <c r="AK35" s="32">
        <f t="shared" si="26"/>
        <v>-55117.9</v>
      </c>
      <c r="AM35" s="25">
        <f t="shared" si="10"/>
        <v>-55117.9</v>
      </c>
      <c r="AN35" s="25">
        <f t="shared" si="11"/>
        <v>0</v>
      </c>
      <c r="AO35" s="25">
        <f t="shared" si="11"/>
        <v>0</v>
      </c>
      <c r="AP35" s="25">
        <f t="shared" si="11"/>
        <v>0</v>
      </c>
      <c r="AQ35" s="25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5">
        <f t="shared" si="11"/>
        <v>0</v>
      </c>
      <c r="AV35" s="25">
        <f t="shared" si="11"/>
        <v>0</v>
      </c>
      <c r="AW35" s="25">
        <f t="shared" si="11"/>
        <v>0</v>
      </c>
      <c r="AX35" s="25">
        <f t="shared" si="11"/>
        <v>0</v>
      </c>
      <c r="AY35" s="25">
        <f t="shared" si="11"/>
        <v>0</v>
      </c>
      <c r="AZ35" s="25">
        <f t="shared" si="12"/>
        <v>-55117.9</v>
      </c>
      <c r="BA35" s="25">
        <f t="shared" si="13"/>
        <v>-55117.9</v>
      </c>
    </row>
    <row r="36" spans="1:53" x14ac:dyDescent="0.15">
      <c r="A36" s="24" t="s">
        <v>350</v>
      </c>
      <c r="G36" s="32">
        <v>-10638978.930000007</v>
      </c>
      <c r="H36" s="32">
        <f t="shared" ref="H36:AK36" si="27">+G36+SUMIF($B$224:$B$274,$A36,H$224:H$274)</f>
        <v>-10638978.930000007</v>
      </c>
      <c r="I36" s="32">
        <f t="shared" si="27"/>
        <v>-10638978.930000007</v>
      </c>
      <c r="J36" s="32">
        <f t="shared" si="27"/>
        <v>-13185170.585094266</v>
      </c>
      <c r="K36" s="32">
        <f t="shared" si="27"/>
        <v>-13185170.585094266</v>
      </c>
      <c r="L36" s="32">
        <f t="shared" si="27"/>
        <v>-13185170.585094266</v>
      </c>
      <c r="M36" s="32">
        <f t="shared" si="27"/>
        <v>-15731362.240188524</v>
      </c>
      <c r="N36" s="32">
        <f t="shared" si="27"/>
        <v>-15731362.240188524</v>
      </c>
      <c r="O36" s="32">
        <f t="shared" si="27"/>
        <v>-15731362.240188524</v>
      </c>
      <c r="P36" s="32">
        <f t="shared" si="27"/>
        <v>-18199062.246321395</v>
      </c>
      <c r="Q36" s="32">
        <f t="shared" si="27"/>
        <v>-18199062.246321395</v>
      </c>
      <c r="R36" s="32">
        <f t="shared" si="27"/>
        <v>-18199062.246321395</v>
      </c>
      <c r="S36" s="32">
        <f t="shared" si="27"/>
        <v>-20666762.252454266</v>
      </c>
      <c r="T36" s="32">
        <f t="shared" si="27"/>
        <v>-20666762.252454266</v>
      </c>
      <c r="U36" s="32">
        <f t="shared" si="27"/>
        <v>-20666762.252454266</v>
      </c>
      <c r="V36" s="32">
        <f t="shared" si="27"/>
        <v>-23134462.258587137</v>
      </c>
      <c r="W36" s="32">
        <f t="shared" si="27"/>
        <v>-23134462.258587137</v>
      </c>
      <c r="X36" s="32">
        <f t="shared" si="27"/>
        <v>-23134462.258587137</v>
      </c>
      <c r="Y36" s="32">
        <f t="shared" si="27"/>
        <v>-25602162.264720008</v>
      </c>
      <c r="Z36" s="32">
        <f t="shared" si="27"/>
        <v>-25602162.264720008</v>
      </c>
      <c r="AA36" s="32">
        <f t="shared" si="27"/>
        <v>-25602162.264720008</v>
      </c>
      <c r="AB36" s="32">
        <f t="shared" si="27"/>
        <v>-28042765.619048379</v>
      </c>
      <c r="AC36" s="32">
        <f t="shared" si="27"/>
        <v>-28042765.619048379</v>
      </c>
      <c r="AD36" s="32">
        <f t="shared" si="27"/>
        <v>-28042765.619048379</v>
      </c>
      <c r="AE36" s="32">
        <f t="shared" si="27"/>
        <v>-30483368.973376751</v>
      </c>
      <c r="AF36" s="32">
        <f t="shared" si="27"/>
        <v>-30483368.973376751</v>
      </c>
      <c r="AG36" s="32">
        <f t="shared" si="27"/>
        <v>-30483368.973376751</v>
      </c>
      <c r="AH36" s="32">
        <f t="shared" si="27"/>
        <v>-32923972.327705123</v>
      </c>
      <c r="AI36" s="32">
        <f t="shared" si="27"/>
        <v>-32923972.327705123</v>
      </c>
      <c r="AJ36" s="32">
        <f t="shared" si="27"/>
        <v>-32923972.327705123</v>
      </c>
      <c r="AK36" s="32">
        <f t="shared" si="27"/>
        <v>-35364575.682033494</v>
      </c>
      <c r="AM36" s="25">
        <f t="shared" si="10"/>
        <v>-18199062.246321395</v>
      </c>
      <c r="AN36" s="25">
        <f t="shared" si="11"/>
        <v>-752885.98855331959</v>
      </c>
      <c r="AO36" s="25">
        <f t="shared" si="11"/>
        <v>-683215.94185137062</v>
      </c>
      <c r="AP36" s="25">
        <f t="shared" si="11"/>
        <v>-615793.31601077481</v>
      </c>
      <c r="AQ36" s="25">
        <f t="shared" si="11"/>
        <v>-546123.26930882595</v>
      </c>
      <c r="AR36" s="25">
        <f t="shared" si="11"/>
        <v>-478700.64346823015</v>
      </c>
      <c r="AS36" s="25">
        <f t="shared" si="11"/>
        <v>-409030.59676628112</v>
      </c>
      <c r="AT36" s="25">
        <f t="shared" si="11"/>
        <v>-339360.55006433214</v>
      </c>
      <c r="AU36" s="25">
        <f t="shared" si="11"/>
        <v>-276432.76594644273</v>
      </c>
      <c r="AV36" s="25">
        <f t="shared" si="11"/>
        <v>-206762.71924449375</v>
      </c>
      <c r="AW36" s="25">
        <f t="shared" si="11"/>
        <v>-139340.09340389795</v>
      </c>
      <c r="AX36" s="25">
        <f t="shared" si="11"/>
        <v>-69670.046701948973</v>
      </c>
      <c r="AY36" s="25">
        <f t="shared" si="11"/>
        <v>-2247.4208613531928</v>
      </c>
      <c r="AZ36" s="25">
        <f t="shared" si="12"/>
        <v>-28042765.619048379</v>
      </c>
      <c r="BA36" s="25">
        <f t="shared" si="13"/>
        <v>-22718625.598502666</v>
      </c>
    </row>
    <row r="37" spans="1:53" x14ac:dyDescent="0.15">
      <c r="A37" s="24" t="s">
        <v>327</v>
      </c>
      <c r="G37" s="32">
        <v>3918165.02</v>
      </c>
      <c r="H37" s="32">
        <f t="shared" ref="H37:AK37" si="28">+G37+SUMIF($B$224:$B$274,$A37,H$224:H$274)</f>
        <v>3918165.02</v>
      </c>
      <c r="I37" s="32">
        <f t="shared" si="28"/>
        <v>3918165.02</v>
      </c>
      <c r="J37" s="32">
        <f t="shared" si="28"/>
        <v>4906259.0602534991</v>
      </c>
      <c r="K37" s="32">
        <f t="shared" si="28"/>
        <v>4906259.0602534991</v>
      </c>
      <c r="L37" s="32">
        <f t="shared" si="28"/>
        <v>4906259.0602534991</v>
      </c>
      <c r="M37" s="32">
        <f t="shared" si="28"/>
        <v>5894353.1005069977</v>
      </c>
      <c r="N37" s="32">
        <f t="shared" si="28"/>
        <v>5894353.1005069977</v>
      </c>
      <c r="O37" s="32">
        <f t="shared" si="28"/>
        <v>5894353.1005069977</v>
      </c>
      <c r="P37" s="32">
        <f t="shared" si="28"/>
        <v>6926616.8997070175</v>
      </c>
      <c r="Q37" s="32">
        <f t="shared" si="28"/>
        <v>6926616.8997070175</v>
      </c>
      <c r="R37" s="32">
        <f t="shared" si="28"/>
        <v>6926616.8997070175</v>
      </c>
      <c r="S37" s="32">
        <f t="shared" si="28"/>
        <v>7958880.6989070382</v>
      </c>
      <c r="T37" s="32">
        <f t="shared" si="28"/>
        <v>7958880.6989070382</v>
      </c>
      <c r="U37" s="32">
        <f t="shared" si="28"/>
        <v>7958880.6989070382</v>
      </c>
      <c r="V37" s="32">
        <f t="shared" si="28"/>
        <v>8991144.4981070589</v>
      </c>
      <c r="W37" s="32">
        <f t="shared" si="28"/>
        <v>8991144.4981070589</v>
      </c>
      <c r="X37" s="32">
        <f t="shared" si="28"/>
        <v>8991144.4981070589</v>
      </c>
      <c r="Y37" s="32">
        <f t="shared" si="28"/>
        <v>10023408.29730708</v>
      </c>
      <c r="Z37" s="32">
        <f t="shared" si="28"/>
        <v>10023408.29730708</v>
      </c>
      <c r="AA37" s="32">
        <f t="shared" si="28"/>
        <v>10023408.29730708</v>
      </c>
      <c r="AB37" s="32">
        <f t="shared" si="28"/>
        <v>10794610.970281085</v>
      </c>
      <c r="AC37" s="32">
        <f t="shared" si="28"/>
        <v>10794610.970281085</v>
      </c>
      <c r="AD37" s="32">
        <f t="shared" si="28"/>
        <v>10794610.970281085</v>
      </c>
      <c r="AE37" s="32">
        <f t="shared" si="28"/>
        <v>11565813.64325509</v>
      </c>
      <c r="AF37" s="32">
        <f t="shared" si="28"/>
        <v>11565813.64325509</v>
      </c>
      <c r="AG37" s="32">
        <f t="shared" si="28"/>
        <v>11565813.64325509</v>
      </c>
      <c r="AH37" s="32">
        <f t="shared" si="28"/>
        <v>12337016.316229096</v>
      </c>
      <c r="AI37" s="32">
        <f t="shared" si="28"/>
        <v>12337016.316229096</v>
      </c>
      <c r="AJ37" s="32">
        <f t="shared" si="28"/>
        <v>12337016.316229096</v>
      </c>
      <c r="AK37" s="32">
        <f t="shared" si="28"/>
        <v>13108218.989203101</v>
      </c>
      <c r="AM37" s="25">
        <f t="shared" si="10"/>
        <v>6926616.8997070175</v>
      </c>
      <c r="AN37" s="25">
        <f t="shared" si="11"/>
        <v>295839.72914208053</v>
      </c>
      <c r="AO37" s="25">
        <f t="shared" si="11"/>
        <v>268463.51540057454</v>
      </c>
      <c r="AP37" s="25">
        <f t="shared" si="11"/>
        <v>241970.40532814944</v>
      </c>
      <c r="AQ37" s="25">
        <f t="shared" si="11"/>
        <v>214594.19158664349</v>
      </c>
      <c r="AR37" s="25">
        <f t="shared" si="11"/>
        <v>188101.08151421836</v>
      </c>
      <c r="AS37" s="25">
        <f t="shared" si="11"/>
        <v>160724.8677727124</v>
      </c>
      <c r="AT37" s="25">
        <f t="shared" si="11"/>
        <v>133348.65403120645</v>
      </c>
      <c r="AU37" s="25">
        <f t="shared" si="11"/>
        <v>108621.751296943</v>
      </c>
      <c r="AV37" s="25">
        <f t="shared" si="11"/>
        <v>81245.53755543704</v>
      </c>
      <c r="AW37" s="25">
        <f t="shared" si="11"/>
        <v>54752.42748301191</v>
      </c>
      <c r="AX37" s="25">
        <f t="shared" si="11"/>
        <v>27376.213741505955</v>
      </c>
      <c r="AY37" s="25">
        <f t="shared" si="11"/>
        <v>883.10366908083734</v>
      </c>
      <c r="AZ37" s="25">
        <f t="shared" si="12"/>
        <v>10794610.970281085</v>
      </c>
      <c r="BA37" s="25">
        <f t="shared" si="13"/>
        <v>8702538.3782285824</v>
      </c>
    </row>
    <row r="38" spans="1:53" x14ac:dyDescent="0.15">
      <c r="A38" s="24" t="s">
        <v>328</v>
      </c>
      <c r="G38" s="32">
        <v>241169.85</v>
      </c>
      <c r="H38" s="32">
        <f t="shared" ref="H38:AK38" si="29">+G38+SUMIF($B$224:$B$274,$A38,H$224:H$274)</f>
        <v>241169.85</v>
      </c>
      <c r="I38" s="32">
        <f t="shared" si="29"/>
        <v>241169.85</v>
      </c>
      <c r="J38" s="32">
        <f t="shared" si="29"/>
        <v>241169.85</v>
      </c>
      <c r="K38" s="32">
        <f t="shared" si="29"/>
        <v>241169.85</v>
      </c>
      <c r="L38" s="32">
        <f t="shared" si="29"/>
        <v>241169.85</v>
      </c>
      <c r="M38" s="32">
        <f t="shared" si="29"/>
        <v>241169.85</v>
      </c>
      <c r="N38" s="32">
        <f t="shared" si="29"/>
        <v>241169.85</v>
      </c>
      <c r="O38" s="32">
        <f t="shared" si="29"/>
        <v>241169.85</v>
      </c>
      <c r="P38" s="32">
        <f t="shared" si="29"/>
        <v>241169.85</v>
      </c>
      <c r="Q38" s="32">
        <f t="shared" si="29"/>
        <v>241169.85</v>
      </c>
      <c r="R38" s="32">
        <f t="shared" si="29"/>
        <v>241169.85</v>
      </c>
      <c r="S38" s="32">
        <f t="shared" si="29"/>
        <v>241169.85</v>
      </c>
      <c r="T38" s="32">
        <f t="shared" si="29"/>
        <v>241169.85</v>
      </c>
      <c r="U38" s="32">
        <f t="shared" si="29"/>
        <v>241169.85</v>
      </c>
      <c r="V38" s="32">
        <f t="shared" si="29"/>
        <v>241169.85</v>
      </c>
      <c r="W38" s="32">
        <f t="shared" si="29"/>
        <v>241169.85</v>
      </c>
      <c r="X38" s="32">
        <f t="shared" si="29"/>
        <v>241169.85</v>
      </c>
      <c r="Y38" s="32">
        <f t="shared" si="29"/>
        <v>241169.85</v>
      </c>
      <c r="Z38" s="32">
        <f t="shared" si="29"/>
        <v>241169.85</v>
      </c>
      <c r="AA38" s="32">
        <f t="shared" si="29"/>
        <v>241169.85</v>
      </c>
      <c r="AB38" s="32">
        <f t="shared" si="29"/>
        <v>241169.85</v>
      </c>
      <c r="AC38" s="32">
        <f t="shared" si="29"/>
        <v>241169.85</v>
      </c>
      <c r="AD38" s="32">
        <f t="shared" si="29"/>
        <v>241169.85</v>
      </c>
      <c r="AE38" s="32">
        <f t="shared" si="29"/>
        <v>241169.85</v>
      </c>
      <c r="AF38" s="32">
        <f t="shared" si="29"/>
        <v>241169.85</v>
      </c>
      <c r="AG38" s="32">
        <f t="shared" si="29"/>
        <v>241169.85</v>
      </c>
      <c r="AH38" s="32">
        <f t="shared" si="29"/>
        <v>241169.85</v>
      </c>
      <c r="AI38" s="32">
        <f t="shared" si="29"/>
        <v>241169.85</v>
      </c>
      <c r="AJ38" s="32">
        <f t="shared" si="29"/>
        <v>241169.85</v>
      </c>
      <c r="AK38" s="32">
        <f t="shared" si="29"/>
        <v>241169.85</v>
      </c>
      <c r="AM38" s="25">
        <f t="shared" si="10"/>
        <v>241169.85</v>
      </c>
      <c r="AN38" s="25">
        <f t="shared" si="11"/>
        <v>0</v>
      </c>
      <c r="AO38" s="25">
        <f t="shared" si="11"/>
        <v>0</v>
      </c>
      <c r="AP38" s="25">
        <f t="shared" si="11"/>
        <v>0</v>
      </c>
      <c r="AQ38" s="25">
        <f t="shared" si="11"/>
        <v>0</v>
      </c>
      <c r="AR38" s="25">
        <f t="shared" si="11"/>
        <v>0</v>
      </c>
      <c r="AS38" s="25">
        <f t="shared" si="11"/>
        <v>0</v>
      </c>
      <c r="AT38" s="25">
        <f t="shared" si="11"/>
        <v>0</v>
      </c>
      <c r="AU38" s="25">
        <f t="shared" si="11"/>
        <v>0</v>
      </c>
      <c r="AV38" s="25">
        <f t="shared" si="11"/>
        <v>0</v>
      </c>
      <c r="AW38" s="25">
        <f t="shared" si="11"/>
        <v>0</v>
      </c>
      <c r="AX38" s="25">
        <f t="shared" si="11"/>
        <v>0</v>
      </c>
      <c r="AY38" s="25">
        <f t="shared" si="11"/>
        <v>0</v>
      </c>
      <c r="AZ38" s="25">
        <f t="shared" si="12"/>
        <v>241169.85</v>
      </c>
      <c r="BA38" s="25">
        <f t="shared" si="13"/>
        <v>241169.85</v>
      </c>
    </row>
    <row r="39" spans="1:53" x14ac:dyDescent="0.15">
      <c r="A39" s="24" t="s">
        <v>42</v>
      </c>
      <c r="G39" s="32">
        <v>-40468.019999999997</v>
      </c>
      <c r="H39" s="32">
        <f t="shared" ref="H39:AK39" si="30">+G39+SUMIF($B$224:$B$274,$A39,H$224:H$274)</f>
        <v>-40468.019999999997</v>
      </c>
      <c r="I39" s="32">
        <f t="shared" si="30"/>
        <v>-40468.019999999997</v>
      </c>
      <c r="J39" s="32">
        <f t="shared" si="30"/>
        <v>-40468.017504999989</v>
      </c>
      <c r="K39" s="32">
        <f t="shared" si="30"/>
        <v>-40468.017504999989</v>
      </c>
      <c r="L39" s="32">
        <f t="shared" si="30"/>
        <v>-40468.017504999989</v>
      </c>
      <c r="M39" s="32">
        <f t="shared" si="30"/>
        <v>-40468.015009999981</v>
      </c>
      <c r="N39" s="32">
        <f t="shared" si="30"/>
        <v>-40468.015009999981</v>
      </c>
      <c r="O39" s="32">
        <f t="shared" si="30"/>
        <v>-40468.015009999981</v>
      </c>
      <c r="P39" s="32">
        <f t="shared" si="30"/>
        <v>-34078.317514999973</v>
      </c>
      <c r="Q39" s="32">
        <f t="shared" si="30"/>
        <v>-34078.317514999973</v>
      </c>
      <c r="R39" s="32">
        <f t="shared" si="30"/>
        <v>-34078.317514999973</v>
      </c>
      <c r="S39" s="32">
        <f t="shared" si="30"/>
        <v>-27688.620019999969</v>
      </c>
      <c r="T39" s="32">
        <f t="shared" si="30"/>
        <v>-27688.620019999969</v>
      </c>
      <c r="U39" s="32">
        <f t="shared" si="30"/>
        <v>-27688.620019999969</v>
      </c>
      <c r="V39" s="32">
        <f t="shared" si="30"/>
        <v>-21298.922524999965</v>
      </c>
      <c r="W39" s="32">
        <f t="shared" si="30"/>
        <v>-21298.922524999965</v>
      </c>
      <c r="X39" s="32">
        <f t="shared" si="30"/>
        <v>-21298.922524999965</v>
      </c>
      <c r="Y39" s="32">
        <f t="shared" si="30"/>
        <v>-14909.225029999961</v>
      </c>
      <c r="Z39" s="32">
        <f t="shared" si="30"/>
        <v>-14909.225029999961</v>
      </c>
      <c r="AA39" s="32">
        <f t="shared" si="30"/>
        <v>-14909.225029999961</v>
      </c>
      <c r="AB39" s="32">
        <f t="shared" si="30"/>
        <v>-11181.926441249961</v>
      </c>
      <c r="AC39" s="32">
        <f t="shared" si="30"/>
        <v>-11181.926441249961</v>
      </c>
      <c r="AD39" s="32">
        <f t="shared" si="30"/>
        <v>-11181.926441249961</v>
      </c>
      <c r="AE39" s="32">
        <f t="shared" si="30"/>
        <v>-7454.6278524999616</v>
      </c>
      <c r="AF39" s="32">
        <f t="shared" si="30"/>
        <v>-7454.6278524999616</v>
      </c>
      <c r="AG39" s="32">
        <f t="shared" si="30"/>
        <v>-7454.6278524999616</v>
      </c>
      <c r="AH39" s="32">
        <f t="shared" si="30"/>
        <v>-3727.3292637499612</v>
      </c>
      <c r="AI39" s="32">
        <f t="shared" si="30"/>
        <v>-3727.3292637499612</v>
      </c>
      <c r="AJ39" s="32">
        <f t="shared" si="30"/>
        <v>-3727.3292637499612</v>
      </c>
      <c r="AK39" s="32">
        <f t="shared" si="30"/>
        <v>-3.0674999960865534E-2</v>
      </c>
      <c r="AM39" s="25">
        <f t="shared" si="10"/>
        <v>-34078.317514999973</v>
      </c>
      <c r="AN39" s="25">
        <f t="shared" si="11"/>
        <v>1751.2079930836196</v>
      </c>
      <c r="AO39" s="25">
        <f t="shared" si="11"/>
        <v>1589.1559101415535</v>
      </c>
      <c r="AP39" s="25">
        <f t="shared" si="11"/>
        <v>1432.3313137460054</v>
      </c>
      <c r="AQ39" s="25">
        <f t="shared" si="11"/>
        <v>1270.2792308039391</v>
      </c>
      <c r="AR39" s="25">
        <f t="shared" si="11"/>
        <v>1113.454634408391</v>
      </c>
      <c r="AS39" s="25">
        <f t="shared" si="11"/>
        <v>951.40255146632467</v>
      </c>
      <c r="AT39" s="25">
        <f t="shared" si="11"/>
        <v>789.35046852425842</v>
      </c>
      <c r="AU39" s="25">
        <f t="shared" si="11"/>
        <v>642.9808452217469</v>
      </c>
      <c r="AV39" s="25">
        <f t="shared" si="11"/>
        <v>480.92876227968065</v>
      </c>
      <c r="AW39" s="25">
        <f t="shared" si="11"/>
        <v>324.10416588413256</v>
      </c>
      <c r="AX39" s="25">
        <f t="shared" si="11"/>
        <v>162.05208294206628</v>
      </c>
      <c r="AY39" s="25">
        <f t="shared" si="11"/>
        <v>5.2274865465182678</v>
      </c>
      <c r="AZ39" s="25">
        <f t="shared" si="12"/>
        <v>-11181.926441249961</v>
      </c>
      <c r="BA39" s="25">
        <f t="shared" si="13"/>
        <v>-23565.842069951734</v>
      </c>
    </row>
    <row r="40" spans="1:53" x14ac:dyDescent="0.15">
      <c r="A40" s="24" t="s">
        <v>43</v>
      </c>
      <c r="G40" s="32">
        <v>607167.99</v>
      </c>
      <c r="H40" s="32">
        <f t="shared" ref="H40:AK40" si="31">+G40+SUMIF($B$224:$B$274,$A40,H$224:H$274)</f>
        <v>607167.99</v>
      </c>
      <c r="I40" s="32">
        <f t="shared" si="31"/>
        <v>607167.99</v>
      </c>
      <c r="J40" s="32">
        <f t="shared" si="31"/>
        <v>607167.99</v>
      </c>
      <c r="K40" s="32">
        <f t="shared" si="31"/>
        <v>607167.99</v>
      </c>
      <c r="L40" s="32">
        <f t="shared" si="31"/>
        <v>607167.99</v>
      </c>
      <c r="M40" s="32">
        <f t="shared" si="31"/>
        <v>607167.99</v>
      </c>
      <c r="N40" s="32">
        <f t="shared" si="31"/>
        <v>607167.99</v>
      </c>
      <c r="O40" s="32">
        <f t="shared" si="31"/>
        <v>607167.99</v>
      </c>
      <c r="P40" s="32">
        <f t="shared" si="31"/>
        <v>607167.99</v>
      </c>
      <c r="Q40" s="32">
        <f t="shared" si="31"/>
        <v>607167.99</v>
      </c>
      <c r="R40" s="32">
        <f t="shared" si="31"/>
        <v>607167.99</v>
      </c>
      <c r="S40" s="32">
        <f t="shared" si="31"/>
        <v>607167.99</v>
      </c>
      <c r="T40" s="32">
        <f t="shared" si="31"/>
        <v>607167.99</v>
      </c>
      <c r="U40" s="32">
        <f t="shared" si="31"/>
        <v>607167.99</v>
      </c>
      <c r="V40" s="32">
        <f t="shared" si="31"/>
        <v>607167.99</v>
      </c>
      <c r="W40" s="32">
        <f t="shared" si="31"/>
        <v>607167.99</v>
      </c>
      <c r="X40" s="32">
        <f t="shared" si="31"/>
        <v>607167.99</v>
      </c>
      <c r="Y40" s="32">
        <f t="shared" si="31"/>
        <v>607167.99</v>
      </c>
      <c r="Z40" s="32">
        <f t="shared" si="31"/>
        <v>607167.99</v>
      </c>
      <c r="AA40" s="32">
        <f t="shared" si="31"/>
        <v>607167.99</v>
      </c>
      <c r="AB40" s="32">
        <f t="shared" si="31"/>
        <v>607167.99</v>
      </c>
      <c r="AC40" s="32">
        <f t="shared" si="31"/>
        <v>607167.99</v>
      </c>
      <c r="AD40" s="32">
        <f t="shared" si="31"/>
        <v>607167.99</v>
      </c>
      <c r="AE40" s="32">
        <f t="shared" si="31"/>
        <v>607167.99</v>
      </c>
      <c r="AF40" s="32">
        <f t="shared" si="31"/>
        <v>607167.99</v>
      </c>
      <c r="AG40" s="32">
        <f t="shared" si="31"/>
        <v>607167.99</v>
      </c>
      <c r="AH40" s="32">
        <f t="shared" si="31"/>
        <v>607167.99</v>
      </c>
      <c r="AI40" s="32">
        <f t="shared" si="31"/>
        <v>607167.99</v>
      </c>
      <c r="AJ40" s="32">
        <f t="shared" si="31"/>
        <v>607167.99</v>
      </c>
      <c r="AK40" s="32">
        <f t="shared" si="31"/>
        <v>607167.99</v>
      </c>
      <c r="AM40" s="25">
        <f t="shared" si="10"/>
        <v>607167.99</v>
      </c>
      <c r="AN40" s="25">
        <f t="shared" si="11"/>
        <v>0</v>
      </c>
      <c r="AO40" s="25">
        <f t="shared" si="11"/>
        <v>0</v>
      </c>
      <c r="AP40" s="25">
        <f t="shared" si="11"/>
        <v>0</v>
      </c>
      <c r="AQ40" s="25">
        <f t="shared" si="11"/>
        <v>0</v>
      </c>
      <c r="AR40" s="25">
        <f t="shared" si="11"/>
        <v>0</v>
      </c>
      <c r="AS40" s="25">
        <f t="shared" si="11"/>
        <v>0</v>
      </c>
      <c r="AT40" s="25">
        <f t="shared" si="11"/>
        <v>0</v>
      </c>
      <c r="AU40" s="25">
        <f t="shared" si="11"/>
        <v>0</v>
      </c>
      <c r="AV40" s="25">
        <f t="shared" si="11"/>
        <v>0</v>
      </c>
      <c r="AW40" s="25">
        <f t="shared" si="11"/>
        <v>0</v>
      </c>
      <c r="AX40" s="25">
        <f t="shared" si="11"/>
        <v>0</v>
      </c>
      <c r="AY40" s="25">
        <f t="shared" si="11"/>
        <v>0</v>
      </c>
      <c r="AZ40" s="25">
        <f t="shared" si="12"/>
        <v>607167.99</v>
      </c>
      <c r="BA40" s="25">
        <f t="shared" si="13"/>
        <v>607167.99</v>
      </c>
    </row>
    <row r="41" spans="1:53" x14ac:dyDescent="0.15">
      <c r="A41" s="24" t="s">
        <v>44</v>
      </c>
      <c r="G41" s="32">
        <v>-7178759.5300000003</v>
      </c>
      <c r="H41" s="32">
        <f t="shared" ref="H41:AK41" si="32">+G41+SUMIF($B$224:$B$274,$A41,H$224:H$274)</f>
        <v>-7178759.5300000003</v>
      </c>
      <c r="I41" s="32">
        <f t="shared" si="32"/>
        <v>-7178759.5300000003</v>
      </c>
      <c r="J41" s="32">
        <f t="shared" si="32"/>
        <v>-8911619.8640000001</v>
      </c>
      <c r="K41" s="32">
        <f t="shared" si="32"/>
        <v>-8911619.8640000001</v>
      </c>
      <c r="L41" s="32">
        <f t="shared" si="32"/>
        <v>-8911619.8640000001</v>
      </c>
      <c r="M41" s="32">
        <f t="shared" si="32"/>
        <v>-10644480.198000001</v>
      </c>
      <c r="N41" s="32">
        <f t="shared" si="32"/>
        <v>-10644480.198000001</v>
      </c>
      <c r="O41" s="32">
        <f t="shared" si="32"/>
        <v>-10644480.198000001</v>
      </c>
      <c r="P41" s="32">
        <f t="shared" si="32"/>
        <v>-13362022.067933751</v>
      </c>
      <c r="Q41" s="32">
        <f t="shared" si="32"/>
        <v>-13362022.067933751</v>
      </c>
      <c r="R41" s="32">
        <f t="shared" si="32"/>
        <v>-13362022.067933751</v>
      </c>
      <c r="S41" s="32">
        <f t="shared" si="32"/>
        <v>-16079563.937867502</v>
      </c>
      <c r="T41" s="32">
        <f t="shared" si="32"/>
        <v>-16079563.937867502</v>
      </c>
      <c r="U41" s="32">
        <f t="shared" si="32"/>
        <v>-16079563.937867502</v>
      </c>
      <c r="V41" s="32">
        <f t="shared" si="32"/>
        <v>-18797105.807801254</v>
      </c>
      <c r="W41" s="32">
        <f t="shared" si="32"/>
        <v>-18797105.807801254</v>
      </c>
      <c r="X41" s="32">
        <f t="shared" si="32"/>
        <v>-18797105.807801254</v>
      </c>
      <c r="Y41" s="32">
        <f t="shared" si="32"/>
        <v>-21514647.677735005</v>
      </c>
      <c r="Z41" s="32">
        <f t="shared" si="32"/>
        <v>-21514647.677735005</v>
      </c>
      <c r="AA41" s="32">
        <f t="shared" si="32"/>
        <v>-21514647.677735005</v>
      </c>
      <c r="AB41" s="32">
        <f t="shared" si="32"/>
        <v>-22826652.147760004</v>
      </c>
      <c r="AC41" s="32">
        <f t="shared" si="32"/>
        <v>-22826652.147760004</v>
      </c>
      <c r="AD41" s="32">
        <f t="shared" si="32"/>
        <v>-22826652.147760004</v>
      </c>
      <c r="AE41" s="32">
        <f t="shared" si="32"/>
        <v>-24138656.617785003</v>
      </c>
      <c r="AF41" s="32">
        <f t="shared" si="32"/>
        <v>-24138656.617785003</v>
      </c>
      <c r="AG41" s="32">
        <f t="shared" si="32"/>
        <v>-24138656.617785003</v>
      </c>
      <c r="AH41" s="32">
        <f t="shared" si="32"/>
        <v>-25450661.087810002</v>
      </c>
      <c r="AI41" s="32">
        <f t="shared" si="32"/>
        <v>-25450661.087810002</v>
      </c>
      <c r="AJ41" s="32">
        <f t="shared" si="32"/>
        <v>-25450661.087810002</v>
      </c>
      <c r="AK41" s="32">
        <f t="shared" si="32"/>
        <v>-26762665.557835001</v>
      </c>
      <c r="AM41" s="25">
        <f t="shared" si="10"/>
        <v>-13362022.067933751</v>
      </c>
      <c r="AN41" s="25">
        <f t="shared" si="11"/>
        <v>-723892.93989538692</v>
      </c>
      <c r="AO41" s="25">
        <f t="shared" si="11"/>
        <v>-656905.83202447055</v>
      </c>
      <c r="AP41" s="25">
        <f t="shared" si="11"/>
        <v>-592079.59860100306</v>
      </c>
      <c r="AQ41" s="25">
        <f t="shared" si="11"/>
        <v>-525092.49073008669</v>
      </c>
      <c r="AR41" s="25">
        <f t="shared" si="11"/>
        <v>-460266.2573066192</v>
      </c>
      <c r="AS41" s="25">
        <f t="shared" si="11"/>
        <v>-393279.14943570277</v>
      </c>
      <c r="AT41" s="25">
        <f t="shared" si="11"/>
        <v>-326292.04156478634</v>
      </c>
      <c r="AU41" s="25">
        <f t="shared" si="11"/>
        <v>-265787.55703621672</v>
      </c>
      <c r="AV41" s="25">
        <f t="shared" si="11"/>
        <v>-198800.44916530032</v>
      </c>
      <c r="AW41" s="25">
        <f t="shared" si="11"/>
        <v>-133974.2157418328</v>
      </c>
      <c r="AX41" s="25">
        <f t="shared" si="11"/>
        <v>-66987.107870916399</v>
      </c>
      <c r="AY41" s="25">
        <f t="shared" si="11"/>
        <v>-2160.8744474489163</v>
      </c>
      <c r="AZ41" s="25">
        <f t="shared" si="12"/>
        <v>-22826652.147760004</v>
      </c>
      <c r="BA41" s="25">
        <f t="shared" si="13"/>
        <v>-17707540.581753522</v>
      </c>
    </row>
    <row r="42" spans="1:53" x14ac:dyDescent="0.15">
      <c r="A42" s="24" t="s">
        <v>45</v>
      </c>
      <c r="G42" s="32">
        <v>7273.02</v>
      </c>
      <c r="H42" s="32">
        <f t="shared" ref="H42:AK42" si="33">+G42+SUMIF($B$224:$B$274,$A42,H$224:H$274)</f>
        <v>7273.02</v>
      </c>
      <c r="I42" s="32">
        <f t="shared" si="33"/>
        <v>7273.02</v>
      </c>
      <c r="J42" s="32">
        <f t="shared" si="33"/>
        <v>7273.02</v>
      </c>
      <c r="K42" s="32">
        <f t="shared" si="33"/>
        <v>7273.02</v>
      </c>
      <c r="L42" s="32">
        <f t="shared" si="33"/>
        <v>7273.02</v>
      </c>
      <c r="M42" s="32">
        <f t="shared" si="33"/>
        <v>7273.02</v>
      </c>
      <c r="N42" s="32">
        <f t="shared" si="33"/>
        <v>7273.02</v>
      </c>
      <c r="O42" s="32">
        <f t="shared" si="33"/>
        <v>7273.02</v>
      </c>
      <c r="P42" s="32">
        <f t="shared" si="33"/>
        <v>7273.02</v>
      </c>
      <c r="Q42" s="32">
        <f t="shared" si="33"/>
        <v>7273.02</v>
      </c>
      <c r="R42" s="32">
        <f t="shared" si="33"/>
        <v>7273.02</v>
      </c>
      <c r="S42" s="32">
        <f t="shared" si="33"/>
        <v>7273.02</v>
      </c>
      <c r="T42" s="32">
        <f t="shared" si="33"/>
        <v>7273.02</v>
      </c>
      <c r="U42" s="32">
        <f t="shared" si="33"/>
        <v>7273.02</v>
      </c>
      <c r="V42" s="32">
        <f t="shared" si="33"/>
        <v>7273.02</v>
      </c>
      <c r="W42" s="32">
        <f t="shared" si="33"/>
        <v>7273.02</v>
      </c>
      <c r="X42" s="32">
        <f t="shared" si="33"/>
        <v>7273.02</v>
      </c>
      <c r="Y42" s="32">
        <f t="shared" si="33"/>
        <v>7273.02</v>
      </c>
      <c r="Z42" s="32">
        <f t="shared" si="33"/>
        <v>7273.02</v>
      </c>
      <c r="AA42" s="32">
        <f t="shared" si="33"/>
        <v>7273.02</v>
      </c>
      <c r="AB42" s="32">
        <f t="shared" si="33"/>
        <v>7273.02</v>
      </c>
      <c r="AC42" s="32">
        <f t="shared" si="33"/>
        <v>7273.02</v>
      </c>
      <c r="AD42" s="32">
        <f t="shared" si="33"/>
        <v>7273.02</v>
      </c>
      <c r="AE42" s="32">
        <f t="shared" si="33"/>
        <v>7273.02</v>
      </c>
      <c r="AF42" s="32">
        <f t="shared" si="33"/>
        <v>7273.02</v>
      </c>
      <c r="AG42" s="32">
        <f t="shared" si="33"/>
        <v>7273.02</v>
      </c>
      <c r="AH42" s="32">
        <f t="shared" si="33"/>
        <v>7273.02</v>
      </c>
      <c r="AI42" s="32">
        <f t="shared" si="33"/>
        <v>7273.02</v>
      </c>
      <c r="AJ42" s="32">
        <f t="shared" si="33"/>
        <v>7273.02</v>
      </c>
      <c r="AK42" s="32">
        <f t="shared" si="33"/>
        <v>7273.02</v>
      </c>
      <c r="AM42" s="25">
        <f t="shared" si="10"/>
        <v>7273.02</v>
      </c>
      <c r="AN42" s="25">
        <f t="shared" si="11"/>
        <v>0</v>
      </c>
      <c r="AO42" s="25">
        <f t="shared" si="11"/>
        <v>0</v>
      </c>
      <c r="AP42" s="25">
        <f t="shared" si="11"/>
        <v>0</v>
      </c>
      <c r="AQ42" s="25">
        <f t="shared" ref="AQ42:AY51" si="34">($AZ42-$AM42)/12*AQ$6</f>
        <v>0</v>
      </c>
      <c r="AR42" s="25">
        <f t="shared" si="34"/>
        <v>0</v>
      </c>
      <c r="AS42" s="25">
        <f t="shared" si="34"/>
        <v>0</v>
      </c>
      <c r="AT42" s="25">
        <f t="shared" si="34"/>
        <v>0</v>
      </c>
      <c r="AU42" s="25">
        <f t="shared" si="34"/>
        <v>0</v>
      </c>
      <c r="AV42" s="25">
        <f t="shared" si="34"/>
        <v>0</v>
      </c>
      <c r="AW42" s="25">
        <f t="shared" si="34"/>
        <v>0</v>
      </c>
      <c r="AX42" s="25">
        <f t="shared" si="34"/>
        <v>0</v>
      </c>
      <c r="AY42" s="25">
        <f t="shared" si="34"/>
        <v>0</v>
      </c>
      <c r="AZ42" s="25">
        <f t="shared" si="12"/>
        <v>7273.02</v>
      </c>
      <c r="BA42" s="25">
        <f t="shared" si="13"/>
        <v>7273.02</v>
      </c>
    </row>
    <row r="43" spans="1:53" x14ac:dyDescent="0.15">
      <c r="A43" s="24" t="s">
        <v>46</v>
      </c>
      <c r="G43" s="32">
        <v>148205.07</v>
      </c>
      <c r="H43" s="32">
        <f t="shared" ref="H43:AK43" si="35">+G43+SUMIF($B$224:$B$274,$A43,H$224:H$274)</f>
        <v>148205.07</v>
      </c>
      <c r="I43" s="32">
        <f t="shared" si="35"/>
        <v>148205.07</v>
      </c>
      <c r="J43" s="32">
        <f t="shared" si="35"/>
        <v>243323.88737750001</v>
      </c>
      <c r="K43" s="32">
        <f t="shared" si="35"/>
        <v>243323.88737750001</v>
      </c>
      <c r="L43" s="32">
        <f t="shared" si="35"/>
        <v>243323.88737750001</v>
      </c>
      <c r="M43" s="32">
        <f t="shared" si="35"/>
        <v>338442.70475500001</v>
      </c>
      <c r="N43" s="32">
        <f t="shared" si="35"/>
        <v>338442.70475500001</v>
      </c>
      <c r="O43" s="32">
        <f t="shared" si="35"/>
        <v>338442.70475500001</v>
      </c>
      <c r="P43" s="32">
        <f t="shared" si="35"/>
        <v>273448.3352425</v>
      </c>
      <c r="Q43" s="32">
        <f t="shared" si="35"/>
        <v>273448.3352425</v>
      </c>
      <c r="R43" s="32">
        <f t="shared" si="35"/>
        <v>273448.3352425</v>
      </c>
      <c r="S43" s="32">
        <f t="shared" si="35"/>
        <v>208453.96573</v>
      </c>
      <c r="T43" s="32">
        <f t="shared" si="35"/>
        <v>208453.96573</v>
      </c>
      <c r="U43" s="32">
        <f t="shared" si="35"/>
        <v>208453.96573</v>
      </c>
      <c r="V43" s="32">
        <f t="shared" si="35"/>
        <v>143459.59621749999</v>
      </c>
      <c r="W43" s="32">
        <f t="shared" si="35"/>
        <v>143459.59621749999</v>
      </c>
      <c r="X43" s="32">
        <f t="shared" si="35"/>
        <v>143459.59621749999</v>
      </c>
      <c r="Y43" s="32">
        <f t="shared" si="35"/>
        <v>78465.226704999979</v>
      </c>
      <c r="Z43" s="32">
        <f t="shared" si="35"/>
        <v>78465.226704999979</v>
      </c>
      <c r="AA43" s="32">
        <f t="shared" si="35"/>
        <v>78465.226704999979</v>
      </c>
      <c r="AB43" s="32">
        <f t="shared" si="35"/>
        <v>78465.226704999979</v>
      </c>
      <c r="AC43" s="32">
        <f t="shared" si="35"/>
        <v>78465.226704999979</v>
      </c>
      <c r="AD43" s="32">
        <f t="shared" si="35"/>
        <v>78465.226704999979</v>
      </c>
      <c r="AE43" s="32">
        <f t="shared" si="35"/>
        <v>78465.226704999979</v>
      </c>
      <c r="AF43" s="32">
        <f t="shared" si="35"/>
        <v>78465.226704999979</v>
      </c>
      <c r="AG43" s="32">
        <f t="shared" si="35"/>
        <v>78465.226704999979</v>
      </c>
      <c r="AH43" s="32">
        <f t="shared" si="35"/>
        <v>78465.226704999979</v>
      </c>
      <c r="AI43" s="32">
        <f t="shared" si="35"/>
        <v>78465.226704999979</v>
      </c>
      <c r="AJ43" s="32">
        <f t="shared" si="35"/>
        <v>78465.226704999979</v>
      </c>
      <c r="AK43" s="32">
        <f t="shared" si="35"/>
        <v>78465.226704999979</v>
      </c>
      <c r="AM43" s="25">
        <f t="shared" si="10"/>
        <v>273448.3352425</v>
      </c>
      <c r="AN43" s="25">
        <f t="shared" ref="AN43:AN94" si="36">($AZ43-$AM43)/12*AN$6</f>
        <v>-14913.091634717468</v>
      </c>
      <c r="AO43" s="25">
        <f t="shared" ref="AO43:AP65" si="37">($AZ43-$AM43)/12*AO$6</f>
        <v>-13533.074199863016</v>
      </c>
      <c r="AP43" s="25">
        <f t="shared" si="37"/>
        <v>-12197.573456455482</v>
      </c>
      <c r="AQ43" s="25">
        <f t="shared" si="34"/>
        <v>-10817.556021601029</v>
      </c>
      <c r="AR43" s="25">
        <f t="shared" si="34"/>
        <v>-9482.0552781934948</v>
      </c>
      <c r="AS43" s="25">
        <f t="shared" si="34"/>
        <v>-8102.0378433390424</v>
      </c>
      <c r="AT43" s="25">
        <f t="shared" si="34"/>
        <v>-6722.02040848459</v>
      </c>
      <c r="AU43" s="25">
        <f t="shared" si="34"/>
        <v>-5475.5530479708914</v>
      </c>
      <c r="AV43" s="25">
        <f t="shared" si="34"/>
        <v>-4095.5356131164394</v>
      </c>
      <c r="AW43" s="25">
        <f t="shared" si="34"/>
        <v>-2760.0348697089044</v>
      </c>
      <c r="AX43" s="25">
        <f t="shared" si="34"/>
        <v>-1380.0174348544522</v>
      </c>
      <c r="AY43" s="25">
        <f t="shared" si="34"/>
        <v>-44.516691446917811</v>
      </c>
      <c r="AZ43" s="25">
        <f t="shared" si="12"/>
        <v>78465.226704999979</v>
      </c>
      <c r="BA43" s="25">
        <f t="shared" si="13"/>
        <v>183925.2687427483</v>
      </c>
    </row>
    <row r="44" spans="1:53" x14ac:dyDescent="0.15">
      <c r="A44" s="24" t="s">
        <v>47</v>
      </c>
      <c r="G44" s="32">
        <v>-100277.04</v>
      </c>
      <c r="H44" s="32">
        <f t="shared" ref="H44:AK44" si="38">+G44+SUMIF($B$224:$B$274,$A44,H$224:H$274)</f>
        <v>-100277.04</v>
      </c>
      <c r="I44" s="32">
        <f t="shared" si="38"/>
        <v>-100277.04</v>
      </c>
      <c r="J44" s="32">
        <f t="shared" si="38"/>
        <v>-100277.04</v>
      </c>
      <c r="K44" s="32">
        <f t="shared" si="38"/>
        <v>-100277.04</v>
      </c>
      <c r="L44" s="32">
        <f t="shared" si="38"/>
        <v>-100277.04</v>
      </c>
      <c r="M44" s="32">
        <f t="shared" si="38"/>
        <v>-100277.04</v>
      </c>
      <c r="N44" s="32">
        <f t="shared" si="38"/>
        <v>-100277.04</v>
      </c>
      <c r="O44" s="32">
        <f t="shared" si="38"/>
        <v>-100277.04</v>
      </c>
      <c r="P44" s="32">
        <f t="shared" si="38"/>
        <v>-100277.04</v>
      </c>
      <c r="Q44" s="32">
        <f t="shared" si="38"/>
        <v>-100277.04</v>
      </c>
      <c r="R44" s="32">
        <f t="shared" si="38"/>
        <v>-100277.04</v>
      </c>
      <c r="S44" s="32">
        <f t="shared" si="38"/>
        <v>-100277.04</v>
      </c>
      <c r="T44" s="32">
        <f t="shared" si="38"/>
        <v>-100277.04</v>
      </c>
      <c r="U44" s="32">
        <f t="shared" si="38"/>
        <v>-100277.04</v>
      </c>
      <c r="V44" s="32">
        <f t="shared" si="38"/>
        <v>-100277.04</v>
      </c>
      <c r="W44" s="32">
        <f t="shared" si="38"/>
        <v>-100277.04</v>
      </c>
      <c r="X44" s="32">
        <f t="shared" si="38"/>
        <v>-100277.04</v>
      </c>
      <c r="Y44" s="32">
        <f t="shared" si="38"/>
        <v>-100277.04</v>
      </c>
      <c r="Z44" s="32">
        <f t="shared" si="38"/>
        <v>-100277.04</v>
      </c>
      <c r="AA44" s="32">
        <f t="shared" si="38"/>
        <v>-100277.04</v>
      </c>
      <c r="AB44" s="32">
        <f t="shared" si="38"/>
        <v>-100277.04</v>
      </c>
      <c r="AC44" s="32">
        <f t="shared" si="38"/>
        <v>-100277.04</v>
      </c>
      <c r="AD44" s="32">
        <f t="shared" si="38"/>
        <v>-100277.04</v>
      </c>
      <c r="AE44" s="32">
        <f t="shared" si="38"/>
        <v>-100277.04</v>
      </c>
      <c r="AF44" s="32">
        <f t="shared" si="38"/>
        <v>-100277.04</v>
      </c>
      <c r="AG44" s="32">
        <f t="shared" si="38"/>
        <v>-100277.04</v>
      </c>
      <c r="AH44" s="32">
        <f t="shared" si="38"/>
        <v>-100277.04</v>
      </c>
      <c r="AI44" s="32">
        <f t="shared" si="38"/>
        <v>-100277.04</v>
      </c>
      <c r="AJ44" s="32">
        <f t="shared" si="38"/>
        <v>-100277.04</v>
      </c>
      <c r="AK44" s="32">
        <f t="shared" si="38"/>
        <v>-100277.04</v>
      </c>
      <c r="AM44" s="25">
        <f t="shared" si="10"/>
        <v>-100277.04</v>
      </c>
      <c r="AN44" s="25">
        <f t="shared" si="36"/>
        <v>0</v>
      </c>
      <c r="AO44" s="25">
        <f t="shared" si="37"/>
        <v>0</v>
      </c>
      <c r="AP44" s="25">
        <f t="shared" si="37"/>
        <v>0</v>
      </c>
      <c r="AQ44" s="25">
        <f t="shared" si="34"/>
        <v>0</v>
      </c>
      <c r="AR44" s="25">
        <f t="shared" si="34"/>
        <v>0</v>
      </c>
      <c r="AS44" s="25">
        <f t="shared" si="34"/>
        <v>0</v>
      </c>
      <c r="AT44" s="25">
        <f t="shared" si="34"/>
        <v>0</v>
      </c>
      <c r="AU44" s="25">
        <f t="shared" si="34"/>
        <v>0</v>
      </c>
      <c r="AV44" s="25">
        <f t="shared" si="34"/>
        <v>0</v>
      </c>
      <c r="AW44" s="25">
        <f t="shared" si="34"/>
        <v>0</v>
      </c>
      <c r="AX44" s="25">
        <f t="shared" si="34"/>
        <v>0</v>
      </c>
      <c r="AY44" s="25">
        <f t="shared" si="34"/>
        <v>0</v>
      </c>
      <c r="AZ44" s="25">
        <f t="shared" si="12"/>
        <v>-100277.04</v>
      </c>
      <c r="BA44" s="25">
        <f t="shared" si="13"/>
        <v>-100277.04</v>
      </c>
    </row>
    <row r="45" spans="1:53" x14ac:dyDescent="0.15">
      <c r="A45" s="24" t="s">
        <v>48</v>
      </c>
      <c r="G45" s="32">
        <v>-1166798852.1199999</v>
      </c>
      <c r="H45" s="32">
        <f t="shared" ref="H45:AK45" si="39">+G45+SUMIF($B$224:$B$274,$A45,H$224:H$274)</f>
        <v>-1166798852.1199999</v>
      </c>
      <c r="I45" s="32">
        <f t="shared" si="39"/>
        <v>-1166798852.1199999</v>
      </c>
      <c r="J45" s="32">
        <f t="shared" si="39"/>
        <v>-1164503803.5558493</v>
      </c>
      <c r="K45" s="32">
        <f t="shared" si="39"/>
        <v>-1164503803.5558493</v>
      </c>
      <c r="L45" s="32">
        <f t="shared" si="39"/>
        <v>-1164503803.5558493</v>
      </c>
      <c r="M45" s="32">
        <f t="shared" si="39"/>
        <v>-1161941302.8043008</v>
      </c>
      <c r="N45" s="32">
        <f t="shared" si="39"/>
        <v>-1161941302.8043008</v>
      </c>
      <c r="O45" s="32">
        <f t="shared" si="39"/>
        <v>-1161941302.8043008</v>
      </c>
      <c r="P45" s="32">
        <f t="shared" si="39"/>
        <v>-1158211227.8334324</v>
      </c>
      <c r="Q45" s="32">
        <f t="shared" si="39"/>
        <v>-1156910355.6349182</v>
      </c>
      <c r="R45" s="32">
        <f t="shared" si="39"/>
        <v>-1156910355.6349182</v>
      </c>
      <c r="S45" s="32">
        <f t="shared" si="39"/>
        <v>-1154473250.8625638</v>
      </c>
      <c r="T45" s="32">
        <f t="shared" si="39"/>
        <v>-1154473250.8625638</v>
      </c>
      <c r="U45" s="32">
        <f t="shared" si="39"/>
        <v>-1154473250.8625638</v>
      </c>
      <c r="V45" s="32">
        <f t="shared" si="39"/>
        <v>-1150731321.8916955</v>
      </c>
      <c r="W45" s="32">
        <f t="shared" si="39"/>
        <v>-1150731321.8916955</v>
      </c>
      <c r="X45" s="32">
        <f t="shared" si="39"/>
        <v>-1150731321.8916955</v>
      </c>
      <c r="Y45" s="32">
        <f t="shared" si="39"/>
        <v>-1146989393.3868842</v>
      </c>
      <c r="Z45" s="32">
        <f t="shared" si="39"/>
        <v>-1146989393.3868842</v>
      </c>
      <c r="AA45" s="32">
        <f t="shared" si="39"/>
        <v>-1146989393.3868842</v>
      </c>
      <c r="AB45" s="32">
        <f t="shared" si="39"/>
        <v>-1142432268.0954423</v>
      </c>
      <c r="AC45" s="32">
        <f t="shared" si="39"/>
        <v>-1140846889.1290443</v>
      </c>
      <c r="AD45" s="32">
        <f t="shared" si="39"/>
        <v>-1140846889.1290443</v>
      </c>
      <c r="AE45" s="32">
        <f t="shared" si="39"/>
        <v>-1137875142.8040004</v>
      </c>
      <c r="AF45" s="32">
        <f t="shared" si="39"/>
        <v>-1137875142.8040004</v>
      </c>
      <c r="AG45" s="32">
        <f t="shared" si="39"/>
        <v>-1137875142.8040004</v>
      </c>
      <c r="AH45" s="32">
        <f t="shared" si="39"/>
        <v>-1133318017.5125585</v>
      </c>
      <c r="AI45" s="32">
        <f t="shared" si="39"/>
        <v>-1133318017.5125585</v>
      </c>
      <c r="AJ45" s="32">
        <f t="shared" si="39"/>
        <v>-1133318017.5125585</v>
      </c>
      <c r="AK45" s="32">
        <f t="shared" si="39"/>
        <v>-1128760892.2211165</v>
      </c>
      <c r="AM45" s="25">
        <f t="shared" si="10"/>
        <v>-1156910355.6349182</v>
      </c>
      <c r="AN45" s="25">
        <f t="shared" si="36"/>
        <v>1228598.4656319094</v>
      </c>
      <c r="AO45" s="25">
        <f t="shared" si="37"/>
        <v>1114907.2643346281</v>
      </c>
      <c r="AP45" s="25">
        <f t="shared" si="37"/>
        <v>1004883.5211437109</v>
      </c>
      <c r="AQ45" s="25">
        <f t="shared" si="34"/>
        <v>891192.31984642986</v>
      </c>
      <c r="AR45" s="25">
        <f t="shared" si="34"/>
        <v>781168.57665551256</v>
      </c>
      <c r="AS45" s="25">
        <f t="shared" si="34"/>
        <v>667477.37535823137</v>
      </c>
      <c r="AT45" s="25">
        <f t="shared" si="34"/>
        <v>553786.17406095017</v>
      </c>
      <c r="AU45" s="25">
        <f t="shared" si="34"/>
        <v>451097.34708276077</v>
      </c>
      <c r="AV45" s="25">
        <f t="shared" si="34"/>
        <v>337406.14578547963</v>
      </c>
      <c r="AW45" s="25">
        <f t="shared" si="34"/>
        <v>227382.40259456233</v>
      </c>
      <c r="AX45" s="25">
        <f t="shared" si="34"/>
        <v>113691.20129728116</v>
      </c>
      <c r="AY45" s="25">
        <f t="shared" si="34"/>
        <v>3667.4581063639084</v>
      </c>
      <c r="AZ45" s="25">
        <f t="shared" si="12"/>
        <v>-1140846889.1290443</v>
      </c>
      <c r="BA45" s="25">
        <f t="shared" si="13"/>
        <v>-1149535097.3830199</v>
      </c>
    </row>
    <row r="46" spans="1:53" x14ac:dyDescent="0.15">
      <c r="A46" s="24" t="s">
        <v>49</v>
      </c>
      <c r="G46" s="32">
        <v>-105888022.7</v>
      </c>
      <c r="H46" s="32">
        <f t="shared" ref="H46:AK46" si="40">+G46+SUMIF($B$224:$B$274,$A46,H$224:H$274)</f>
        <v>-105888022.7</v>
      </c>
      <c r="I46" s="32">
        <f t="shared" si="40"/>
        <v>-105888022.7</v>
      </c>
      <c r="J46" s="32">
        <f t="shared" si="40"/>
        <v>-105684885.67114082</v>
      </c>
      <c r="K46" s="32">
        <f t="shared" si="40"/>
        <v>-105684885.67114082</v>
      </c>
      <c r="L46" s="32">
        <f t="shared" si="40"/>
        <v>-105684885.67114082</v>
      </c>
      <c r="M46" s="32">
        <f t="shared" si="40"/>
        <v>-105418717.99485442</v>
      </c>
      <c r="N46" s="32">
        <f t="shared" si="40"/>
        <v>-105418717.99485442</v>
      </c>
      <c r="O46" s="32">
        <f t="shared" si="40"/>
        <v>-105418717.99485442</v>
      </c>
      <c r="P46" s="32">
        <f t="shared" si="40"/>
        <v>-105039803.37018037</v>
      </c>
      <c r="Q46" s="32">
        <f t="shared" si="40"/>
        <v>-105039803.37018037</v>
      </c>
      <c r="R46" s="32">
        <f t="shared" si="40"/>
        <v>-105039803.37018037</v>
      </c>
      <c r="S46" s="32">
        <f t="shared" si="40"/>
        <v>-104660888.74550632</v>
      </c>
      <c r="T46" s="32">
        <f t="shared" si="40"/>
        <v>-104660888.74550632</v>
      </c>
      <c r="U46" s="32">
        <f t="shared" si="40"/>
        <v>-104660888.74550632</v>
      </c>
      <c r="V46" s="32">
        <f t="shared" si="40"/>
        <v>-104281974.12083226</v>
      </c>
      <c r="W46" s="32">
        <f t="shared" si="40"/>
        <v>-104281974.12083226</v>
      </c>
      <c r="X46" s="32">
        <f t="shared" si="40"/>
        <v>-104281974.12083226</v>
      </c>
      <c r="Y46" s="32">
        <f t="shared" si="40"/>
        <v>-103903059.49615821</v>
      </c>
      <c r="Z46" s="32">
        <f t="shared" si="40"/>
        <v>-103903059.49615821</v>
      </c>
      <c r="AA46" s="32">
        <f t="shared" si="40"/>
        <v>-103903059.49615821</v>
      </c>
      <c r="AB46" s="32">
        <f t="shared" si="40"/>
        <v>-103504164.55287498</v>
      </c>
      <c r="AC46" s="32">
        <f t="shared" si="40"/>
        <v>-103504164.55287498</v>
      </c>
      <c r="AD46" s="32">
        <f t="shared" si="40"/>
        <v>-103504164.55287498</v>
      </c>
      <c r="AE46" s="32">
        <f t="shared" si="40"/>
        <v>-103105269.60959175</v>
      </c>
      <c r="AF46" s="32">
        <f t="shared" si="40"/>
        <v>-103105269.60959175</v>
      </c>
      <c r="AG46" s="32">
        <f t="shared" si="40"/>
        <v>-103105269.60959175</v>
      </c>
      <c r="AH46" s="32">
        <f t="shared" si="40"/>
        <v>-102706374.66630852</v>
      </c>
      <c r="AI46" s="32">
        <f t="shared" si="40"/>
        <v>-102706374.66630852</v>
      </c>
      <c r="AJ46" s="32">
        <f t="shared" si="40"/>
        <v>-102706374.66630852</v>
      </c>
      <c r="AK46" s="32">
        <f t="shared" si="40"/>
        <v>-102307479.72302529</v>
      </c>
      <c r="AM46" s="25">
        <f t="shared" si="10"/>
        <v>-105039803.37018037</v>
      </c>
      <c r="AN46" s="25">
        <f t="shared" si="36"/>
        <v>117451.82735098273</v>
      </c>
      <c r="AO46" s="25">
        <f t="shared" si="37"/>
        <v>106583.15079014552</v>
      </c>
      <c r="AP46" s="25">
        <f t="shared" si="37"/>
        <v>96065.07669901273</v>
      </c>
      <c r="AQ46" s="25">
        <f t="shared" si="34"/>
        <v>85196.400138175537</v>
      </c>
      <c r="AR46" s="25">
        <f t="shared" si="34"/>
        <v>74678.326047042749</v>
      </c>
      <c r="AS46" s="25">
        <f t="shared" si="34"/>
        <v>63809.649486205541</v>
      </c>
      <c r="AT46" s="25">
        <f t="shared" si="34"/>
        <v>52940.972925368333</v>
      </c>
      <c r="AU46" s="25">
        <f t="shared" si="34"/>
        <v>43124.103773644405</v>
      </c>
      <c r="AV46" s="25">
        <f t="shared" si="34"/>
        <v>32255.427212807197</v>
      </c>
      <c r="AW46" s="25">
        <f t="shared" si="34"/>
        <v>21737.353121674412</v>
      </c>
      <c r="AX46" s="25">
        <f t="shared" si="34"/>
        <v>10868.676560837206</v>
      </c>
      <c r="AY46" s="25">
        <f t="shared" si="34"/>
        <v>350.60246970442603</v>
      </c>
      <c r="AZ46" s="25">
        <f t="shared" si="12"/>
        <v>-103504164.55287498</v>
      </c>
      <c r="BA46" s="25">
        <f t="shared" si="13"/>
        <v>-104334741.8036048</v>
      </c>
    </row>
    <row r="47" spans="1:53" x14ac:dyDescent="0.15">
      <c r="A47" s="24" t="s">
        <v>97</v>
      </c>
      <c r="G47" s="32">
        <v>761543.01</v>
      </c>
      <c r="H47" s="32">
        <f t="shared" ref="H47:AK47" si="41">+G47+SUMIF($B$224:$B$274,$A47,H$224:H$274)</f>
        <v>761543.01</v>
      </c>
      <c r="I47" s="32">
        <f t="shared" si="41"/>
        <v>761543.01</v>
      </c>
      <c r="J47" s="32">
        <f t="shared" si="41"/>
        <v>987622.58242667303</v>
      </c>
      <c r="K47" s="32">
        <f t="shared" si="41"/>
        <v>987622.58242667303</v>
      </c>
      <c r="L47" s="32">
        <f t="shared" si="41"/>
        <v>987622.58242667303</v>
      </c>
      <c r="M47" s="32">
        <f t="shared" si="41"/>
        <v>406987.71445237799</v>
      </c>
      <c r="N47" s="32">
        <f t="shared" si="41"/>
        <v>406987.71445237799</v>
      </c>
      <c r="O47" s="32">
        <f t="shared" si="41"/>
        <v>406987.71445237799</v>
      </c>
      <c r="P47" s="32">
        <f t="shared" si="41"/>
        <v>2298363.3289487576</v>
      </c>
      <c r="Q47" s="32">
        <f t="shared" si="41"/>
        <v>2298363.3289487576</v>
      </c>
      <c r="R47" s="32">
        <f t="shared" si="41"/>
        <v>2298363.3289487576</v>
      </c>
      <c r="S47" s="32">
        <f t="shared" si="41"/>
        <v>1015171.7989775576</v>
      </c>
      <c r="T47" s="32">
        <f t="shared" si="41"/>
        <v>1015171.7989775576</v>
      </c>
      <c r="U47" s="32">
        <f t="shared" si="41"/>
        <v>1015171.7989775576</v>
      </c>
      <c r="V47" s="32">
        <f t="shared" si="41"/>
        <v>1479500.6461076485</v>
      </c>
      <c r="W47" s="32">
        <f t="shared" si="41"/>
        <v>1479500.6461076485</v>
      </c>
      <c r="X47" s="32">
        <f t="shared" si="41"/>
        <v>1479500.6461076485</v>
      </c>
      <c r="Y47" s="32">
        <f t="shared" si="41"/>
        <v>406987.71445238846</v>
      </c>
      <c r="Z47" s="32">
        <f t="shared" si="41"/>
        <v>406987.71445238846</v>
      </c>
      <c r="AA47" s="32">
        <f t="shared" si="41"/>
        <v>406987.71445238846</v>
      </c>
      <c r="AB47" s="32">
        <f t="shared" si="41"/>
        <v>2859849.339188098</v>
      </c>
      <c r="AC47" s="32">
        <f t="shared" si="41"/>
        <v>2298363.3296754202</v>
      </c>
      <c r="AD47" s="32">
        <f t="shared" si="41"/>
        <v>2859849.339188098</v>
      </c>
      <c r="AE47" s="32">
        <f t="shared" si="41"/>
        <v>798026.25307966815</v>
      </c>
      <c r="AF47" s="32">
        <f t="shared" si="41"/>
        <v>798026.25307966815</v>
      </c>
      <c r="AG47" s="32">
        <f t="shared" si="41"/>
        <v>798026.25307966815</v>
      </c>
      <c r="AH47" s="32">
        <f t="shared" si="41"/>
        <v>1754915.0023380271</v>
      </c>
      <c r="AI47" s="32">
        <f t="shared" si="41"/>
        <v>1754915.0023380271</v>
      </c>
      <c r="AJ47" s="32">
        <f t="shared" si="41"/>
        <v>1754915.0023380271</v>
      </c>
      <c r="AK47" s="32">
        <f t="shared" si="41"/>
        <v>406987.71445239708</v>
      </c>
      <c r="AM47" s="25">
        <f t="shared" si="10"/>
        <v>2298363.3289487576</v>
      </c>
      <c r="AN47" s="25">
        <f t="shared" si="36"/>
        <v>5.5578073750347852E-5</v>
      </c>
      <c r="AO47" s="25">
        <f t="shared" si="37"/>
        <v>5.0435028119718645E-5</v>
      </c>
      <c r="AP47" s="25">
        <f t="shared" si="37"/>
        <v>4.5457887186851675E-5</v>
      </c>
      <c r="AQ47" s="25">
        <f t="shared" si="34"/>
        <v>4.0314841556222475E-5</v>
      </c>
      <c r="AR47" s="25">
        <f t="shared" si="34"/>
        <v>3.5337700623355499E-5</v>
      </c>
      <c r="AS47" s="25">
        <f t="shared" si="34"/>
        <v>3.0194654992726295E-5</v>
      </c>
      <c r="AT47" s="25">
        <f t="shared" si="34"/>
        <v>2.5051609362097092E-5</v>
      </c>
      <c r="AU47" s="25">
        <f t="shared" si="34"/>
        <v>2.0406277824754583E-5</v>
      </c>
      <c r="AV47" s="25">
        <f t="shared" si="34"/>
        <v>1.526323219412538E-5</v>
      </c>
      <c r="AW47" s="25">
        <f t="shared" si="34"/>
        <v>1.0286091261258407E-5</v>
      </c>
      <c r="AX47" s="25">
        <f t="shared" si="34"/>
        <v>5.1430456306292035E-6</v>
      </c>
      <c r="AY47" s="25">
        <f t="shared" si="34"/>
        <v>1.6590469776223239E-7</v>
      </c>
      <c r="AZ47" s="25">
        <f t="shared" si="12"/>
        <v>2298363.3296754202</v>
      </c>
      <c r="BA47" s="25">
        <f t="shared" si="13"/>
        <v>2298363.3292823918</v>
      </c>
    </row>
    <row r="48" spans="1:53" x14ac:dyDescent="0.15">
      <c r="A48" s="24" t="s">
        <v>50</v>
      </c>
      <c r="G48" s="32">
        <v>-32743.58</v>
      </c>
      <c r="H48" s="32">
        <f t="shared" ref="H48:AK48" si="42">+G48+SUMIF($B$224:$B$274,$A48,H$224:H$274)</f>
        <v>-32743.58</v>
      </c>
      <c r="I48" s="32">
        <f t="shared" si="42"/>
        <v>-32743.58</v>
      </c>
      <c r="J48" s="32">
        <f t="shared" si="42"/>
        <v>-32743.58</v>
      </c>
      <c r="K48" s="32">
        <f t="shared" si="42"/>
        <v>-32743.58</v>
      </c>
      <c r="L48" s="32">
        <f t="shared" si="42"/>
        <v>-32743.58</v>
      </c>
      <c r="M48" s="32">
        <f t="shared" si="42"/>
        <v>-32743.58</v>
      </c>
      <c r="N48" s="32">
        <f t="shared" si="42"/>
        <v>-32743.58</v>
      </c>
      <c r="O48" s="32">
        <f t="shared" si="42"/>
        <v>-32743.58</v>
      </c>
      <c r="P48" s="32">
        <f t="shared" si="42"/>
        <v>-32743.58</v>
      </c>
      <c r="Q48" s="32">
        <f t="shared" si="42"/>
        <v>-32743.58</v>
      </c>
      <c r="R48" s="32">
        <f t="shared" si="42"/>
        <v>-32743.58</v>
      </c>
      <c r="S48" s="32">
        <f t="shared" si="42"/>
        <v>-32743.58</v>
      </c>
      <c r="T48" s="32">
        <f t="shared" si="42"/>
        <v>-32743.58</v>
      </c>
      <c r="U48" s="32">
        <f t="shared" si="42"/>
        <v>-32743.58</v>
      </c>
      <c r="V48" s="32">
        <f t="shared" si="42"/>
        <v>-32743.58</v>
      </c>
      <c r="W48" s="32">
        <f t="shared" si="42"/>
        <v>-32743.58</v>
      </c>
      <c r="X48" s="32">
        <f t="shared" si="42"/>
        <v>-32743.58</v>
      </c>
      <c r="Y48" s="32">
        <f t="shared" si="42"/>
        <v>-32743.58</v>
      </c>
      <c r="Z48" s="32">
        <f t="shared" si="42"/>
        <v>-32743.58</v>
      </c>
      <c r="AA48" s="32">
        <f t="shared" si="42"/>
        <v>-32743.58</v>
      </c>
      <c r="AB48" s="32">
        <f t="shared" si="42"/>
        <v>-32743.58</v>
      </c>
      <c r="AC48" s="32">
        <f t="shared" si="42"/>
        <v>-32743.58</v>
      </c>
      <c r="AD48" s="32">
        <f t="shared" si="42"/>
        <v>-32743.58</v>
      </c>
      <c r="AE48" s="32">
        <f t="shared" si="42"/>
        <v>-32743.58</v>
      </c>
      <c r="AF48" s="32">
        <f t="shared" si="42"/>
        <v>-32743.58</v>
      </c>
      <c r="AG48" s="32">
        <f t="shared" si="42"/>
        <v>-32743.58</v>
      </c>
      <c r="AH48" s="32">
        <f t="shared" si="42"/>
        <v>-32743.58</v>
      </c>
      <c r="AI48" s="32">
        <f t="shared" si="42"/>
        <v>-32743.58</v>
      </c>
      <c r="AJ48" s="32">
        <f t="shared" si="42"/>
        <v>-32743.58</v>
      </c>
      <c r="AK48" s="32">
        <f t="shared" si="42"/>
        <v>-32743.58</v>
      </c>
      <c r="AM48" s="25">
        <f t="shared" si="10"/>
        <v>-32743.58</v>
      </c>
      <c r="AN48" s="25">
        <f t="shared" si="36"/>
        <v>0</v>
      </c>
      <c r="AO48" s="25">
        <f t="shared" si="37"/>
        <v>0</v>
      </c>
      <c r="AP48" s="25">
        <f t="shared" si="37"/>
        <v>0</v>
      </c>
      <c r="AQ48" s="25">
        <f t="shared" si="34"/>
        <v>0</v>
      </c>
      <c r="AR48" s="25">
        <f t="shared" si="34"/>
        <v>0</v>
      </c>
      <c r="AS48" s="25">
        <f t="shared" si="34"/>
        <v>0</v>
      </c>
      <c r="AT48" s="25">
        <f t="shared" si="34"/>
        <v>0</v>
      </c>
      <c r="AU48" s="25">
        <f t="shared" si="34"/>
        <v>0</v>
      </c>
      <c r="AV48" s="25">
        <f t="shared" si="34"/>
        <v>0</v>
      </c>
      <c r="AW48" s="25">
        <f t="shared" si="34"/>
        <v>0</v>
      </c>
      <c r="AX48" s="25">
        <f t="shared" si="34"/>
        <v>0</v>
      </c>
      <c r="AY48" s="25">
        <f t="shared" si="34"/>
        <v>0</v>
      </c>
      <c r="AZ48" s="25">
        <f t="shared" si="12"/>
        <v>-32743.58</v>
      </c>
      <c r="BA48" s="25">
        <f t="shared" si="13"/>
        <v>-32743.58</v>
      </c>
    </row>
    <row r="49" spans="1:53" x14ac:dyDescent="0.15">
      <c r="A49" s="24" t="s">
        <v>51</v>
      </c>
      <c r="G49" s="32">
        <v>1364985.56</v>
      </c>
      <c r="H49" s="32">
        <f t="shared" ref="H49:AK49" si="43">+G49+SUMIF($B$224:$B$274,$A49,H$224:H$274)</f>
        <v>1364985.56</v>
      </c>
      <c r="I49" s="32">
        <f t="shared" si="43"/>
        <v>1364985.56</v>
      </c>
      <c r="J49" s="32">
        <f t="shared" si="43"/>
        <v>1920772.8808217046</v>
      </c>
      <c r="K49" s="32">
        <f t="shared" si="43"/>
        <v>1920772.8808217046</v>
      </c>
      <c r="L49" s="32">
        <f t="shared" si="43"/>
        <v>1920772.8808217046</v>
      </c>
      <c r="M49" s="32">
        <f t="shared" si="43"/>
        <v>2476560.2016434092</v>
      </c>
      <c r="N49" s="32">
        <f t="shared" si="43"/>
        <v>2476560.2016434092</v>
      </c>
      <c r="O49" s="32">
        <f t="shared" si="43"/>
        <v>2476560.2016434092</v>
      </c>
      <c r="P49" s="32">
        <f t="shared" si="43"/>
        <v>2071346.3585385499</v>
      </c>
      <c r="Q49" s="32">
        <f t="shared" si="43"/>
        <v>2071346.3585385499</v>
      </c>
      <c r="R49" s="32">
        <f t="shared" si="43"/>
        <v>2071346.3585385499</v>
      </c>
      <c r="S49" s="32">
        <f t="shared" si="43"/>
        <v>1666132.5154336905</v>
      </c>
      <c r="T49" s="32">
        <f t="shared" si="43"/>
        <v>1666132.5154336905</v>
      </c>
      <c r="U49" s="32">
        <f t="shared" si="43"/>
        <v>1666132.5154336905</v>
      </c>
      <c r="V49" s="32">
        <f t="shared" si="43"/>
        <v>1260918.6723288312</v>
      </c>
      <c r="W49" s="32">
        <f t="shared" si="43"/>
        <v>1260918.6723288312</v>
      </c>
      <c r="X49" s="32">
        <f t="shared" si="43"/>
        <v>1260918.6723288312</v>
      </c>
      <c r="Y49" s="32">
        <f t="shared" si="43"/>
        <v>855704.82922397193</v>
      </c>
      <c r="Z49" s="32">
        <f t="shared" si="43"/>
        <v>855704.82922397193</v>
      </c>
      <c r="AA49" s="32">
        <f t="shared" si="43"/>
        <v>855704.82922397193</v>
      </c>
      <c r="AB49" s="32">
        <f t="shared" si="43"/>
        <v>810282.37853165064</v>
      </c>
      <c r="AC49" s="32">
        <f t="shared" si="43"/>
        <v>810282.37853165064</v>
      </c>
      <c r="AD49" s="32">
        <f t="shared" si="43"/>
        <v>810282.37853165064</v>
      </c>
      <c r="AE49" s="32">
        <f t="shared" si="43"/>
        <v>764859.92783932947</v>
      </c>
      <c r="AF49" s="32">
        <f t="shared" si="43"/>
        <v>764859.92783932947</v>
      </c>
      <c r="AG49" s="32">
        <f t="shared" si="43"/>
        <v>764859.92783932947</v>
      </c>
      <c r="AH49" s="32">
        <f t="shared" si="43"/>
        <v>719437.47714700829</v>
      </c>
      <c r="AI49" s="32">
        <f t="shared" si="43"/>
        <v>719437.47714700829</v>
      </c>
      <c r="AJ49" s="32">
        <f t="shared" si="43"/>
        <v>719437.47714700829</v>
      </c>
      <c r="AK49" s="32">
        <f t="shared" si="43"/>
        <v>674015.02645468712</v>
      </c>
      <c r="AM49" s="25">
        <f t="shared" si="10"/>
        <v>2071346.3585385499</v>
      </c>
      <c r="AN49" s="25">
        <f t="shared" si="36"/>
        <v>-96451.240479979737</v>
      </c>
      <c r="AO49" s="25">
        <f t="shared" si="37"/>
        <v>-87525.901808698036</v>
      </c>
      <c r="AP49" s="25">
        <f t="shared" si="37"/>
        <v>-78888.477288102833</v>
      </c>
      <c r="AQ49" s="25">
        <f t="shared" si="34"/>
        <v>-69963.138616821132</v>
      </c>
      <c r="AR49" s="25">
        <f t="shared" si="34"/>
        <v>-61325.714096225929</v>
      </c>
      <c r="AS49" s="25">
        <f t="shared" si="34"/>
        <v>-52400.375424944214</v>
      </c>
      <c r="AT49" s="25">
        <f t="shared" si="34"/>
        <v>-43475.036753662513</v>
      </c>
      <c r="AU49" s="25">
        <f t="shared" si="34"/>
        <v>-35413.44053444032</v>
      </c>
      <c r="AV49" s="25">
        <f t="shared" si="34"/>
        <v>-26488.101863158616</v>
      </c>
      <c r="AW49" s="25">
        <f t="shared" si="34"/>
        <v>-17850.677342563413</v>
      </c>
      <c r="AX49" s="25">
        <f t="shared" si="34"/>
        <v>-8925.3386712817064</v>
      </c>
      <c r="AY49" s="25">
        <f t="shared" si="34"/>
        <v>-287.91415068650667</v>
      </c>
      <c r="AZ49" s="25">
        <f t="shared" si="12"/>
        <v>810282.37853165064</v>
      </c>
      <c r="BA49" s="25">
        <f t="shared" si="13"/>
        <v>1492351.0015079854</v>
      </c>
    </row>
    <row r="50" spans="1:53" x14ac:dyDescent="0.15">
      <c r="A50" s="24" t="s">
        <v>329</v>
      </c>
      <c r="G50" s="32">
        <v>765628.17</v>
      </c>
      <c r="H50" s="32">
        <f t="shared" ref="H50:AK50" si="44">+G50+SUMIF($B$224:$B$274,$A50,H$224:H$274)</f>
        <v>765628.17</v>
      </c>
      <c r="I50" s="32">
        <f t="shared" si="44"/>
        <v>765628.17</v>
      </c>
      <c r="J50" s="32">
        <f t="shared" si="44"/>
        <v>765628.17</v>
      </c>
      <c r="K50" s="32">
        <f t="shared" si="44"/>
        <v>765628.17</v>
      </c>
      <c r="L50" s="32">
        <f t="shared" si="44"/>
        <v>765628.17</v>
      </c>
      <c r="M50" s="32">
        <f t="shared" si="44"/>
        <v>765628.17</v>
      </c>
      <c r="N50" s="32">
        <f t="shared" si="44"/>
        <v>765628.17</v>
      </c>
      <c r="O50" s="32">
        <f t="shared" si="44"/>
        <v>765628.17</v>
      </c>
      <c r="P50" s="32">
        <f t="shared" si="44"/>
        <v>765628.17</v>
      </c>
      <c r="Q50" s="32">
        <f t="shared" si="44"/>
        <v>765628.17</v>
      </c>
      <c r="R50" s="32">
        <f t="shared" si="44"/>
        <v>765628.17</v>
      </c>
      <c r="S50" s="32">
        <f t="shared" si="44"/>
        <v>765628.17</v>
      </c>
      <c r="T50" s="32">
        <f t="shared" si="44"/>
        <v>765628.17</v>
      </c>
      <c r="U50" s="32">
        <f t="shared" si="44"/>
        <v>765628.17</v>
      </c>
      <c r="V50" s="32">
        <f t="shared" si="44"/>
        <v>765628.17</v>
      </c>
      <c r="W50" s="32">
        <f t="shared" si="44"/>
        <v>765628.17</v>
      </c>
      <c r="X50" s="32">
        <f t="shared" si="44"/>
        <v>765628.17</v>
      </c>
      <c r="Y50" s="32">
        <f t="shared" si="44"/>
        <v>765628.17</v>
      </c>
      <c r="Z50" s="32">
        <f t="shared" si="44"/>
        <v>765628.17</v>
      </c>
      <c r="AA50" s="32">
        <f t="shared" si="44"/>
        <v>765628.17</v>
      </c>
      <c r="AB50" s="32">
        <f t="shared" si="44"/>
        <v>765628.17</v>
      </c>
      <c r="AC50" s="32">
        <f t="shared" si="44"/>
        <v>765628.17</v>
      </c>
      <c r="AD50" s="32">
        <f t="shared" si="44"/>
        <v>765628.17</v>
      </c>
      <c r="AE50" s="32">
        <f t="shared" si="44"/>
        <v>765628.17</v>
      </c>
      <c r="AF50" s="32">
        <f t="shared" si="44"/>
        <v>765628.17</v>
      </c>
      <c r="AG50" s="32">
        <f t="shared" si="44"/>
        <v>765628.17</v>
      </c>
      <c r="AH50" s="32">
        <f t="shared" si="44"/>
        <v>765628.17</v>
      </c>
      <c r="AI50" s="32">
        <f t="shared" si="44"/>
        <v>765628.17</v>
      </c>
      <c r="AJ50" s="32">
        <f t="shared" si="44"/>
        <v>765628.17</v>
      </c>
      <c r="AK50" s="32">
        <f t="shared" si="44"/>
        <v>765628.17</v>
      </c>
      <c r="AM50" s="25">
        <f t="shared" si="10"/>
        <v>765628.17</v>
      </c>
      <c r="AN50" s="25">
        <f t="shared" si="36"/>
        <v>0</v>
      </c>
      <c r="AO50" s="25">
        <f t="shared" si="37"/>
        <v>0</v>
      </c>
      <c r="AP50" s="25">
        <f t="shared" si="37"/>
        <v>0</v>
      </c>
      <c r="AQ50" s="25">
        <f t="shared" si="34"/>
        <v>0</v>
      </c>
      <c r="AR50" s="25">
        <f t="shared" si="34"/>
        <v>0</v>
      </c>
      <c r="AS50" s="25">
        <f t="shared" si="34"/>
        <v>0</v>
      </c>
      <c r="AT50" s="25">
        <f t="shared" si="34"/>
        <v>0</v>
      </c>
      <c r="AU50" s="25">
        <f t="shared" si="34"/>
        <v>0</v>
      </c>
      <c r="AV50" s="25">
        <f t="shared" si="34"/>
        <v>0</v>
      </c>
      <c r="AW50" s="25">
        <f t="shared" si="34"/>
        <v>0</v>
      </c>
      <c r="AX50" s="25">
        <f t="shared" si="34"/>
        <v>0</v>
      </c>
      <c r="AY50" s="25">
        <f t="shared" si="34"/>
        <v>0</v>
      </c>
      <c r="AZ50" s="25">
        <f t="shared" si="12"/>
        <v>765628.17</v>
      </c>
      <c r="BA50" s="25">
        <f t="shared" si="13"/>
        <v>765628.17</v>
      </c>
    </row>
    <row r="51" spans="1:53" x14ac:dyDescent="0.15">
      <c r="A51" s="24" t="s">
        <v>52</v>
      </c>
      <c r="G51" s="32">
        <v>68467.539999999994</v>
      </c>
      <c r="H51" s="32">
        <f t="shared" ref="H51:AK51" si="45">+G51+SUMIF($B$224:$B$274,$A51,H$224:H$274)</f>
        <v>68467.539999999994</v>
      </c>
      <c r="I51" s="32">
        <f t="shared" si="45"/>
        <v>68467.539999999994</v>
      </c>
      <c r="J51" s="32">
        <f t="shared" si="45"/>
        <v>63355.8534645951</v>
      </c>
      <c r="K51" s="32">
        <f t="shared" si="45"/>
        <v>63355.8534645951</v>
      </c>
      <c r="L51" s="32">
        <f t="shared" si="45"/>
        <v>63355.8534645951</v>
      </c>
      <c r="M51" s="32">
        <f t="shared" si="45"/>
        <v>58244.166929190207</v>
      </c>
      <c r="N51" s="32">
        <f t="shared" si="45"/>
        <v>58244.166929190207</v>
      </c>
      <c r="O51" s="32">
        <f t="shared" si="45"/>
        <v>58244.166929190207</v>
      </c>
      <c r="P51" s="32">
        <f t="shared" si="45"/>
        <v>21771.515670592096</v>
      </c>
      <c r="Q51" s="32">
        <f t="shared" si="45"/>
        <v>21771.515670592096</v>
      </c>
      <c r="R51" s="32">
        <f t="shared" si="45"/>
        <v>21771.515670592096</v>
      </c>
      <c r="S51" s="32">
        <f t="shared" si="45"/>
        <v>-14701.135588006015</v>
      </c>
      <c r="T51" s="32">
        <f t="shared" si="45"/>
        <v>-14701.135588006015</v>
      </c>
      <c r="U51" s="32">
        <f t="shared" si="45"/>
        <v>-14701.135588006015</v>
      </c>
      <c r="V51" s="32">
        <f t="shared" si="45"/>
        <v>-51173.786846604125</v>
      </c>
      <c r="W51" s="32">
        <f t="shared" si="45"/>
        <v>-51173.786846604125</v>
      </c>
      <c r="X51" s="32">
        <f t="shared" si="45"/>
        <v>-51173.786846604125</v>
      </c>
      <c r="Y51" s="32">
        <f t="shared" si="45"/>
        <v>-87646.438105202236</v>
      </c>
      <c r="Z51" s="32">
        <f t="shared" si="45"/>
        <v>-87646.438105202236</v>
      </c>
      <c r="AA51" s="32">
        <f t="shared" si="45"/>
        <v>-87646.438105202236</v>
      </c>
      <c r="AB51" s="32">
        <f t="shared" si="45"/>
        <v>-56010.585356269614</v>
      </c>
      <c r="AC51" s="32">
        <f t="shared" si="45"/>
        <v>-56010.585356269614</v>
      </c>
      <c r="AD51" s="32">
        <f t="shared" si="45"/>
        <v>-56010.585356269614</v>
      </c>
      <c r="AE51" s="32">
        <f t="shared" si="45"/>
        <v>-24374.732607336988</v>
      </c>
      <c r="AF51" s="32">
        <f t="shared" si="45"/>
        <v>-24374.732607336988</v>
      </c>
      <c r="AG51" s="32">
        <f t="shared" si="45"/>
        <v>-24374.732607336988</v>
      </c>
      <c r="AH51" s="32">
        <f t="shared" si="45"/>
        <v>7261.1201415956384</v>
      </c>
      <c r="AI51" s="32">
        <f t="shared" si="45"/>
        <v>7261.1201415956384</v>
      </c>
      <c r="AJ51" s="32">
        <f t="shared" si="45"/>
        <v>7261.1201415956384</v>
      </c>
      <c r="AK51" s="32">
        <f t="shared" si="45"/>
        <v>38896.972890528268</v>
      </c>
      <c r="AM51" s="25">
        <f t="shared" si="10"/>
        <v>21771.515670592096</v>
      </c>
      <c r="AN51" s="25">
        <f t="shared" si="36"/>
        <v>-5949.0876356161352</v>
      </c>
      <c r="AO51" s="25">
        <f t="shared" si="37"/>
        <v>-5398.5750484397176</v>
      </c>
      <c r="AP51" s="25">
        <f t="shared" si="37"/>
        <v>-4865.8209318173767</v>
      </c>
      <c r="AQ51" s="25">
        <f t="shared" si="34"/>
        <v>-4315.3083446409582</v>
      </c>
      <c r="AR51" s="25">
        <f t="shared" si="34"/>
        <v>-3782.5542280186178</v>
      </c>
      <c r="AS51" s="25">
        <f t="shared" si="34"/>
        <v>-3232.0416408421993</v>
      </c>
      <c r="AT51" s="25">
        <f t="shared" si="34"/>
        <v>-2681.5290536657808</v>
      </c>
      <c r="AU51" s="25">
        <f t="shared" si="34"/>
        <v>-2184.2918781515959</v>
      </c>
      <c r="AV51" s="25">
        <f t="shared" si="34"/>
        <v>-1633.7792909751777</v>
      </c>
      <c r="AW51" s="25">
        <f t="shared" si="34"/>
        <v>-1101.025174352837</v>
      </c>
      <c r="AX51" s="25">
        <f t="shared" si="34"/>
        <v>-550.51258717641849</v>
      </c>
      <c r="AY51" s="25">
        <f t="shared" si="34"/>
        <v>-17.758470554078016</v>
      </c>
      <c r="AZ51" s="25">
        <f t="shared" si="12"/>
        <v>-56010.585356269614</v>
      </c>
      <c r="BA51" s="25">
        <f t="shared" si="13"/>
        <v>-13940.768613658796</v>
      </c>
    </row>
    <row r="52" spans="1:53" x14ac:dyDescent="0.15">
      <c r="A52" s="24" t="s">
        <v>53</v>
      </c>
      <c r="G52" s="32">
        <v>11526175.609999999</v>
      </c>
      <c r="H52" s="32">
        <f t="shared" ref="H52:AK52" si="46">+G52+SUMIF($B$224:$B$274,$A52,H$224:H$274)</f>
        <v>11526175.609999999</v>
      </c>
      <c r="I52" s="32">
        <f t="shared" si="46"/>
        <v>11526175.609999999</v>
      </c>
      <c r="J52" s="32">
        <f t="shared" si="46"/>
        <v>11243169.444124999</v>
      </c>
      <c r="K52" s="32">
        <f t="shared" si="46"/>
        <v>11243169.444124999</v>
      </c>
      <c r="L52" s="32">
        <f t="shared" si="46"/>
        <v>11243169.444124999</v>
      </c>
      <c r="M52" s="32">
        <f t="shared" si="46"/>
        <v>10960163.278249998</v>
      </c>
      <c r="N52" s="32">
        <f t="shared" si="46"/>
        <v>10960163.278249998</v>
      </c>
      <c r="O52" s="32">
        <f t="shared" si="46"/>
        <v>10960163.278249998</v>
      </c>
      <c r="P52" s="32">
        <f t="shared" si="46"/>
        <v>10674337.013874998</v>
      </c>
      <c r="Q52" s="32">
        <f t="shared" si="46"/>
        <v>10674337.013874998</v>
      </c>
      <c r="R52" s="32">
        <f t="shared" si="46"/>
        <v>10674337.013874998</v>
      </c>
      <c r="S52" s="32">
        <f t="shared" si="46"/>
        <v>10388510.749499999</v>
      </c>
      <c r="T52" s="32">
        <f t="shared" si="46"/>
        <v>10388510.749499999</v>
      </c>
      <c r="U52" s="32">
        <f t="shared" si="46"/>
        <v>10388510.749499999</v>
      </c>
      <c r="V52" s="32">
        <f t="shared" si="46"/>
        <v>10102684.485125</v>
      </c>
      <c r="W52" s="32">
        <f t="shared" si="46"/>
        <v>10102684.485125</v>
      </c>
      <c r="X52" s="32">
        <f t="shared" si="46"/>
        <v>10102684.485125</v>
      </c>
      <c r="Y52" s="32">
        <f t="shared" si="46"/>
        <v>9816858.2207500003</v>
      </c>
      <c r="Z52" s="32">
        <f t="shared" si="46"/>
        <v>9816858.2207500003</v>
      </c>
      <c r="AA52" s="32">
        <f t="shared" si="46"/>
        <v>9816858.2207500003</v>
      </c>
      <c r="AB52" s="32">
        <f t="shared" si="46"/>
        <v>9523660.9155000001</v>
      </c>
      <c r="AC52" s="32">
        <f t="shared" si="46"/>
        <v>9523660.9155000001</v>
      </c>
      <c r="AD52" s="32">
        <f t="shared" si="46"/>
        <v>9523660.9155000001</v>
      </c>
      <c r="AE52" s="32">
        <f t="shared" si="46"/>
        <v>9230463.6102499999</v>
      </c>
      <c r="AF52" s="32">
        <f t="shared" si="46"/>
        <v>9230463.6102499999</v>
      </c>
      <c r="AG52" s="32">
        <f t="shared" si="46"/>
        <v>9230463.6102499999</v>
      </c>
      <c r="AH52" s="32">
        <f t="shared" si="46"/>
        <v>8937266.3049999997</v>
      </c>
      <c r="AI52" s="32">
        <f t="shared" si="46"/>
        <v>8937266.3049999997</v>
      </c>
      <c r="AJ52" s="32">
        <f t="shared" si="46"/>
        <v>8937266.3049999997</v>
      </c>
      <c r="AK52" s="32">
        <f t="shared" si="46"/>
        <v>8644068.9997499995</v>
      </c>
      <c r="AM52" s="25">
        <f t="shared" si="10"/>
        <v>10674337.013874998</v>
      </c>
      <c r="AN52" s="25">
        <f t="shared" si="36"/>
        <v>-88008.331725028402</v>
      </c>
      <c r="AO52" s="25">
        <f t="shared" si="37"/>
        <v>-79864.277147488465</v>
      </c>
      <c r="AP52" s="25">
        <f t="shared" si="37"/>
        <v>-71982.934007933683</v>
      </c>
      <c r="AQ52" s="25">
        <f t="shared" ref="AQ52:AY64" si="47">($AZ52-$AM52)/12*AQ$6</f>
        <v>-63838.879430393739</v>
      </c>
      <c r="AR52" s="25">
        <f t="shared" si="47"/>
        <v>-55957.536290838958</v>
      </c>
      <c r="AS52" s="25">
        <f t="shared" si="47"/>
        <v>-47813.481713299014</v>
      </c>
      <c r="AT52" s="25">
        <f t="shared" si="47"/>
        <v>-39669.42713575907</v>
      </c>
      <c r="AU52" s="25">
        <f t="shared" si="47"/>
        <v>-32313.506872174607</v>
      </c>
      <c r="AV52" s="25">
        <f t="shared" si="47"/>
        <v>-24169.452294634666</v>
      </c>
      <c r="AW52" s="25">
        <f t="shared" si="47"/>
        <v>-16288.109155079883</v>
      </c>
      <c r="AX52" s="25">
        <f t="shared" si="47"/>
        <v>-8144.0545775399414</v>
      </c>
      <c r="AY52" s="25">
        <f t="shared" si="47"/>
        <v>-262.71143798515942</v>
      </c>
      <c r="AZ52" s="25">
        <f t="shared" si="12"/>
        <v>9523660.9155000001</v>
      </c>
      <c r="BA52" s="25">
        <f t="shared" si="13"/>
        <v>10146024.312086839</v>
      </c>
    </row>
    <row r="53" spans="1:53" x14ac:dyDescent="0.15">
      <c r="A53" s="24" t="s">
        <v>54</v>
      </c>
      <c r="G53" s="32">
        <v>1719408.54</v>
      </c>
      <c r="H53" s="32">
        <f t="shared" ref="H53:AK53" si="48">+G53+SUMIF($B$224:$B$274,$A53,H$224:H$274)</f>
        <v>1719408.54</v>
      </c>
      <c r="I53" s="32">
        <f t="shared" si="48"/>
        <v>1719408.54</v>
      </c>
      <c r="J53" s="32">
        <f t="shared" si="48"/>
        <v>1719408.54</v>
      </c>
      <c r="K53" s="32">
        <f t="shared" si="48"/>
        <v>1719408.54</v>
      </c>
      <c r="L53" s="32">
        <f t="shared" si="48"/>
        <v>1719408.54</v>
      </c>
      <c r="M53" s="32">
        <f t="shared" si="48"/>
        <v>1719408.54</v>
      </c>
      <c r="N53" s="32">
        <f t="shared" si="48"/>
        <v>1719408.54</v>
      </c>
      <c r="O53" s="32">
        <f t="shared" si="48"/>
        <v>1719408.54</v>
      </c>
      <c r="P53" s="32">
        <f t="shared" si="48"/>
        <v>1719408.54</v>
      </c>
      <c r="Q53" s="32">
        <f t="shared" si="48"/>
        <v>1719408.54</v>
      </c>
      <c r="R53" s="32">
        <f t="shared" si="48"/>
        <v>1719408.54</v>
      </c>
      <c r="S53" s="32">
        <f t="shared" si="48"/>
        <v>1719408.54</v>
      </c>
      <c r="T53" s="32">
        <f t="shared" si="48"/>
        <v>1719408.54</v>
      </c>
      <c r="U53" s="32">
        <f t="shared" si="48"/>
        <v>1719408.54</v>
      </c>
      <c r="V53" s="32">
        <f t="shared" si="48"/>
        <v>1719408.54</v>
      </c>
      <c r="W53" s="32">
        <f t="shared" si="48"/>
        <v>1719408.54</v>
      </c>
      <c r="X53" s="32">
        <f t="shared" si="48"/>
        <v>1719408.54</v>
      </c>
      <c r="Y53" s="32">
        <f t="shared" si="48"/>
        <v>1719408.54</v>
      </c>
      <c r="Z53" s="32">
        <f t="shared" si="48"/>
        <v>1719408.54</v>
      </c>
      <c r="AA53" s="32">
        <f t="shared" si="48"/>
        <v>1719408.54</v>
      </c>
      <c r="AB53" s="32">
        <f t="shared" si="48"/>
        <v>1719408.54</v>
      </c>
      <c r="AC53" s="32">
        <f t="shared" si="48"/>
        <v>1719408.54</v>
      </c>
      <c r="AD53" s="32">
        <f t="shared" si="48"/>
        <v>1719408.54</v>
      </c>
      <c r="AE53" s="32">
        <f t="shared" si="48"/>
        <v>1719408.54</v>
      </c>
      <c r="AF53" s="32">
        <f t="shared" si="48"/>
        <v>1719408.54</v>
      </c>
      <c r="AG53" s="32">
        <f t="shared" si="48"/>
        <v>1719408.54</v>
      </c>
      <c r="AH53" s="32">
        <f t="shared" si="48"/>
        <v>1719408.54</v>
      </c>
      <c r="AI53" s="32">
        <f t="shared" si="48"/>
        <v>1719408.54</v>
      </c>
      <c r="AJ53" s="32">
        <f t="shared" si="48"/>
        <v>1719408.54</v>
      </c>
      <c r="AK53" s="32">
        <f t="shared" si="48"/>
        <v>1719408.54</v>
      </c>
      <c r="AM53" s="25">
        <f t="shared" ref="AM53:AM84" si="49">+Q53</f>
        <v>1719408.54</v>
      </c>
      <c r="AN53" s="25">
        <f t="shared" si="36"/>
        <v>0</v>
      </c>
      <c r="AO53" s="25">
        <f t="shared" si="37"/>
        <v>0</v>
      </c>
      <c r="AP53" s="25">
        <f t="shared" si="37"/>
        <v>0</v>
      </c>
      <c r="AQ53" s="25">
        <f t="shared" si="47"/>
        <v>0</v>
      </c>
      <c r="AR53" s="25">
        <f t="shared" si="47"/>
        <v>0</v>
      </c>
      <c r="AS53" s="25">
        <f t="shared" si="47"/>
        <v>0</v>
      </c>
      <c r="AT53" s="25">
        <f t="shared" si="47"/>
        <v>0</v>
      </c>
      <c r="AU53" s="25">
        <f t="shared" si="47"/>
        <v>0</v>
      </c>
      <c r="AV53" s="25">
        <f t="shared" si="47"/>
        <v>0</v>
      </c>
      <c r="AW53" s="25">
        <f t="shared" si="47"/>
        <v>0</v>
      </c>
      <c r="AX53" s="25">
        <f t="shared" si="47"/>
        <v>0</v>
      </c>
      <c r="AY53" s="25">
        <f t="shared" si="47"/>
        <v>0</v>
      </c>
      <c r="AZ53" s="25">
        <f t="shared" ref="AZ53:AZ84" si="50">+AC53</f>
        <v>1719408.54</v>
      </c>
      <c r="BA53" s="25">
        <f t="shared" si="13"/>
        <v>1719408.54</v>
      </c>
    </row>
    <row r="54" spans="1:53" x14ac:dyDescent="0.15">
      <c r="A54" s="24" t="s">
        <v>55</v>
      </c>
      <c r="G54" s="32">
        <v>11225217.050000001</v>
      </c>
      <c r="H54" s="32">
        <f t="shared" ref="H54:AK54" si="51">+G54+SUMIF($B$224:$B$274,$A54,H$224:H$274)</f>
        <v>11225217.050000001</v>
      </c>
      <c r="I54" s="32">
        <f t="shared" si="51"/>
        <v>11225217.050000001</v>
      </c>
      <c r="J54" s="32">
        <f t="shared" si="51"/>
        <v>11225217.050000001</v>
      </c>
      <c r="K54" s="32">
        <f t="shared" si="51"/>
        <v>11225217.050000001</v>
      </c>
      <c r="L54" s="32">
        <f t="shared" si="51"/>
        <v>11225217.050000001</v>
      </c>
      <c r="M54" s="32">
        <f t="shared" si="51"/>
        <v>11225217.050000001</v>
      </c>
      <c r="N54" s="32">
        <f t="shared" si="51"/>
        <v>11225217.050000001</v>
      </c>
      <c r="O54" s="32">
        <f t="shared" si="51"/>
        <v>11225217.050000001</v>
      </c>
      <c r="P54" s="32">
        <f t="shared" si="51"/>
        <v>11225217.050000001</v>
      </c>
      <c r="Q54" s="32">
        <f t="shared" si="51"/>
        <v>11225217.050000001</v>
      </c>
      <c r="R54" s="32">
        <f t="shared" si="51"/>
        <v>11225217.050000001</v>
      </c>
      <c r="S54" s="32">
        <f t="shared" si="51"/>
        <v>11225217.050000001</v>
      </c>
      <c r="T54" s="32">
        <f t="shared" si="51"/>
        <v>11225217.050000001</v>
      </c>
      <c r="U54" s="32">
        <f t="shared" si="51"/>
        <v>11225217.050000001</v>
      </c>
      <c r="V54" s="32">
        <f t="shared" si="51"/>
        <v>11225217.050000001</v>
      </c>
      <c r="W54" s="32">
        <f t="shared" si="51"/>
        <v>11225217.050000001</v>
      </c>
      <c r="X54" s="32">
        <f t="shared" si="51"/>
        <v>11225217.050000001</v>
      </c>
      <c r="Y54" s="32">
        <f t="shared" si="51"/>
        <v>11225217.050000001</v>
      </c>
      <c r="Z54" s="32">
        <f t="shared" si="51"/>
        <v>11225217.050000001</v>
      </c>
      <c r="AA54" s="32">
        <f t="shared" si="51"/>
        <v>11225217.050000001</v>
      </c>
      <c r="AB54" s="32">
        <f t="shared" si="51"/>
        <v>11225217.050000001</v>
      </c>
      <c r="AC54" s="32">
        <f t="shared" si="51"/>
        <v>11225217.050000001</v>
      </c>
      <c r="AD54" s="32">
        <f t="shared" si="51"/>
        <v>11225217.050000001</v>
      </c>
      <c r="AE54" s="32">
        <f t="shared" si="51"/>
        <v>11225217.050000001</v>
      </c>
      <c r="AF54" s="32">
        <f t="shared" si="51"/>
        <v>11225217.050000001</v>
      </c>
      <c r="AG54" s="32">
        <f t="shared" si="51"/>
        <v>11225217.050000001</v>
      </c>
      <c r="AH54" s="32">
        <f t="shared" si="51"/>
        <v>11225217.050000001</v>
      </c>
      <c r="AI54" s="32">
        <f t="shared" si="51"/>
        <v>11225217.050000001</v>
      </c>
      <c r="AJ54" s="32">
        <f t="shared" si="51"/>
        <v>11225217.050000001</v>
      </c>
      <c r="AK54" s="32">
        <f t="shared" si="51"/>
        <v>11225217.050000001</v>
      </c>
      <c r="AM54" s="25">
        <f t="shared" si="49"/>
        <v>11225217.050000001</v>
      </c>
      <c r="AN54" s="25">
        <f t="shared" si="36"/>
        <v>0</v>
      </c>
      <c r="AO54" s="25">
        <f t="shared" si="37"/>
        <v>0</v>
      </c>
      <c r="AP54" s="25">
        <f t="shared" si="37"/>
        <v>0</v>
      </c>
      <c r="AQ54" s="25">
        <f t="shared" si="47"/>
        <v>0</v>
      </c>
      <c r="AR54" s="25">
        <f t="shared" si="47"/>
        <v>0</v>
      </c>
      <c r="AS54" s="25">
        <f t="shared" si="47"/>
        <v>0</v>
      </c>
      <c r="AT54" s="25">
        <f t="shared" si="47"/>
        <v>0</v>
      </c>
      <c r="AU54" s="25">
        <f t="shared" si="47"/>
        <v>0</v>
      </c>
      <c r="AV54" s="25">
        <f t="shared" si="47"/>
        <v>0</v>
      </c>
      <c r="AW54" s="25">
        <f t="shared" si="47"/>
        <v>0</v>
      </c>
      <c r="AX54" s="25">
        <f t="shared" si="47"/>
        <v>0</v>
      </c>
      <c r="AY54" s="25">
        <f t="shared" si="47"/>
        <v>0</v>
      </c>
      <c r="AZ54" s="25">
        <f t="shared" si="50"/>
        <v>11225217.050000001</v>
      </c>
      <c r="BA54" s="25">
        <f t="shared" si="13"/>
        <v>11225217.050000001</v>
      </c>
    </row>
    <row r="55" spans="1:53" x14ac:dyDescent="0.15">
      <c r="A55" s="24" t="s">
        <v>56</v>
      </c>
      <c r="G55" s="32">
        <v>-4963438.42</v>
      </c>
      <c r="H55" s="32">
        <f t="shared" ref="H55:AK55" si="52">+G55+SUMIF($B$224:$B$274,$A55,H$224:H$274)</f>
        <v>-4963438.42</v>
      </c>
      <c r="I55" s="32">
        <f t="shared" si="52"/>
        <v>-4963438.42</v>
      </c>
      <c r="J55" s="32">
        <f t="shared" si="52"/>
        <v>-4963438.42</v>
      </c>
      <c r="K55" s="32">
        <f t="shared" si="52"/>
        <v>-4963438.42</v>
      </c>
      <c r="L55" s="32">
        <f t="shared" si="52"/>
        <v>-4963438.42</v>
      </c>
      <c r="M55" s="32">
        <f t="shared" si="52"/>
        <v>-4963438.42</v>
      </c>
      <c r="N55" s="32">
        <f t="shared" si="52"/>
        <v>-4963438.42</v>
      </c>
      <c r="O55" s="32">
        <f t="shared" si="52"/>
        <v>-4963438.42</v>
      </c>
      <c r="P55" s="32">
        <f t="shared" si="52"/>
        <v>-4963438.42</v>
      </c>
      <c r="Q55" s="32">
        <f t="shared" si="52"/>
        <v>-4963438.42</v>
      </c>
      <c r="R55" s="32">
        <f t="shared" si="52"/>
        <v>-4963438.42</v>
      </c>
      <c r="S55" s="32">
        <f t="shared" si="52"/>
        <v>-4963438.42</v>
      </c>
      <c r="T55" s="32">
        <f t="shared" si="52"/>
        <v>-4963438.42</v>
      </c>
      <c r="U55" s="32">
        <f t="shared" si="52"/>
        <v>-4963438.42</v>
      </c>
      <c r="V55" s="32">
        <f t="shared" si="52"/>
        <v>-4963438.42</v>
      </c>
      <c r="W55" s="32">
        <f t="shared" si="52"/>
        <v>-4963438.42</v>
      </c>
      <c r="X55" s="32">
        <f t="shared" si="52"/>
        <v>-4963438.42</v>
      </c>
      <c r="Y55" s="32">
        <f t="shared" si="52"/>
        <v>-4963438.42</v>
      </c>
      <c r="Z55" s="32">
        <f t="shared" si="52"/>
        <v>-4963438.42</v>
      </c>
      <c r="AA55" s="32">
        <f t="shared" si="52"/>
        <v>-4963438.42</v>
      </c>
      <c r="AB55" s="32">
        <f t="shared" si="52"/>
        <v>-4963438.42</v>
      </c>
      <c r="AC55" s="32">
        <f t="shared" si="52"/>
        <v>-4963438.42</v>
      </c>
      <c r="AD55" s="32">
        <f t="shared" si="52"/>
        <v>-4963438.42</v>
      </c>
      <c r="AE55" s="32">
        <f t="shared" si="52"/>
        <v>-4963438.42</v>
      </c>
      <c r="AF55" s="32">
        <f t="shared" si="52"/>
        <v>-4963438.42</v>
      </c>
      <c r="AG55" s="32">
        <f t="shared" si="52"/>
        <v>-4963438.42</v>
      </c>
      <c r="AH55" s="32">
        <f t="shared" si="52"/>
        <v>-4963438.42</v>
      </c>
      <c r="AI55" s="32">
        <f t="shared" si="52"/>
        <v>-4963438.42</v>
      </c>
      <c r="AJ55" s="32">
        <f t="shared" si="52"/>
        <v>-4963438.42</v>
      </c>
      <c r="AK55" s="32">
        <f t="shared" si="52"/>
        <v>-4963438.42</v>
      </c>
      <c r="AM55" s="25">
        <f t="shared" si="49"/>
        <v>-4963438.42</v>
      </c>
      <c r="AN55" s="25">
        <f t="shared" si="36"/>
        <v>0</v>
      </c>
      <c r="AO55" s="25">
        <f t="shared" si="37"/>
        <v>0</v>
      </c>
      <c r="AP55" s="25">
        <f t="shared" si="37"/>
        <v>0</v>
      </c>
      <c r="AQ55" s="25">
        <f t="shared" si="47"/>
        <v>0</v>
      </c>
      <c r="AR55" s="25">
        <f t="shared" si="47"/>
        <v>0</v>
      </c>
      <c r="AS55" s="25">
        <f t="shared" si="47"/>
        <v>0</v>
      </c>
      <c r="AT55" s="25">
        <f t="shared" si="47"/>
        <v>0</v>
      </c>
      <c r="AU55" s="25">
        <f t="shared" si="47"/>
        <v>0</v>
      </c>
      <c r="AV55" s="25">
        <f t="shared" si="47"/>
        <v>0</v>
      </c>
      <c r="AW55" s="25">
        <f t="shared" si="47"/>
        <v>0</v>
      </c>
      <c r="AX55" s="25">
        <f t="shared" si="47"/>
        <v>0</v>
      </c>
      <c r="AY55" s="25">
        <f t="shared" si="47"/>
        <v>0</v>
      </c>
      <c r="AZ55" s="25">
        <f t="shared" si="50"/>
        <v>-4963438.42</v>
      </c>
      <c r="BA55" s="25">
        <f t="shared" si="13"/>
        <v>-4963438.42</v>
      </c>
    </row>
    <row r="56" spans="1:53" x14ac:dyDescent="0.15">
      <c r="A56" s="24" t="s">
        <v>57</v>
      </c>
      <c r="G56" s="32">
        <v>-6261778.75</v>
      </c>
      <c r="H56" s="32">
        <f t="shared" ref="H56:AK56" si="53">+G56+SUMIF($B$224:$B$274,$A56,H$224:H$274)</f>
        <v>-6261778.75</v>
      </c>
      <c r="I56" s="32">
        <f t="shared" si="53"/>
        <v>-6261778.75</v>
      </c>
      <c r="J56" s="32">
        <f t="shared" si="53"/>
        <v>-6261778.75</v>
      </c>
      <c r="K56" s="32">
        <f t="shared" si="53"/>
        <v>-6261778.75</v>
      </c>
      <c r="L56" s="32">
        <f t="shared" si="53"/>
        <v>-6261778.75</v>
      </c>
      <c r="M56" s="32">
        <f t="shared" si="53"/>
        <v>-6261778.75</v>
      </c>
      <c r="N56" s="32">
        <f t="shared" si="53"/>
        <v>-6261778.75</v>
      </c>
      <c r="O56" s="32">
        <f t="shared" si="53"/>
        <v>-6261778.75</v>
      </c>
      <c r="P56" s="32">
        <f t="shared" si="53"/>
        <v>-6261778.75</v>
      </c>
      <c r="Q56" s="32">
        <f t="shared" si="53"/>
        <v>-6261778.75</v>
      </c>
      <c r="R56" s="32">
        <f t="shared" si="53"/>
        <v>-6261778.75</v>
      </c>
      <c r="S56" s="32">
        <f t="shared" si="53"/>
        <v>-6261778.75</v>
      </c>
      <c r="T56" s="32">
        <f t="shared" si="53"/>
        <v>-6261778.75</v>
      </c>
      <c r="U56" s="32">
        <f t="shared" si="53"/>
        <v>-6261778.75</v>
      </c>
      <c r="V56" s="32">
        <f t="shared" si="53"/>
        <v>-6261778.75</v>
      </c>
      <c r="W56" s="32">
        <f t="shared" si="53"/>
        <v>-6261778.75</v>
      </c>
      <c r="X56" s="32">
        <f t="shared" si="53"/>
        <v>-6261778.75</v>
      </c>
      <c r="Y56" s="32">
        <f t="shared" si="53"/>
        <v>-6261778.75</v>
      </c>
      <c r="Z56" s="32">
        <f t="shared" si="53"/>
        <v>-6261778.75</v>
      </c>
      <c r="AA56" s="32">
        <f t="shared" si="53"/>
        <v>-6261778.75</v>
      </c>
      <c r="AB56" s="32">
        <f t="shared" si="53"/>
        <v>-6261778.75</v>
      </c>
      <c r="AC56" s="32">
        <f t="shared" si="53"/>
        <v>-6261778.75</v>
      </c>
      <c r="AD56" s="32">
        <f t="shared" si="53"/>
        <v>-6261778.75</v>
      </c>
      <c r="AE56" s="32">
        <f t="shared" si="53"/>
        <v>-6261778.75</v>
      </c>
      <c r="AF56" s="32">
        <f t="shared" si="53"/>
        <v>-6261778.75</v>
      </c>
      <c r="AG56" s="32">
        <f t="shared" si="53"/>
        <v>-6261778.75</v>
      </c>
      <c r="AH56" s="32">
        <f t="shared" si="53"/>
        <v>-6261778.75</v>
      </c>
      <c r="AI56" s="32">
        <f t="shared" si="53"/>
        <v>-6261778.75</v>
      </c>
      <c r="AJ56" s="32">
        <f t="shared" si="53"/>
        <v>-6261778.75</v>
      </c>
      <c r="AK56" s="32">
        <f t="shared" si="53"/>
        <v>-6261778.75</v>
      </c>
      <c r="AM56" s="25">
        <f t="shared" si="49"/>
        <v>-6261778.75</v>
      </c>
      <c r="AN56" s="25">
        <f t="shared" si="36"/>
        <v>0</v>
      </c>
      <c r="AO56" s="25">
        <f t="shared" si="37"/>
        <v>0</v>
      </c>
      <c r="AP56" s="25">
        <f t="shared" si="37"/>
        <v>0</v>
      </c>
      <c r="AQ56" s="25">
        <f t="shared" si="47"/>
        <v>0</v>
      </c>
      <c r="AR56" s="25">
        <f t="shared" si="47"/>
        <v>0</v>
      </c>
      <c r="AS56" s="25">
        <f t="shared" si="47"/>
        <v>0</v>
      </c>
      <c r="AT56" s="25">
        <f t="shared" si="47"/>
        <v>0</v>
      </c>
      <c r="AU56" s="25">
        <f t="shared" si="47"/>
        <v>0</v>
      </c>
      <c r="AV56" s="25">
        <f t="shared" si="47"/>
        <v>0</v>
      </c>
      <c r="AW56" s="25">
        <f t="shared" si="47"/>
        <v>0</v>
      </c>
      <c r="AX56" s="25">
        <f t="shared" si="47"/>
        <v>0</v>
      </c>
      <c r="AY56" s="25">
        <f t="shared" si="47"/>
        <v>0</v>
      </c>
      <c r="AZ56" s="25">
        <f t="shared" si="50"/>
        <v>-6261778.75</v>
      </c>
      <c r="BA56" s="25">
        <f t="shared" si="13"/>
        <v>-6261778.75</v>
      </c>
    </row>
    <row r="57" spans="1:53" x14ac:dyDescent="0.15">
      <c r="A57" s="24" t="s">
        <v>58</v>
      </c>
      <c r="G57" s="32">
        <v>-3359571.71</v>
      </c>
      <c r="H57" s="32">
        <f t="shared" ref="H57:AK57" si="54">+G57+SUMIF($B$224:$B$274,$A57,H$224:H$274)</f>
        <v>-3359571.71</v>
      </c>
      <c r="I57" s="32">
        <f t="shared" si="54"/>
        <v>-3359571.71</v>
      </c>
      <c r="J57" s="32">
        <f t="shared" si="54"/>
        <v>-3368676.5116084367</v>
      </c>
      <c r="K57" s="32">
        <f t="shared" si="54"/>
        <v>-3368676.5116084367</v>
      </c>
      <c r="L57" s="32">
        <f t="shared" si="54"/>
        <v>-3368676.5116084367</v>
      </c>
      <c r="M57" s="32">
        <f t="shared" si="54"/>
        <v>-3377781.3132168734</v>
      </c>
      <c r="N57" s="32">
        <f t="shared" si="54"/>
        <v>-3377781.3132168734</v>
      </c>
      <c r="O57" s="32">
        <f t="shared" si="54"/>
        <v>-3377781.3132168734</v>
      </c>
      <c r="P57" s="32">
        <f t="shared" si="54"/>
        <v>-3508198.1872280096</v>
      </c>
      <c r="Q57" s="32">
        <f t="shared" si="54"/>
        <v>-3508198.1872280096</v>
      </c>
      <c r="R57" s="32">
        <f t="shared" si="54"/>
        <v>-3508198.1872280096</v>
      </c>
      <c r="S57" s="32">
        <f t="shared" si="54"/>
        <v>-3638615.0612391457</v>
      </c>
      <c r="T57" s="32">
        <f t="shared" si="54"/>
        <v>-3638615.0612391457</v>
      </c>
      <c r="U57" s="32">
        <f t="shared" si="54"/>
        <v>-3638615.0612391457</v>
      </c>
      <c r="V57" s="32">
        <f t="shared" si="54"/>
        <v>-3769031.9352502818</v>
      </c>
      <c r="W57" s="32">
        <f t="shared" si="54"/>
        <v>-3769031.9352502818</v>
      </c>
      <c r="X57" s="32">
        <f t="shared" si="54"/>
        <v>-3769031.9352502818</v>
      </c>
      <c r="Y57" s="32">
        <f t="shared" si="54"/>
        <v>-3899448.8092614179</v>
      </c>
      <c r="Z57" s="32">
        <f t="shared" si="54"/>
        <v>-3899448.8092614179</v>
      </c>
      <c r="AA57" s="32">
        <f t="shared" si="54"/>
        <v>-3899448.8092614179</v>
      </c>
      <c r="AB57" s="32">
        <f t="shared" si="54"/>
        <v>-4079876.3935393365</v>
      </c>
      <c r="AC57" s="32">
        <f t="shared" si="54"/>
        <v>-4079876.3935393365</v>
      </c>
      <c r="AD57" s="32">
        <f t="shared" si="54"/>
        <v>-4079876.3935393365</v>
      </c>
      <c r="AE57" s="32">
        <f t="shared" si="54"/>
        <v>-4260303.9778172551</v>
      </c>
      <c r="AF57" s="32">
        <f t="shared" si="54"/>
        <v>-4260303.9778172551</v>
      </c>
      <c r="AG57" s="32">
        <f t="shared" si="54"/>
        <v>-4260303.9778172551</v>
      </c>
      <c r="AH57" s="32">
        <f t="shared" si="54"/>
        <v>-4440731.5620951736</v>
      </c>
      <c r="AI57" s="32">
        <f t="shared" si="54"/>
        <v>-4440731.5620951736</v>
      </c>
      <c r="AJ57" s="32">
        <f t="shared" si="54"/>
        <v>-4440731.5620951736</v>
      </c>
      <c r="AK57" s="32">
        <f t="shared" si="54"/>
        <v>-4621159.1463730922</v>
      </c>
      <c r="AM57" s="25">
        <f t="shared" si="49"/>
        <v>-3508198.1872280096</v>
      </c>
      <c r="AN57" s="25">
        <f t="shared" si="36"/>
        <v>-43724.246373126603</v>
      </c>
      <c r="AO57" s="25">
        <f t="shared" si="37"/>
        <v>-39678.122081882051</v>
      </c>
      <c r="AP57" s="25">
        <f t="shared" si="37"/>
        <v>-35762.517929064743</v>
      </c>
      <c r="AQ57" s="25">
        <f t="shared" si="47"/>
        <v>-31716.393637820194</v>
      </c>
      <c r="AR57" s="25">
        <f t="shared" si="47"/>
        <v>-27800.789485002886</v>
      </c>
      <c r="AS57" s="25">
        <f t="shared" si="47"/>
        <v>-23754.665193758334</v>
      </c>
      <c r="AT57" s="25">
        <f t="shared" si="47"/>
        <v>-19708.540902513785</v>
      </c>
      <c r="AU57" s="25">
        <f t="shared" si="47"/>
        <v>-16053.977026550961</v>
      </c>
      <c r="AV57" s="25">
        <f t="shared" si="47"/>
        <v>-12007.852735306411</v>
      </c>
      <c r="AW57" s="25">
        <f t="shared" si="47"/>
        <v>-8092.2485824891028</v>
      </c>
      <c r="AX57" s="25">
        <f t="shared" si="47"/>
        <v>-4046.1242912445514</v>
      </c>
      <c r="AY57" s="25">
        <f t="shared" si="47"/>
        <v>-130.52013842724361</v>
      </c>
      <c r="AZ57" s="25">
        <f t="shared" si="50"/>
        <v>-4079876.3935393365</v>
      </c>
      <c r="BA57" s="25">
        <f t="shared" si="13"/>
        <v>-3770674.1856051967</v>
      </c>
    </row>
    <row r="58" spans="1:53" x14ac:dyDescent="0.15">
      <c r="A58" s="24" t="s">
        <v>330</v>
      </c>
      <c r="G58" s="32">
        <v>-292942.40000000002</v>
      </c>
      <c r="H58" s="32">
        <f t="shared" ref="H58:AK58" si="55">+G58+SUMIF($B$224:$B$274,$A58,H$224:H$274)</f>
        <v>-292942.40000000002</v>
      </c>
      <c r="I58" s="32">
        <f t="shared" si="55"/>
        <v>-292942.40000000002</v>
      </c>
      <c r="J58" s="32">
        <f t="shared" si="55"/>
        <v>-205060.52847500003</v>
      </c>
      <c r="K58" s="32">
        <f t="shared" si="55"/>
        <v>-205060.52847500003</v>
      </c>
      <c r="L58" s="32">
        <f t="shared" si="55"/>
        <v>-205060.52847500003</v>
      </c>
      <c r="M58" s="32">
        <f t="shared" si="55"/>
        <v>-117178.65695000003</v>
      </c>
      <c r="N58" s="32">
        <f t="shared" si="55"/>
        <v>-117178.65695000003</v>
      </c>
      <c r="O58" s="32">
        <f t="shared" si="55"/>
        <v>-117178.65695000003</v>
      </c>
      <c r="P58" s="32">
        <f t="shared" si="55"/>
        <v>-87884.042342500034</v>
      </c>
      <c r="Q58" s="32">
        <f t="shared" si="55"/>
        <v>-87884.042342500034</v>
      </c>
      <c r="R58" s="32">
        <f t="shared" si="55"/>
        <v>-87884.042342500034</v>
      </c>
      <c r="S58" s="32">
        <f t="shared" si="55"/>
        <v>-58589.427735000034</v>
      </c>
      <c r="T58" s="32">
        <f t="shared" si="55"/>
        <v>-58589.427735000034</v>
      </c>
      <c r="U58" s="32">
        <f t="shared" si="55"/>
        <v>-58589.427735000034</v>
      </c>
      <c r="V58" s="32">
        <f t="shared" si="55"/>
        <v>-29294.813127500034</v>
      </c>
      <c r="W58" s="32">
        <f t="shared" si="55"/>
        <v>-29294.813127500034</v>
      </c>
      <c r="X58" s="32">
        <f t="shared" si="55"/>
        <v>-29294.813127500034</v>
      </c>
      <c r="Y58" s="32">
        <f t="shared" si="55"/>
        <v>-0.19852000003447756</v>
      </c>
      <c r="Z58" s="32">
        <f t="shared" si="55"/>
        <v>-0.19852000003447756</v>
      </c>
      <c r="AA58" s="32">
        <f t="shared" si="55"/>
        <v>-0.19852000003447756</v>
      </c>
      <c r="AB58" s="32">
        <f t="shared" si="55"/>
        <v>-0.19852000003447756</v>
      </c>
      <c r="AC58" s="32">
        <f t="shared" si="55"/>
        <v>-0.19852000003447756</v>
      </c>
      <c r="AD58" s="32">
        <f t="shared" si="55"/>
        <v>-0.19852000003447756</v>
      </c>
      <c r="AE58" s="32">
        <f t="shared" si="55"/>
        <v>-0.19852000003447756</v>
      </c>
      <c r="AF58" s="32">
        <f t="shared" si="55"/>
        <v>-0.19852000003447756</v>
      </c>
      <c r="AG58" s="32">
        <f t="shared" si="55"/>
        <v>-0.19852000003447756</v>
      </c>
      <c r="AH58" s="32">
        <f t="shared" si="55"/>
        <v>-0.19852000003447756</v>
      </c>
      <c r="AI58" s="32">
        <f t="shared" si="55"/>
        <v>-0.19852000003447756</v>
      </c>
      <c r="AJ58" s="32">
        <f t="shared" si="55"/>
        <v>-0.19852000003447756</v>
      </c>
      <c r="AK58" s="32">
        <f t="shared" si="55"/>
        <v>-0.19852000003447756</v>
      </c>
      <c r="AM58" s="25">
        <f t="shared" si="49"/>
        <v>-87884.042342500034</v>
      </c>
      <c r="AN58" s="25">
        <f t="shared" si="36"/>
        <v>6721.7095161044517</v>
      </c>
      <c r="AO58" s="25">
        <f t="shared" si="37"/>
        <v>6099.7005758082196</v>
      </c>
      <c r="AP58" s="25">
        <f t="shared" si="37"/>
        <v>5497.7564400376714</v>
      </c>
      <c r="AQ58" s="25">
        <f t="shared" si="47"/>
        <v>4875.7474997414383</v>
      </c>
      <c r="AR58" s="25">
        <f t="shared" si="47"/>
        <v>4273.803363970891</v>
      </c>
      <c r="AS58" s="25">
        <f t="shared" si="47"/>
        <v>3651.7944236746575</v>
      </c>
      <c r="AT58" s="25">
        <f t="shared" si="47"/>
        <v>3029.7854833784249</v>
      </c>
      <c r="AU58" s="25">
        <f t="shared" si="47"/>
        <v>2467.9709566592464</v>
      </c>
      <c r="AV58" s="25">
        <f t="shared" si="47"/>
        <v>1845.9620163630138</v>
      </c>
      <c r="AW58" s="25">
        <f t="shared" si="47"/>
        <v>1244.0178805924656</v>
      </c>
      <c r="AX58" s="25">
        <f t="shared" si="47"/>
        <v>622.00894029623282</v>
      </c>
      <c r="AY58" s="25">
        <f t="shared" si="47"/>
        <v>20.064804525684931</v>
      </c>
      <c r="AZ58" s="25">
        <f t="shared" si="50"/>
        <v>-0.19852000003447756</v>
      </c>
      <c r="BA58" s="25">
        <f t="shared" si="13"/>
        <v>-47533.720441347628</v>
      </c>
    </row>
    <row r="59" spans="1:53" x14ac:dyDescent="0.15">
      <c r="A59" s="24" t="s">
        <v>60</v>
      </c>
      <c r="G59" s="32">
        <v>9080078.9000000004</v>
      </c>
      <c r="H59" s="32">
        <f t="shared" ref="H59:AK59" si="56">+G59+SUMIF($B$224:$B$274,$A59,H$224:H$274)</f>
        <v>9080078.9000000004</v>
      </c>
      <c r="I59" s="32">
        <f t="shared" si="56"/>
        <v>9080078.9000000004</v>
      </c>
      <c r="J59" s="32">
        <f t="shared" si="56"/>
        <v>8990661.923587501</v>
      </c>
      <c r="K59" s="32">
        <f t="shared" si="56"/>
        <v>8990661.923587501</v>
      </c>
      <c r="L59" s="32">
        <f t="shared" si="56"/>
        <v>8990661.923587501</v>
      </c>
      <c r="M59" s="32">
        <f t="shared" si="56"/>
        <v>8901244.9471750017</v>
      </c>
      <c r="N59" s="32">
        <f t="shared" si="56"/>
        <v>8901244.9471750017</v>
      </c>
      <c r="O59" s="32">
        <f t="shared" si="56"/>
        <v>8901244.9471750017</v>
      </c>
      <c r="P59" s="32">
        <f t="shared" si="56"/>
        <v>8811838.1073237527</v>
      </c>
      <c r="Q59" s="32">
        <f t="shared" si="56"/>
        <v>8811838.1073237527</v>
      </c>
      <c r="R59" s="32">
        <f t="shared" si="56"/>
        <v>8811838.1073237527</v>
      </c>
      <c r="S59" s="32">
        <f t="shared" si="56"/>
        <v>8722431.2674725037</v>
      </c>
      <c r="T59" s="32">
        <f t="shared" si="56"/>
        <v>8722431.2674725037</v>
      </c>
      <c r="U59" s="32">
        <f t="shared" si="56"/>
        <v>8722431.2674725037</v>
      </c>
      <c r="V59" s="32">
        <f t="shared" si="56"/>
        <v>8633024.4276212547</v>
      </c>
      <c r="W59" s="32">
        <f t="shared" si="56"/>
        <v>8633024.4276212547</v>
      </c>
      <c r="X59" s="32">
        <f t="shared" si="56"/>
        <v>8633024.4276212547</v>
      </c>
      <c r="Y59" s="32">
        <f t="shared" si="56"/>
        <v>8543617.5877700057</v>
      </c>
      <c r="Z59" s="32">
        <f t="shared" si="56"/>
        <v>8543617.5877700057</v>
      </c>
      <c r="AA59" s="32">
        <f t="shared" si="56"/>
        <v>8543617.5877700057</v>
      </c>
      <c r="AB59" s="32">
        <f t="shared" si="56"/>
        <v>8453965.7981750071</v>
      </c>
      <c r="AC59" s="32">
        <f t="shared" si="56"/>
        <v>8453965.7981750071</v>
      </c>
      <c r="AD59" s="32">
        <f t="shared" si="56"/>
        <v>8453965.7981750071</v>
      </c>
      <c r="AE59" s="32">
        <f t="shared" si="56"/>
        <v>8364314.0085800076</v>
      </c>
      <c r="AF59" s="32">
        <f t="shared" si="56"/>
        <v>8364314.0085800076</v>
      </c>
      <c r="AG59" s="32">
        <f t="shared" si="56"/>
        <v>8364314.0085800076</v>
      </c>
      <c r="AH59" s="32">
        <f t="shared" si="56"/>
        <v>8274662.2189850081</v>
      </c>
      <c r="AI59" s="32">
        <f t="shared" si="56"/>
        <v>8274662.2189850081</v>
      </c>
      <c r="AJ59" s="32">
        <f t="shared" si="56"/>
        <v>8274662.2189850081</v>
      </c>
      <c r="AK59" s="32">
        <f t="shared" si="56"/>
        <v>8185010.4293900086</v>
      </c>
      <c r="AM59" s="25">
        <f t="shared" si="49"/>
        <v>8811838.1073237527</v>
      </c>
      <c r="AN59" s="25">
        <f t="shared" si="36"/>
        <v>-27371.512229413194</v>
      </c>
      <c r="AO59" s="25">
        <f t="shared" si="37"/>
        <v>-24838.626023109286</v>
      </c>
      <c r="AP59" s="25">
        <f t="shared" si="37"/>
        <v>-22387.445823460344</v>
      </c>
      <c r="AQ59" s="25">
        <f t="shared" si="47"/>
        <v>-19854.559617156436</v>
      </c>
      <c r="AR59" s="25">
        <f t="shared" si="47"/>
        <v>-17403.379417507495</v>
      </c>
      <c r="AS59" s="25">
        <f t="shared" si="47"/>
        <v>-14870.493211203586</v>
      </c>
      <c r="AT59" s="25">
        <f t="shared" si="47"/>
        <v>-12337.607004899679</v>
      </c>
      <c r="AU59" s="25">
        <f t="shared" si="47"/>
        <v>-10049.838818560665</v>
      </c>
      <c r="AV59" s="25">
        <f t="shared" si="47"/>
        <v>-7516.9526122567577</v>
      </c>
      <c r="AW59" s="25">
        <f t="shared" si="47"/>
        <v>-5065.7724126078147</v>
      </c>
      <c r="AX59" s="25">
        <f t="shared" si="47"/>
        <v>-2532.8862063039073</v>
      </c>
      <c r="AY59" s="25">
        <f t="shared" si="47"/>
        <v>-81.706006654964753</v>
      </c>
      <c r="AZ59" s="25">
        <f t="shared" si="50"/>
        <v>8453965.7981750071</v>
      </c>
      <c r="BA59" s="25">
        <f t="shared" si="13"/>
        <v>8647527.3279406168</v>
      </c>
    </row>
    <row r="60" spans="1:53" x14ac:dyDescent="0.15">
      <c r="A60" s="24" t="s">
        <v>61</v>
      </c>
      <c r="G60" s="32">
        <v>-9251642.6199999992</v>
      </c>
      <c r="H60" s="32">
        <f t="shared" ref="H60:AK60" si="57">+G60+SUMIF($B$224:$B$274,$A60,H$224:H$274)</f>
        <v>-9251642.6199999992</v>
      </c>
      <c r="I60" s="32">
        <f t="shared" si="57"/>
        <v>-9251642.6199999992</v>
      </c>
      <c r="J60" s="32">
        <f t="shared" si="57"/>
        <v>-9102476.8044095151</v>
      </c>
      <c r="K60" s="32">
        <f t="shared" si="57"/>
        <v>-9102476.8044095151</v>
      </c>
      <c r="L60" s="32">
        <f t="shared" si="57"/>
        <v>-9102476.8044095151</v>
      </c>
      <c r="M60" s="32">
        <f t="shared" si="57"/>
        <v>-8953310.988819031</v>
      </c>
      <c r="N60" s="32">
        <f t="shared" si="57"/>
        <v>-8953310.988819031</v>
      </c>
      <c r="O60" s="32">
        <f t="shared" si="57"/>
        <v>-8953310.988819031</v>
      </c>
      <c r="P60" s="32">
        <f t="shared" si="57"/>
        <v>-8804145.1705323365</v>
      </c>
      <c r="Q60" s="32">
        <f t="shared" si="57"/>
        <v>-8804145.1705323365</v>
      </c>
      <c r="R60" s="32">
        <f t="shared" si="57"/>
        <v>-8804145.1705323365</v>
      </c>
      <c r="S60" s="32">
        <f t="shared" si="57"/>
        <v>-8654979.3522456419</v>
      </c>
      <c r="T60" s="32">
        <f t="shared" si="57"/>
        <v>-8654979.3522456419</v>
      </c>
      <c r="U60" s="32">
        <f t="shared" si="57"/>
        <v>-8654979.3522456419</v>
      </c>
      <c r="V60" s="32">
        <f t="shared" si="57"/>
        <v>-8505813.5339589473</v>
      </c>
      <c r="W60" s="32">
        <f t="shared" si="57"/>
        <v>-8505813.5339589473</v>
      </c>
      <c r="X60" s="32">
        <f t="shared" si="57"/>
        <v>-8505813.5339589473</v>
      </c>
      <c r="Y60" s="32">
        <f t="shared" si="57"/>
        <v>-8356647.7156722536</v>
      </c>
      <c r="Z60" s="32">
        <f t="shared" si="57"/>
        <v>-8356647.7156722536</v>
      </c>
      <c r="AA60" s="32">
        <f t="shared" si="57"/>
        <v>-8356647.7156722536</v>
      </c>
      <c r="AB60" s="32">
        <f t="shared" si="57"/>
        <v>-8207073.223910802</v>
      </c>
      <c r="AC60" s="32">
        <f t="shared" si="57"/>
        <v>-8207073.223910802</v>
      </c>
      <c r="AD60" s="32">
        <f t="shared" si="57"/>
        <v>-8207073.223910802</v>
      </c>
      <c r="AE60" s="32">
        <f t="shared" si="57"/>
        <v>-8057498.7321493505</v>
      </c>
      <c r="AF60" s="32">
        <f t="shared" si="57"/>
        <v>-8057498.7321493505</v>
      </c>
      <c r="AG60" s="32">
        <f t="shared" si="57"/>
        <v>-8057498.7321493505</v>
      </c>
      <c r="AH60" s="32">
        <f t="shared" si="57"/>
        <v>-7907924.2403878989</v>
      </c>
      <c r="AI60" s="32">
        <f t="shared" si="57"/>
        <v>-7907924.2403878989</v>
      </c>
      <c r="AJ60" s="32">
        <f t="shared" si="57"/>
        <v>-7907924.2403878989</v>
      </c>
      <c r="AK60" s="32">
        <f t="shared" si="57"/>
        <v>-7758349.7486264473</v>
      </c>
      <c r="AM60" s="25">
        <f t="shared" si="49"/>
        <v>-8804145.1705323365</v>
      </c>
      <c r="AN60" s="25">
        <f t="shared" si="36"/>
        <v>45666.46167082512</v>
      </c>
      <c r="AO60" s="25">
        <f t="shared" si="37"/>
        <v>41440.609993823397</v>
      </c>
      <c r="AP60" s="25">
        <f t="shared" si="37"/>
        <v>37351.076112853982</v>
      </c>
      <c r="AQ60" s="25">
        <f t="shared" si="47"/>
        <v>33125.224435852251</v>
      </c>
      <c r="AR60" s="25">
        <f t="shared" si="47"/>
        <v>29035.69055488284</v>
      </c>
      <c r="AS60" s="25">
        <f t="shared" si="47"/>
        <v>24809.83887788111</v>
      </c>
      <c r="AT60" s="25">
        <f t="shared" si="47"/>
        <v>20583.987200879383</v>
      </c>
      <c r="AU60" s="25">
        <f t="shared" si="47"/>
        <v>16767.088911974595</v>
      </c>
      <c r="AV60" s="25">
        <f t="shared" si="47"/>
        <v>12541.23723497287</v>
      </c>
      <c r="AW60" s="25">
        <f t="shared" si="47"/>
        <v>8451.7033540034554</v>
      </c>
      <c r="AX60" s="25">
        <f t="shared" si="47"/>
        <v>4225.8516770017277</v>
      </c>
      <c r="AY60" s="25">
        <f t="shared" si="47"/>
        <v>136.31779603231379</v>
      </c>
      <c r="AZ60" s="25">
        <f t="shared" si="50"/>
        <v>-8207073.223910802</v>
      </c>
      <c r="BA60" s="25">
        <f t="shared" si="13"/>
        <v>-8530010.0827113539</v>
      </c>
    </row>
    <row r="61" spans="1:53" x14ac:dyDescent="0.15">
      <c r="A61" s="24" t="s">
        <v>373</v>
      </c>
      <c r="G61" s="32"/>
      <c r="H61" s="32">
        <f t="shared" ref="H61:AK61" si="58">+G61+SUMIF($B$224:$B$274,$A61,H$224:H$274)</f>
        <v>0</v>
      </c>
      <c r="I61" s="32">
        <f t="shared" si="58"/>
        <v>0</v>
      </c>
      <c r="J61" s="32">
        <f t="shared" si="58"/>
        <v>-43810.391125000002</v>
      </c>
      <c r="K61" s="32">
        <f t="shared" si="58"/>
        <v>-43810.391125000002</v>
      </c>
      <c r="L61" s="32">
        <f t="shared" si="58"/>
        <v>-43810.391125000002</v>
      </c>
      <c r="M61" s="32">
        <f t="shared" si="58"/>
        <v>-87620.782250000004</v>
      </c>
      <c r="N61" s="32">
        <f t="shared" si="58"/>
        <v>-87620.782250000004</v>
      </c>
      <c r="O61" s="32">
        <f t="shared" si="58"/>
        <v>-87620.782250000004</v>
      </c>
      <c r="P61" s="32">
        <f t="shared" si="58"/>
        <v>-1403834.8287499999</v>
      </c>
      <c r="Q61" s="32">
        <f t="shared" si="58"/>
        <v>-1403834.8287499999</v>
      </c>
      <c r="R61" s="32">
        <f t="shared" si="58"/>
        <v>-1403834.8287499999</v>
      </c>
      <c r="S61" s="32">
        <f t="shared" si="58"/>
        <v>-2720048.8752499996</v>
      </c>
      <c r="T61" s="32">
        <f t="shared" si="58"/>
        <v>-2720048.8752499996</v>
      </c>
      <c r="U61" s="32">
        <f t="shared" si="58"/>
        <v>-2720048.8752499996</v>
      </c>
      <c r="V61" s="32">
        <f t="shared" si="58"/>
        <v>-4036262.9217499997</v>
      </c>
      <c r="W61" s="32">
        <f t="shared" si="58"/>
        <v>-4036262.9217499997</v>
      </c>
      <c r="X61" s="32">
        <f t="shared" si="58"/>
        <v>-4036262.9217499997</v>
      </c>
      <c r="Y61" s="32">
        <f t="shared" si="58"/>
        <v>-5352476.9682499999</v>
      </c>
      <c r="Z61" s="32">
        <f t="shared" si="58"/>
        <v>-5352476.9682499999</v>
      </c>
      <c r="AA61" s="32">
        <f t="shared" si="58"/>
        <v>-5352476.9682499999</v>
      </c>
      <c r="AB61" s="32">
        <f t="shared" si="58"/>
        <v>-5389683.3438750003</v>
      </c>
      <c r="AC61" s="32">
        <f t="shared" si="58"/>
        <v>-5389683.3438750003</v>
      </c>
      <c r="AD61" s="32">
        <f t="shared" si="58"/>
        <v>-5389683.3438750003</v>
      </c>
      <c r="AE61" s="32">
        <f t="shared" si="58"/>
        <v>-5426889.7195000006</v>
      </c>
      <c r="AF61" s="32">
        <f t="shared" si="58"/>
        <v>-5426889.7195000006</v>
      </c>
      <c r="AG61" s="32">
        <f t="shared" si="58"/>
        <v>-5426889.7195000006</v>
      </c>
      <c r="AH61" s="32">
        <f t="shared" si="58"/>
        <v>-5464096.0951250009</v>
      </c>
      <c r="AI61" s="32">
        <f t="shared" si="58"/>
        <v>-5464096.0951250009</v>
      </c>
      <c r="AJ61" s="32">
        <f t="shared" si="58"/>
        <v>-5464096.0951250009</v>
      </c>
      <c r="AK61" s="32">
        <f t="shared" si="58"/>
        <v>-5501302.4707500013</v>
      </c>
      <c r="AM61" s="25">
        <f t="shared" si="49"/>
        <v>-1403834.8287499999</v>
      </c>
      <c r="AN61" s="25">
        <f t="shared" si="36"/>
        <v>-304853.71063170669</v>
      </c>
      <c r="AO61" s="25">
        <f t="shared" si="37"/>
        <v>-276643.36725981737</v>
      </c>
      <c r="AP61" s="25">
        <f t="shared" si="37"/>
        <v>-249343.03496444068</v>
      </c>
      <c r="AQ61" s="25">
        <f t="shared" si="47"/>
        <v>-221132.69159255142</v>
      </c>
      <c r="AR61" s="25">
        <f t="shared" si="47"/>
        <v>-193832.3592971747</v>
      </c>
      <c r="AS61" s="25">
        <f t="shared" si="47"/>
        <v>-165622.01592528541</v>
      </c>
      <c r="AT61" s="25">
        <f t="shared" si="47"/>
        <v>-137411.67255339614</v>
      </c>
      <c r="AU61" s="25">
        <f t="shared" si="47"/>
        <v>-111931.36241104454</v>
      </c>
      <c r="AV61" s="25">
        <f t="shared" si="47"/>
        <v>-83721.019039155275</v>
      </c>
      <c r="AW61" s="25">
        <f t="shared" si="47"/>
        <v>-56420.686743778548</v>
      </c>
      <c r="AX61" s="25">
        <f t="shared" si="47"/>
        <v>-28210.343371889274</v>
      </c>
      <c r="AY61" s="25">
        <f t="shared" si="47"/>
        <v>-910.01107651255722</v>
      </c>
      <c r="AZ61" s="25">
        <f t="shared" si="50"/>
        <v>-5389683.3438750003</v>
      </c>
      <c r="BA61" s="25">
        <f t="shared" si="13"/>
        <v>-3233867.1036167527</v>
      </c>
    </row>
    <row r="62" spans="1:53" x14ac:dyDescent="0.15">
      <c r="A62" s="24" t="s">
        <v>62</v>
      </c>
      <c r="G62" s="32">
        <v>-0.14000000000000001</v>
      </c>
      <c r="H62" s="32">
        <f t="shared" ref="H62:AK62" si="59">+G62+SUMIF($B$224:$B$274,$A62,H$224:H$274)</f>
        <v>-0.14000000000000001</v>
      </c>
      <c r="I62" s="32">
        <f t="shared" si="59"/>
        <v>-0.14000000000000001</v>
      </c>
      <c r="J62" s="32">
        <f t="shared" si="59"/>
        <v>-0.14000000000000001</v>
      </c>
      <c r="K62" s="32">
        <f t="shared" si="59"/>
        <v>-0.14000000000000001</v>
      </c>
      <c r="L62" s="32">
        <f t="shared" si="59"/>
        <v>-0.14000000000000001</v>
      </c>
      <c r="M62" s="32">
        <f t="shared" si="59"/>
        <v>-0.14000000000000001</v>
      </c>
      <c r="N62" s="32">
        <f t="shared" si="59"/>
        <v>-0.14000000000000001</v>
      </c>
      <c r="O62" s="32">
        <f t="shared" si="59"/>
        <v>-0.14000000000000001</v>
      </c>
      <c r="P62" s="32">
        <f t="shared" si="59"/>
        <v>-0.14000000000000001</v>
      </c>
      <c r="Q62" s="32">
        <f t="shared" si="59"/>
        <v>-0.14000000000000001</v>
      </c>
      <c r="R62" s="32">
        <f t="shared" si="59"/>
        <v>-0.14000000000000001</v>
      </c>
      <c r="S62" s="32">
        <f t="shared" si="59"/>
        <v>-0.14000000000000001</v>
      </c>
      <c r="T62" s="32">
        <f t="shared" si="59"/>
        <v>-0.14000000000000001</v>
      </c>
      <c r="U62" s="32">
        <f t="shared" si="59"/>
        <v>-0.14000000000000001</v>
      </c>
      <c r="V62" s="32">
        <f t="shared" si="59"/>
        <v>-0.14000000000000001</v>
      </c>
      <c r="W62" s="32">
        <f t="shared" si="59"/>
        <v>-0.14000000000000001</v>
      </c>
      <c r="X62" s="32">
        <f t="shared" si="59"/>
        <v>-0.14000000000000001</v>
      </c>
      <c r="Y62" s="32">
        <f t="shared" si="59"/>
        <v>-0.14000000000000001</v>
      </c>
      <c r="Z62" s="32">
        <f t="shared" si="59"/>
        <v>-0.14000000000000001</v>
      </c>
      <c r="AA62" s="32">
        <f t="shared" si="59"/>
        <v>-0.14000000000000001</v>
      </c>
      <c r="AB62" s="32">
        <f t="shared" si="59"/>
        <v>-0.14000000000000001</v>
      </c>
      <c r="AC62" s="32">
        <f t="shared" si="59"/>
        <v>-0.14000000000000001</v>
      </c>
      <c r="AD62" s="32">
        <f t="shared" si="59"/>
        <v>-0.14000000000000001</v>
      </c>
      <c r="AE62" s="32">
        <f t="shared" si="59"/>
        <v>-0.14000000000000001</v>
      </c>
      <c r="AF62" s="32">
        <f t="shared" si="59"/>
        <v>-0.14000000000000001</v>
      </c>
      <c r="AG62" s="32">
        <f t="shared" si="59"/>
        <v>-0.14000000000000001</v>
      </c>
      <c r="AH62" s="32">
        <f t="shared" si="59"/>
        <v>-0.14000000000000001</v>
      </c>
      <c r="AI62" s="32">
        <f t="shared" si="59"/>
        <v>-0.14000000000000001</v>
      </c>
      <c r="AJ62" s="32">
        <f t="shared" si="59"/>
        <v>-0.14000000000000001</v>
      </c>
      <c r="AK62" s="32">
        <f t="shared" si="59"/>
        <v>-0.14000000000000001</v>
      </c>
      <c r="AM62" s="25">
        <f t="shared" si="49"/>
        <v>-0.14000000000000001</v>
      </c>
      <c r="AN62" s="25">
        <f t="shared" si="36"/>
        <v>0</v>
      </c>
      <c r="AO62" s="25">
        <f t="shared" si="37"/>
        <v>0</v>
      </c>
      <c r="AP62" s="25">
        <f t="shared" si="37"/>
        <v>0</v>
      </c>
      <c r="AQ62" s="25">
        <f t="shared" si="47"/>
        <v>0</v>
      </c>
      <c r="AR62" s="25">
        <f t="shared" si="47"/>
        <v>0</v>
      </c>
      <c r="AS62" s="25">
        <f t="shared" si="47"/>
        <v>0</v>
      </c>
      <c r="AT62" s="25">
        <f t="shared" si="47"/>
        <v>0</v>
      </c>
      <c r="AU62" s="25">
        <f t="shared" si="47"/>
        <v>0</v>
      </c>
      <c r="AV62" s="25">
        <f t="shared" si="47"/>
        <v>0</v>
      </c>
      <c r="AW62" s="25">
        <f t="shared" si="47"/>
        <v>0</v>
      </c>
      <c r="AX62" s="25">
        <f t="shared" si="47"/>
        <v>0</v>
      </c>
      <c r="AY62" s="25">
        <f t="shared" si="47"/>
        <v>0</v>
      </c>
      <c r="AZ62" s="25">
        <f t="shared" si="50"/>
        <v>-0.14000000000000001</v>
      </c>
      <c r="BA62" s="25">
        <f t="shared" si="13"/>
        <v>-0.14000000000000001</v>
      </c>
    </row>
    <row r="63" spans="1:53" x14ac:dyDescent="0.15">
      <c r="A63" s="24" t="s">
        <v>331</v>
      </c>
      <c r="G63" s="32">
        <v>-202827.17</v>
      </c>
      <c r="H63" s="32">
        <f t="shared" ref="H63:AK63" si="60">+G63+SUMIF($B$224:$B$274,$A63,H$224:H$274)</f>
        <v>-202827.17</v>
      </c>
      <c r="I63" s="32">
        <f t="shared" si="60"/>
        <v>-202827.17</v>
      </c>
      <c r="J63" s="32">
        <f t="shared" si="60"/>
        <v>204963.03640750001</v>
      </c>
      <c r="K63" s="32">
        <f t="shared" si="60"/>
        <v>204963.03640750001</v>
      </c>
      <c r="L63" s="32">
        <f t="shared" si="60"/>
        <v>204963.03640750001</v>
      </c>
      <c r="M63" s="32">
        <f t="shared" si="60"/>
        <v>612753.24281500001</v>
      </c>
      <c r="N63" s="32">
        <f t="shared" si="60"/>
        <v>612753.24281500001</v>
      </c>
      <c r="O63" s="32">
        <f t="shared" si="60"/>
        <v>612753.24281500001</v>
      </c>
      <c r="P63" s="32">
        <f t="shared" si="60"/>
        <v>612753.24281500001</v>
      </c>
      <c r="Q63" s="32">
        <f t="shared" si="60"/>
        <v>612753.24281500001</v>
      </c>
      <c r="R63" s="32">
        <f t="shared" si="60"/>
        <v>612753.24281500001</v>
      </c>
      <c r="S63" s="32">
        <f t="shared" si="60"/>
        <v>612753.24281500001</v>
      </c>
      <c r="T63" s="32">
        <f t="shared" si="60"/>
        <v>612753.24281500001</v>
      </c>
      <c r="U63" s="32">
        <f t="shared" si="60"/>
        <v>612753.24281500001</v>
      </c>
      <c r="V63" s="32">
        <f t="shared" si="60"/>
        <v>612753.24281500001</v>
      </c>
      <c r="W63" s="32">
        <f t="shared" si="60"/>
        <v>612753.24281500001</v>
      </c>
      <c r="X63" s="32">
        <f t="shared" si="60"/>
        <v>612753.24281500001</v>
      </c>
      <c r="Y63" s="32">
        <f t="shared" si="60"/>
        <v>612753.24281500001</v>
      </c>
      <c r="Z63" s="32">
        <f t="shared" si="60"/>
        <v>612753.24281500001</v>
      </c>
      <c r="AA63" s="32">
        <f t="shared" si="60"/>
        <v>612753.24281500001</v>
      </c>
      <c r="AB63" s="32">
        <f t="shared" si="60"/>
        <v>612753.24281500001</v>
      </c>
      <c r="AC63" s="32">
        <f t="shared" si="60"/>
        <v>612753.24281500001</v>
      </c>
      <c r="AD63" s="32">
        <f t="shared" si="60"/>
        <v>612753.24281500001</v>
      </c>
      <c r="AE63" s="32">
        <f t="shared" si="60"/>
        <v>612753.24281500001</v>
      </c>
      <c r="AF63" s="32">
        <f t="shared" si="60"/>
        <v>612753.24281500001</v>
      </c>
      <c r="AG63" s="32">
        <f t="shared" si="60"/>
        <v>612753.24281500001</v>
      </c>
      <c r="AH63" s="32">
        <f t="shared" si="60"/>
        <v>612753.24281500001</v>
      </c>
      <c r="AI63" s="32">
        <f t="shared" si="60"/>
        <v>612753.24281500001</v>
      </c>
      <c r="AJ63" s="32">
        <f t="shared" si="60"/>
        <v>612753.24281500001</v>
      </c>
      <c r="AK63" s="32">
        <f t="shared" si="60"/>
        <v>612753.24281500001</v>
      </c>
      <c r="AM63" s="25">
        <f t="shared" si="49"/>
        <v>612753.24281500001</v>
      </c>
      <c r="AN63" s="25">
        <f t="shared" si="36"/>
        <v>0</v>
      </c>
      <c r="AO63" s="25">
        <f t="shared" si="37"/>
        <v>0</v>
      </c>
      <c r="AP63" s="25">
        <f t="shared" si="37"/>
        <v>0</v>
      </c>
      <c r="AQ63" s="25">
        <f t="shared" si="47"/>
        <v>0</v>
      </c>
      <c r="AR63" s="25">
        <f t="shared" si="47"/>
        <v>0</v>
      </c>
      <c r="AS63" s="25">
        <f t="shared" si="47"/>
        <v>0</v>
      </c>
      <c r="AT63" s="25">
        <f t="shared" si="47"/>
        <v>0</v>
      </c>
      <c r="AU63" s="25">
        <f t="shared" si="47"/>
        <v>0</v>
      </c>
      <c r="AV63" s="25">
        <f t="shared" si="47"/>
        <v>0</v>
      </c>
      <c r="AW63" s="25">
        <f t="shared" si="47"/>
        <v>0</v>
      </c>
      <c r="AX63" s="25">
        <f t="shared" si="47"/>
        <v>0</v>
      </c>
      <c r="AY63" s="25">
        <f t="shared" si="47"/>
        <v>0</v>
      </c>
      <c r="AZ63" s="25">
        <f t="shared" si="50"/>
        <v>612753.24281500001</v>
      </c>
      <c r="BA63" s="25">
        <f t="shared" si="13"/>
        <v>612753.24281500001</v>
      </c>
    </row>
    <row r="64" spans="1:53" x14ac:dyDescent="0.15">
      <c r="A64" s="24" t="s">
        <v>332</v>
      </c>
      <c r="G64" s="32">
        <v>6448091.8600000003</v>
      </c>
      <c r="H64" s="32">
        <f t="shared" ref="H64:L73" si="61">+G64+SUMIF($B$224:$B$274,$A64,H$224:H$274)</f>
        <v>6448091.8600000003</v>
      </c>
      <c r="I64" s="32">
        <f t="shared" si="61"/>
        <v>6448091.8600000003</v>
      </c>
      <c r="J64" s="32">
        <f t="shared" si="61"/>
        <v>1334046.0175000001</v>
      </c>
      <c r="K64" s="32">
        <f t="shared" si="61"/>
        <v>1334046.0175000001</v>
      </c>
      <c r="L64" s="32">
        <f t="shared" si="61"/>
        <v>1334046.0175000001</v>
      </c>
      <c r="M64" s="32">
        <f>+L64+SUMIF($B$224:$B$274,$A64,M$224:M$274)+2520000</f>
        <v>7.0000000298023224E-2</v>
      </c>
      <c r="N64" s="32">
        <f t="shared" ref="N64:AK64" si="62">+M64+SUMIF($B$224:$B$274,$A64,N$224:N$274)</f>
        <v>7.0000000298023224E-2</v>
      </c>
      <c r="O64" s="32">
        <f t="shared" si="62"/>
        <v>7.0000000298023224E-2</v>
      </c>
      <c r="P64" s="32">
        <f t="shared" si="62"/>
        <v>7.0000000298023224E-2</v>
      </c>
      <c r="Q64" s="32">
        <f t="shared" si="62"/>
        <v>7.0000000298023224E-2</v>
      </c>
      <c r="R64" s="32">
        <f t="shared" si="62"/>
        <v>7.0000000298023224E-2</v>
      </c>
      <c r="S64" s="32">
        <f t="shared" si="62"/>
        <v>7.0000000298023224E-2</v>
      </c>
      <c r="T64" s="32">
        <f t="shared" si="62"/>
        <v>7.0000000298023224E-2</v>
      </c>
      <c r="U64" s="32">
        <f t="shared" si="62"/>
        <v>7.0000000298023224E-2</v>
      </c>
      <c r="V64" s="32">
        <f t="shared" si="62"/>
        <v>7.0000000298023224E-2</v>
      </c>
      <c r="W64" s="32">
        <f t="shared" si="62"/>
        <v>7.0000000298023224E-2</v>
      </c>
      <c r="X64" s="32">
        <f t="shared" si="62"/>
        <v>7.0000000298023224E-2</v>
      </c>
      <c r="Y64" s="32">
        <f t="shared" si="62"/>
        <v>7.0000000298023224E-2</v>
      </c>
      <c r="Z64" s="32">
        <f t="shared" si="62"/>
        <v>7.0000000298023224E-2</v>
      </c>
      <c r="AA64" s="32">
        <f t="shared" si="62"/>
        <v>7.0000000298023224E-2</v>
      </c>
      <c r="AB64" s="32">
        <f t="shared" si="62"/>
        <v>7.0000000298023224E-2</v>
      </c>
      <c r="AC64" s="32">
        <f t="shared" si="62"/>
        <v>7.0000000298023224E-2</v>
      </c>
      <c r="AD64" s="32">
        <f t="shared" si="62"/>
        <v>7.0000000298023224E-2</v>
      </c>
      <c r="AE64" s="32">
        <f t="shared" si="62"/>
        <v>7.0000000298023224E-2</v>
      </c>
      <c r="AF64" s="32">
        <f t="shared" si="62"/>
        <v>7.0000000298023224E-2</v>
      </c>
      <c r="AG64" s="32">
        <f t="shared" si="62"/>
        <v>7.0000000298023224E-2</v>
      </c>
      <c r="AH64" s="32">
        <f t="shared" si="62"/>
        <v>7.0000000298023224E-2</v>
      </c>
      <c r="AI64" s="32">
        <f t="shared" si="62"/>
        <v>7.0000000298023224E-2</v>
      </c>
      <c r="AJ64" s="32">
        <f t="shared" si="62"/>
        <v>7.0000000298023224E-2</v>
      </c>
      <c r="AK64" s="32">
        <f t="shared" si="62"/>
        <v>7.0000000298023224E-2</v>
      </c>
      <c r="AM64" s="25">
        <f t="shared" si="49"/>
        <v>7.0000000298023224E-2</v>
      </c>
      <c r="AN64" s="25">
        <f t="shared" si="36"/>
        <v>0</v>
      </c>
      <c r="AO64" s="25">
        <f t="shared" si="37"/>
        <v>0</v>
      </c>
      <c r="AP64" s="25">
        <f t="shared" si="37"/>
        <v>0</v>
      </c>
      <c r="AQ64" s="25">
        <f t="shared" si="47"/>
        <v>0</v>
      </c>
      <c r="AR64" s="25">
        <f t="shared" si="47"/>
        <v>0</v>
      </c>
      <c r="AS64" s="25">
        <f t="shared" si="47"/>
        <v>0</v>
      </c>
      <c r="AT64" s="25">
        <f t="shared" si="47"/>
        <v>0</v>
      </c>
      <c r="AU64" s="25">
        <f t="shared" si="47"/>
        <v>0</v>
      </c>
      <c r="AV64" s="25">
        <f t="shared" si="47"/>
        <v>0</v>
      </c>
      <c r="AW64" s="25">
        <f t="shared" si="47"/>
        <v>0</v>
      </c>
      <c r="AX64" s="25">
        <f t="shared" si="47"/>
        <v>0</v>
      </c>
      <c r="AY64" s="25">
        <f t="shared" si="47"/>
        <v>0</v>
      </c>
      <c r="AZ64" s="25">
        <f t="shared" si="50"/>
        <v>7.0000000298023224E-2</v>
      </c>
      <c r="BA64" s="25">
        <f t="shared" si="13"/>
        <v>7.0000000298023224E-2</v>
      </c>
    </row>
    <row r="65" spans="1:53" x14ac:dyDescent="0.15">
      <c r="A65" s="24" t="s">
        <v>99</v>
      </c>
      <c r="G65" s="32">
        <v>3914.65</v>
      </c>
      <c r="H65" s="32">
        <f t="shared" si="61"/>
        <v>3914.65</v>
      </c>
      <c r="I65" s="32">
        <f t="shared" si="61"/>
        <v>3914.65</v>
      </c>
      <c r="J65" s="32">
        <f t="shared" si="61"/>
        <v>2174.8935307211145</v>
      </c>
      <c r="K65" s="32">
        <f t="shared" si="61"/>
        <v>2174.8935307211145</v>
      </c>
      <c r="L65" s="32">
        <f t="shared" si="61"/>
        <v>2174.8935307211145</v>
      </c>
      <c r="M65" s="32">
        <f t="shared" ref="M65:M79" si="63">+L65+SUMIF($B$224:$B$274,$A65,M$224:M$274)</f>
        <v>435.13706144222897</v>
      </c>
      <c r="N65" s="32">
        <f t="shared" ref="N65:AK65" si="64">+M65+SUMIF($B$224:$B$274,$A65,N$224:N$274)</f>
        <v>435.13706144222897</v>
      </c>
      <c r="O65" s="32">
        <f t="shared" si="64"/>
        <v>435.13706144222897</v>
      </c>
      <c r="P65" s="32">
        <f t="shared" si="64"/>
        <v>1216.4408695964439</v>
      </c>
      <c r="Q65" s="32">
        <f t="shared" si="64"/>
        <v>1216.4408695964439</v>
      </c>
      <c r="R65" s="32">
        <f t="shared" si="64"/>
        <v>1216.4408695964439</v>
      </c>
      <c r="S65" s="32">
        <f t="shared" si="64"/>
        <v>1997.7446777506589</v>
      </c>
      <c r="T65" s="32">
        <f t="shared" si="64"/>
        <v>1997.7446777506589</v>
      </c>
      <c r="U65" s="32">
        <f t="shared" si="64"/>
        <v>1997.7446777506589</v>
      </c>
      <c r="V65" s="32">
        <f t="shared" si="64"/>
        <v>2779.0484859048738</v>
      </c>
      <c r="W65" s="32">
        <f t="shared" si="64"/>
        <v>2779.0484859048738</v>
      </c>
      <c r="X65" s="32">
        <f t="shared" si="64"/>
        <v>2779.0484859048738</v>
      </c>
      <c r="Y65" s="32">
        <f t="shared" si="64"/>
        <v>3560.3522940590888</v>
      </c>
      <c r="Z65" s="32">
        <f t="shared" si="64"/>
        <v>3560.3522940590888</v>
      </c>
      <c r="AA65" s="32">
        <f t="shared" si="64"/>
        <v>3560.3522940590888</v>
      </c>
      <c r="AB65" s="32">
        <f t="shared" si="64"/>
        <v>3953.2752875964543</v>
      </c>
      <c r="AC65" s="32">
        <f t="shared" si="64"/>
        <v>3953.2752875964543</v>
      </c>
      <c r="AD65" s="32">
        <f t="shared" si="64"/>
        <v>3953.2752875964543</v>
      </c>
      <c r="AE65" s="32">
        <f t="shared" si="64"/>
        <v>4346.1982811338194</v>
      </c>
      <c r="AF65" s="32">
        <f t="shared" si="64"/>
        <v>4346.1982811338194</v>
      </c>
      <c r="AG65" s="32">
        <f t="shared" si="64"/>
        <v>4346.1982811338194</v>
      </c>
      <c r="AH65" s="32">
        <f t="shared" si="64"/>
        <v>4739.1212746711844</v>
      </c>
      <c r="AI65" s="32">
        <f t="shared" si="64"/>
        <v>4739.1212746711844</v>
      </c>
      <c r="AJ65" s="32">
        <f t="shared" si="64"/>
        <v>4739.1212746711844</v>
      </c>
      <c r="AK65" s="32">
        <f t="shared" si="64"/>
        <v>5132.0442682085495</v>
      </c>
      <c r="AM65" s="25">
        <f t="shared" si="49"/>
        <v>1216.4408695964439</v>
      </c>
      <c r="AN65" s="25">
        <f t="shared" si="36"/>
        <v>209.32409361415603</v>
      </c>
      <c r="AO65" s="25">
        <f t="shared" si="37"/>
        <v>189.95380435433862</v>
      </c>
      <c r="AP65" s="25">
        <f t="shared" si="37"/>
        <v>171.20836313516045</v>
      </c>
      <c r="AQ65" s="25">
        <f>($AZ65-$AM65)/12*AQ$6</f>
        <v>151.83807387534304</v>
      </c>
      <c r="AR65" s="25">
        <f>($AZ65-$AM65)/12*AR$6</f>
        <v>133.09263265616488</v>
      </c>
      <c r="AS65" s="25">
        <f t="shared" ref="AO65:AY88" si="65">($AZ65-$AM65)/12*AS$6</f>
        <v>113.72234339634745</v>
      </c>
      <c r="AT65" s="25">
        <f t="shared" si="65"/>
        <v>94.352054136530043</v>
      </c>
      <c r="AU65" s="25">
        <f t="shared" si="65"/>
        <v>76.856308998630425</v>
      </c>
      <c r="AV65" s="25">
        <f t="shared" si="65"/>
        <v>57.486019738813006</v>
      </c>
      <c r="AW65" s="25">
        <f t="shared" si="65"/>
        <v>38.740578519634845</v>
      </c>
      <c r="AX65" s="25">
        <f t="shared" si="65"/>
        <v>19.370289259817422</v>
      </c>
      <c r="AY65" s="25">
        <f t="shared" si="65"/>
        <v>0.6248480406392718</v>
      </c>
      <c r="AZ65" s="25">
        <f t="shared" si="50"/>
        <v>3953.2752875964543</v>
      </c>
      <c r="BA65" s="25">
        <f t="shared" si="13"/>
        <v>2473.0102793220194</v>
      </c>
    </row>
    <row r="66" spans="1:53" x14ac:dyDescent="0.15">
      <c r="A66" s="24" t="s">
        <v>333</v>
      </c>
      <c r="G66" s="32">
        <v>158316.1</v>
      </c>
      <c r="H66" s="32">
        <f t="shared" si="61"/>
        <v>158316.1</v>
      </c>
      <c r="I66" s="32">
        <f t="shared" si="61"/>
        <v>158316.1</v>
      </c>
      <c r="J66" s="32">
        <f t="shared" si="61"/>
        <v>158316.1</v>
      </c>
      <c r="K66" s="32">
        <f t="shared" si="61"/>
        <v>158316.1</v>
      </c>
      <c r="L66" s="32">
        <f t="shared" si="61"/>
        <v>158316.1</v>
      </c>
      <c r="M66" s="32">
        <f t="shared" si="63"/>
        <v>158316.1</v>
      </c>
      <c r="N66" s="32">
        <f t="shared" ref="N66:AK66" si="66">+M66+SUMIF($B$224:$B$274,$A66,N$224:N$274)</f>
        <v>158316.1</v>
      </c>
      <c r="O66" s="32">
        <f t="shared" si="66"/>
        <v>158316.1</v>
      </c>
      <c r="P66" s="32">
        <f t="shared" si="66"/>
        <v>158316.1</v>
      </c>
      <c r="Q66" s="32">
        <f t="shared" si="66"/>
        <v>158316.1</v>
      </c>
      <c r="R66" s="32">
        <f t="shared" si="66"/>
        <v>158316.1</v>
      </c>
      <c r="S66" s="32">
        <f t="shared" si="66"/>
        <v>158316.1</v>
      </c>
      <c r="T66" s="32">
        <f t="shared" si="66"/>
        <v>158316.1</v>
      </c>
      <c r="U66" s="32">
        <f t="shared" si="66"/>
        <v>158316.1</v>
      </c>
      <c r="V66" s="32">
        <f t="shared" si="66"/>
        <v>158316.1</v>
      </c>
      <c r="W66" s="32">
        <f t="shared" si="66"/>
        <v>158316.1</v>
      </c>
      <c r="X66" s="32">
        <f t="shared" si="66"/>
        <v>158316.1</v>
      </c>
      <c r="Y66" s="32">
        <f t="shared" si="66"/>
        <v>158316.1</v>
      </c>
      <c r="Z66" s="32">
        <f t="shared" si="66"/>
        <v>158316.1</v>
      </c>
      <c r="AA66" s="32">
        <f t="shared" si="66"/>
        <v>158316.1</v>
      </c>
      <c r="AB66" s="32">
        <f t="shared" si="66"/>
        <v>158316.1</v>
      </c>
      <c r="AC66" s="32">
        <f t="shared" si="66"/>
        <v>158316.1</v>
      </c>
      <c r="AD66" s="32">
        <f t="shared" si="66"/>
        <v>158316.1</v>
      </c>
      <c r="AE66" s="32">
        <f t="shared" si="66"/>
        <v>158316.1</v>
      </c>
      <c r="AF66" s="32">
        <f t="shared" si="66"/>
        <v>158316.1</v>
      </c>
      <c r="AG66" s="32">
        <f t="shared" si="66"/>
        <v>158316.1</v>
      </c>
      <c r="AH66" s="32">
        <f t="shared" si="66"/>
        <v>158316.1</v>
      </c>
      <c r="AI66" s="32">
        <f t="shared" si="66"/>
        <v>158316.1</v>
      </c>
      <c r="AJ66" s="32">
        <f t="shared" si="66"/>
        <v>158316.1</v>
      </c>
      <c r="AK66" s="32">
        <f t="shared" si="66"/>
        <v>158316.1</v>
      </c>
      <c r="AM66" s="25">
        <f t="shared" si="49"/>
        <v>158316.1</v>
      </c>
      <c r="AN66" s="25">
        <f t="shared" si="36"/>
        <v>0</v>
      </c>
      <c r="AO66" s="25">
        <f t="shared" si="65"/>
        <v>0</v>
      </c>
      <c r="AP66" s="25">
        <f t="shared" si="65"/>
        <v>0</v>
      </c>
      <c r="AQ66" s="25">
        <f t="shared" si="65"/>
        <v>0</v>
      </c>
      <c r="AR66" s="25">
        <f t="shared" si="65"/>
        <v>0</v>
      </c>
      <c r="AS66" s="25">
        <f t="shared" si="65"/>
        <v>0</v>
      </c>
      <c r="AT66" s="25">
        <f t="shared" si="65"/>
        <v>0</v>
      </c>
      <c r="AU66" s="25">
        <f t="shared" si="65"/>
        <v>0</v>
      </c>
      <c r="AV66" s="25">
        <f t="shared" si="65"/>
        <v>0</v>
      </c>
      <c r="AW66" s="25">
        <f t="shared" si="65"/>
        <v>0</v>
      </c>
      <c r="AX66" s="25">
        <f t="shared" si="65"/>
        <v>0</v>
      </c>
      <c r="AY66" s="25">
        <f t="shared" si="65"/>
        <v>0</v>
      </c>
      <c r="AZ66" s="25">
        <f t="shared" si="50"/>
        <v>158316.1</v>
      </c>
      <c r="BA66" s="25">
        <f t="shared" si="13"/>
        <v>158316.1</v>
      </c>
    </row>
    <row r="67" spans="1:53" x14ac:dyDescent="0.15">
      <c r="A67" s="24" t="s">
        <v>334</v>
      </c>
      <c r="G67" s="32">
        <v>-409853.95</v>
      </c>
      <c r="H67" s="32">
        <f t="shared" si="61"/>
        <v>-409853.95</v>
      </c>
      <c r="I67" s="32">
        <f t="shared" si="61"/>
        <v>-409853.95</v>
      </c>
      <c r="J67" s="32">
        <f t="shared" si="61"/>
        <v>-409853.95</v>
      </c>
      <c r="K67" s="32">
        <f t="shared" si="61"/>
        <v>-409853.95</v>
      </c>
      <c r="L67" s="32">
        <f t="shared" si="61"/>
        <v>-409853.95</v>
      </c>
      <c r="M67" s="32">
        <f t="shared" si="63"/>
        <v>-409853.95</v>
      </c>
      <c r="N67" s="32">
        <f t="shared" ref="N67:AK67" si="67">+M67+SUMIF($B$224:$B$274,$A67,N$224:N$274)</f>
        <v>-409853.95</v>
      </c>
      <c r="O67" s="32">
        <f t="shared" si="67"/>
        <v>-409853.95</v>
      </c>
      <c r="P67" s="32">
        <f t="shared" si="67"/>
        <v>-409853.95</v>
      </c>
      <c r="Q67" s="32">
        <f t="shared" si="67"/>
        <v>-409853.95</v>
      </c>
      <c r="R67" s="32">
        <f t="shared" si="67"/>
        <v>-409853.95</v>
      </c>
      <c r="S67" s="32">
        <f t="shared" si="67"/>
        <v>-409853.95</v>
      </c>
      <c r="T67" s="32">
        <f t="shared" si="67"/>
        <v>-409853.95</v>
      </c>
      <c r="U67" s="32">
        <f t="shared" si="67"/>
        <v>-409853.95</v>
      </c>
      <c r="V67" s="32">
        <f t="shared" si="67"/>
        <v>-409853.95</v>
      </c>
      <c r="W67" s="32">
        <f t="shared" si="67"/>
        <v>-409853.95</v>
      </c>
      <c r="X67" s="32">
        <f t="shared" si="67"/>
        <v>-409853.95</v>
      </c>
      <c r="Y67" s="32">
        <f t="shared" si="67"/>
        <v>-409853.95</v>
      </c>
      <c r="Z67" s="32">
        <f t="shared" si="67"/>
        <v>-409853.95</v>
      </c>
      <c r="AA67" s="32">
        <f t="shared" si="67"/>
        <v>-409853.95</v>
      </c>
      <c r="AB67" s="32">
        <f t="shared" si="67"/>
        <v>-409853.95</v>
      </c>
      <c r="AC67" s="32">
        <f t="shared" si="67"/>
        <v>-409853.95</v>
      </c>
      <c r="AD67" s="32">
        <f t="shared" si="67"/>
        <v>-409853.95</v>
      </c>
      <c r="AE67" s="32">
        <f t="shared" si="67"/>
        <v>-409853.95</v>
      </c>
      <c r="AF67" s="32">
        <f t="shared" si="67"/>
        <v>-409853.95</v>
      </c>
      <c r="AG67" s="32">
        <f t="shared" si="67"/>
        <v>-409853.95</v>
      </c>
      <c r="AH67" s="32">
        <f t="shared" si="67"/>
        <v>-409853.95</v>
      </c>
      <c r="AI67" s="32">
        <f t="shared" si="67"/>
        <v>-409853.95</v>
      </c>
      <c r="AJ67" s="32">
        <f t="shared" si="67"/>
        <v>-409853.95</v>
      </c>
      <c r="AK67" s="32">
        <f t="shared" si="67"/>
        <v>-409853.95</v>
      </c>
      <c r="AM67" s="25">
        <f t="shared" si="49"/>
        <v>-409853.95</v>
      </c>
      <c r="AN67" s="25">
        <f t="shared" si="36"/>
        <v>0</v>
      </c>
      <c r="AO67" s="25">
        <f t="shared" si="65"/>
        <v>0</v>
      </c>
      <c r="AP67" s="25">
        <f t="shared" si="65"/>
        <v>0</v>
      </c>
      <c r="AQ67" s="25">
        <f t="shared" si="65"/>
        <v>0</v>
      </c>
      <c r="AR67" s="25">
        <f t="shared" si="65"/>
        <v>0</v>
      </c>
      <c r="AS67" s="25">
        <f t="shared" si="65"/>
        <v>0</v>
      </c>
      <c r="AT67" s="25">
        <f t="shared" si="65"/>
        <v>0</v>
      </c>
      <c r="AU67" s="25">
        <f t="shared" si="65"/>
        <v>0</v>
      </c>
      <c r="AV67" s="25">
        <f t="shared" si="65"/>
        <v>0</v>
      </c>
      <c r="AW67" s="25">
        <f t="shared" si="65"/>
        <v>0</v>
      </c>
      <c r="AX67" s="25">
        <f t="shared" si="65"/>
        <v>0</v>
      </c>
      <c r="AY67" s="25">
        <f t="shared" si="65"/>
        <v>0</v>
      </c>
      <c r="AZ67" s="25">
        <f t="shared" si="50"/>
        <v>-409853.95</v>
      </c>
      <c r="BA67" s="25">
        <f t="shared" si="13"/>
        <v>-409853.95</v>
      </c>
    </row>
    <row r="68" spans="1:53" x14ac:dyDescent="0.15">
      <c r="A68" s="24" t="s">
        <v>335</v>
      </c>
      <c r="G68" s="32">
        <v>2080.33</v>
      </c>
      <c r="H68" s="32">
        <f t="shared" si="61"/>
        <v>2080.33</v>
      </c>
      <c r="I68" s="32">
        <f t="shared" si="61"/>
        <v>2080.33</v>
      </c>
      <c r="J68" s="32">
        <f t="shared" si="61"/>
        <v>2080.33</v>
      </c>
      <c r="K68" s="32">
        <f t="shared" si="61"/>
        <v>2080.33</v>
      </c>
      <c r="L68" s="32">
        <f t="shared" si="61"/>
        <v>2080.33</v>
      </c>
      <c r="M68" s="32">
        <f t="shared" si="63"/>
        <v>2080.33</v>
      </c>
      <c r="N68" s="32">
        <f t="shared" ref="N68:AK68" si="68">+M68+SUMIF($B$224:$B$274,$A68,N$224:N$274)</f>
        <v>2080.33</v>
      </c>
      <c r="O68" s="32">
        <f t="shared" si="68"/>
        <v>2080.33</v>
      </c>
      <c r="P68" s="32">
        <f t="shared" si="68"/>
        <v>2080.33</v>
      </c>
      <c r="Q68" s="32">
        <f t="shared" si="68"/>
        <v>2080.33</v>
      </c>
      <c r="R68" s="32">
        <f t="shared" si="68"/>
        <v>2080.33</v>
      </c>
      <c r="S68" s="32">
        <f t="shared" si="68"/>
        <v>2080.33</v>
      </c>
      <c r="T68" s="32">
        <f t="shared" si="68"/>
        <v>2080.33</v>
      </c>
      <c r="U68" s="32">
        <f t="shared" si="68"/>
        <v>2080.33</v>
      </c>
      <c r="V68" s="32">
        <f t="shared" si="68"/>
        <v>2080.33</v>
      </c>
      <c r="W68" s="32">
        <f t="shared" si="68"/>
        <v>2080.33</v>
      </c>
      <c r="X68" s="32">
        <f t="shared" si="68"/>
        <v>2080.33</v>
      </c>
      <c r="Y68" s="32">
        <f t="shared" si="68"/>
        <v>2080.33</v>
      </c>
      <c r="Z68" s="32">
        <f t="shared" si="68"/>
        <v>2080.33</v>
      </c>
      <c r="AA68" s="32">
        <f t="shared" si="68"/>
        <v>2080.33</v>
      </c>
      <c r="AB68" s="32">
        <f t="shared" si="68"/>
        <v>2080.33</v>
      </c>
      <c r="AC68" s="32">
        <f t="shared" si="68"/>
        <v>2080.33</v>
      </c>
      <c r="AD68" s="32">
        <f t="shared" si="68"/>
        <v>2080.33</v>
      </c>
      <c r="AE68" s="32">
        <f t="shared" si="68"/>
        <v>2080.33</v>
      </c>
      <c r="AF68" s="32">
        <f t="shared" si="68"/>
        <v>2080.33</v>
      </c>
      <c r="AG68" s="32">
        <f t="shared" si="68"/>
        <v>2080.33</v>
      </c>
      <c r="AH68" s="32">
        <f t="shared" si="68"/>
        <v>2080.33</v>
      </c>
      <c r="AI68" s="32">
        <f t="shared" si="68"/>
        <v>2080.33</v>
      </c>
      <c r="AJ68" s="32">
        <f t="shared" si="68"/>
        <v>2080.33</v>
      </c>
      <c r="AK68" s="32">
        <f t="shared" si="68"/>
        <v>2080.33</v>
      </c>
      <c r="AM68" s="25">
        <f t="shared" si="49"/>
        <v>2080.33</v>
      </c>
      <c r="AN68" s="25">
        <f t="shared" si="36"/>
        <v>0</v>
      </c>
      <c r="AO68" s="25">
        <f t="shared" si="65"/>
        <v>0</v>
      </c>
      <c r="AP68" s="25">
        <f t="shared" si="65"/>
        <v>0</v>
      </c>
      <c r="AQ68" s="25">
        <f t="shared" si="65"/>
        <v>0</v>
      </c>
      <c r="AR68" s="25">
        <f t="shared" si="65"/>
        <v>0</v>
      </c>
      <c r="AS68" s="25">
        <f t="shared" si="65"/>
        <v>0</v>
      </c>
      <c r="AT68" s="25">
        <f t="shared" si="65"/>
        <v>0</v>
      </c>
      <c r="AU68" s="25">
        <f t="shared" si="65"/>
        <v>0</v>
      </c>
      <c r="AV68" s="25">
        <f t="shared" si="65"/>
        <v>0</v>
      </c>
      <c r="AW68" s="25">
        <f t="shared" si="65"/>
        <v>0</v>
      </c>
      <c r="AX68" s="25">
        <f t="shared" si="65"/>
        <v>0</v>
      </c>
      <c r="AY68" s="25">
        <f t="shared" si="65"/>
        <v>0</v>
      </c>
      <c r="AZ68" s="25">
        <f t="shared" si="50"/>
        <v>2080.33</v>
      </c>
      <c r="BA68" s="25">
        <f t="shared" si="13"/>
        <v>2080.33</v>
      </c>
    </row>
    <row r="69" spans="1:53" x14ac:dyDescent="0.15">
      <c r="A69" s="24" t="s">
        <v>63</v>
      </c>
      <c r="G69" s="32">
        <v>-26881981.379999999</v>
      </c>
      <c r="H69" s="32">
        <f t="shared" si="61"/>
        <v>-26881981.379999999</v>
      </c>
      <c r="I69" s="32">
        <f t="shared" si="61"/>
        <v>-26881981.379999999</v>
      </c>
      <c r="J69" s="32">
        <f t="shared" si="61"/>
        <v>-26881981.379999999</v>
      </c>
      <c r="K69" s="32">
        <f t="shared" si="61"/>
        <v>-26881981.379999999</v>
      </c>
      <c r="L69" s="32">
        <f t="shared" si="61"/>
        <v>-26881981.379999999</v>
      </c>
      <c r="M69" s="32">
        <f t="shared" si="63"/>
        <v>-26881981.379999999</v>
      </c>
      <c r="N69" s="32">
        <f t="shared" ref="N69:AK69" si="69">+M69+SUMIF($B$224:$B$274,$A69,N$224:N$274)</f>
        <v>-26881981.379999999</v>
      </c>
      <c r="O69" s="32">
        <f t="shared" si="69"/>
        <v>-26881981.379999999</v>
      </c>
      <c r="P69" s="32">
        <f t="shared" si="69"/>
        <v>-26881981.379999999</v>
      </c>
      <c r="Q69" s="32">
        <f t="shared" si="69"/>
        <v>-26881981.379999999</v>
      </c>
      <c r="R69" s="32">
        <f t="shared" si="69"/>
        <v>-26881981.379999999</v>
      </c>
      <c r="S69" s="32">
        <f t="shared" si="69"/>
        <v>-26881981.379999999</v>
      </c>
      <c r="T69" s="32">
        <f t="shared" si="69"/>
        <v>-26881981.379999999</v>
      </c>
      <c r="U69" s="32">
        <f t="shared" si="69"/>
        <v>-26881981.379999999</v>
      </c>
      <c r="V69" s="32">
        <f t="shared" si="69"/>
        <v>-26881981.379999999</v>
      </c>
      <c r="W69" s="32">
        <f t="shared" si="69"/>
        <v>-26881981.379999999</v>
      </c>
      <c r="X69" s="32">
        <f t="shared" si="69"/>
        <v>-26881981.379999999</v>
      </c>
      <c r="Y69" s="32">
        <f t="shared" si="69"/>
        <v>-26881981.379999999</v>
      </c>
      <c r="Z69" s="32">
        <f t="shared" si="69"/>
        <v>-26881981.379999999</v>
      </c>
      <c r="AA69" s="32">
        <f t="shared" si="69"/>
        <v>-26881981.379999999</v>
      </c>
      <c r="AB69" s="32">
        <f t="shared" si="69"/>
        <v>-26881981.379999999</v>
      </c>
      <c r="AC69" s="32">
        <f t="shared" si="69"/>
        <v>-26881981.379999999</v>
      </c>
      <c r="AD69" s="32">
        <f t="shared" si="69"/>
        <v>-26881981.379999999</v>
      </c>
      <c r="AE69" s="32">
        <f t="shared" si="69"/>
        <v>-26881981.379999999</v>
      </c>
      <c r="AF69" s="32">
        <f t="shared" si="69"/>
        <v>-26881981.379999999</v>
      </c>
      <c r="AG69" s="32">
        <f t="shared" si="69"/>
        <v>-26881981.379999999</v>
      </c>
      <c r="AH69" s="32">
        <f t="shared" si="69"/>
        <v>-26881981.379999999</v>
      </c>
      <c r="AI69" s="32">
        <f t="shared" si="69"/>
        <v>-26881981.379999999</v>
      </c>
      <c r="AJ69" s="32">
        <f t="shared" si="69"/>
        <v>-26881981.379999999</v>
      </c>
      <c r="AK69" s="32">
        <f t="shared" si="69"/>
        <v>-26881981.379999999</v>
      </c>
      <c r="AM69" s="25">
        <f t="shared" si="49"/>
        <v>-26881981.379999999</v>
      </c>
      <c r="AN69" s="25">
        <f t="shared" si="36"/>
        <v>0</v>
      </c>
      <c r="AO69" s="25">
        <f t="shared" si="65"/>
        <v>0</v>
      </c>
      <c r="AP69" s="25">
        <f t="shared" si="65"/>
        <v>0</v>
      </c>
      <c r="AQ69" s="25">
        <f t="shared" si="65"/>
        <v>0</v>
      </c>
      <c r="AR69" s="25">
        <f t="shared" si="65"/>
        <v>0</v>
      </c>
      <c r="AS69" s="25">
        <f t="shared" si="65"/>
        <v>0</v>
      </c>
      <c r="AT69" s="25">
        <f t="shared" si="65"/>
        <v>0</v>
      </c>
      <c r="AU69" s="25">
        <f t="shared" si="65"/>
        <v>0</v>
      </c>
      <c r="AV69" s="25">
        <f t="shared" si="65"/>
        <v>0</v>
      </c>
      <c r="AW69" s="25">
        <f t="shared" si="65"/>
        <v>0</v>
      </c>
      <c r="AX69" s="25">
        <f t="shared" si="65"/>
        <v>0</v>
      </c>
      <c r="AY69" s="25">
        <f t="shared" si="65"/>
        <v>0</v>
      </c>
      <c r="AZ69" s="25">
        <f t="shared" si="50"/>
        <v>-26881981.379999999</v>
      </c>
      <c r="BA69" s="25">
        <f t="shared" si="13"/>
        <v>-26881981.379999999</v>
      </c>
    </row>
    <row r="70" spans="1:53" x14ac:dyDescent="0.15">
      <c r="A70" s="24" t="s">
        <v>64</v>
      </c>
      <c r="G70" s="32">
        <v>36995.360000000001</v>
      </c>
      <c r="H70" s="32">
        <f t="shared" si="61"/>
        <v>36995.360000000001</v>
      </c>
      <c r="I70" s="32">
        <f t="shared" si="61"/>
        <v>36995.360000000001</v>
      </c>
      <c r="J70" s="32">
        <f t="shared" si="61"/>
        <v>36995.360000000001</v>
      </c>
      <c r="K70" s="32">
        <f t="shared" si="61"/>
        <v>36995.360000000001</v>
      </c>
      <c r="L70" s="32">
        <f t="shared" si="61"/>
        <v>36995.360000000001</v>
      </c>
      <c r="M70" s="32">
        <f t="shared" si="63"/>
        <v>36995.360000000001</v>
      </c>
      <c r="N70" s="32">
        <f t="shared" ref="N70:AK70" si="70">+M70+SUMIF($B$224:$B$274,$A70,N$224:N$274)</f>
        <v>36995.360000000001</v>
      </c>
      <c r="O70" s="32">
        <f t="shared" si="70"/>
        <v>36995.360000000001</v>
      </c>
      <c r="P70" s="32">
        <f t="shared" si="70"/>
        <v>36995.360000000001</v>
      </c>
      <c r="Q70" s="32">
        <f t="shared" si="70"/>
        <v>36995.360000000001</v>
      </c>
      <c r="R70" s="32">
        <f t="shared" si="70"/>
        <v>36995.360000000001</v>
      </c>
      <c r="S70" s="32">
        <f t="shared" si="70"/>
        <v>36995.360000000001</v>
      </c>
      <c r="T70" s="32">
        <f t="shared" si="70"/>
        <v>36995.360000000001</v>
      </c>
      <c r="U70" s="32">
        <f t="shared" si="70"/>
        <v>36995.360000000001</v>
      </c>
      <c r="V70" s="32">
        <f t="shared" si="70"/>
        <v>36995.360000000001</v>
      </c>
      <c r="W70" s="32">
        <f t="shared" si="70"/>
        <v>36995.360000000001</v>
      </c>
      <c r="X70" s="32">
        <f t="shared" si="70"/>
        <v>36995.360000000001</v>
      </c>
      <c r="Y70" s="32">
        <f t="shared" si="70"/>
        <v>36995.360000000001</v>
      </c>
      <c r="Z70" s="32">
        <f t="shared" si="70"/>
        <v>36995.360000000001</v>
      </c>
      <c r="AA70" s="32">
        <f t="shared" si="70"/>
        <v>36995.360000000001</v>
      </c>
      <c r="AB70" s="32">
        <f t="shared" si="70"/>
        <v>36995.360000000001</v>
      </c>
      <c r="AC70" s="32">
        <f t="shared" si="70"/>
        <v>36995.360000000001</v>
      </c>
      <c r="AD70" s="32">
        <f t="shared" si="70"/>
        <v>36995.360000000001</v>
      </c>
      <c r="AE70" s="32">
        <f t="shared" si="70"/>
        <v>36995.360000000001</v>
      </c>
      <c r="AF70" s="32">
        <f t="shared" si="70"/>
        <v>36995.360000000001</v>
      </c>
      <c r="AG70" s="32">
        <f t="shared" si="70"/>
        <v>36995.360000000001</v>
      </c>
      <c r="AH70" s="32">
        <f t="shared" si="70"/>
        <v>36995.360000000001</v>
      </c>
      <c r="AI70" s="32">
        <f t="shared" si="70"/>
        <v>36995.360000000001</v>
      </c>
      <c r="AJ70" s="32">
        <f t="shared" si="70"/>
        <v>36995.360000000001</v>
      </c>
      <c r="AK70" s="32">
        <f t="shared" si="70"/>
        <v>36995.360000000001</v>
      </c>
      <c r="AM70" s="25">
        <f t="shared" si="49"/>
        <v>36995.360000000001</v>
      </c>
      <c r="AN70" s="25">
        <f t="shared" si="36"/>
        <v>0</v>
      </c>
      <c r="AO70" s="25">
        <f t="shared" si="65"/>
        <v>0</v>
      </c>
      <c r="AP70" s="25">
        <f t="shared" si="65"/>
        <v>0</v>
      </c>
      <c r="AQ70" s="25">
        <f t="shared" si="65"/>
        <v>0</v>
      </c>
      <c r="AR70" s="25">
        <f t="shared" si="65"/>
        <v>0</v>
      </c>
      <c r="AS70" s="25">
        <f t="shared" si="65"/>
        <v>0</v>
      </c>
      <c r="AT70" s="25">
        <f t="shared" si="65"/>
        <v>0</v>
      </c>
      <c r="AU70" s="25">
        <f t="shared" si="65"/>
        <v>0</v>
      </c>
      <c r="AV70" s="25">
        <f t="shared" si="65"/>
        <v>0</v>
      </c>
      <c r="AW70" s="25">
        <f t="shared" si="65"/>
        <v>0</v>
      </c>
      <c r="AX70" s="25">
        <f t="shared" si="65"/>
        <v>0</v>
      </c>
      <c r="AY70" s="25">
        <f t="shared" si="65"/>
        <v>0</v>
      </c>
      <c r="AZ70" s="25">
        <f t="shared" si="50"/>
        <v>36995.360000000001</v>
      </c>
      <c r="BA70" s="25">
        <f t="shared" si="13"/>
        <v>36995.360000000001</v>
      </c>
    </row>
    <row r="71" spans="1:53" x14ac:dyDescent="0.15">
      <c r="A71" s="24" t="s">
        <v>412</v>
      </c>
      <c r="G71" s="32">
        <v>304424.39</v>
      </c>
      <c r="H71" s="32">
        <f t="shared" si="61"/>
        <v>304424.39</v>
      </c>
      <c r="I71" s="32">
        <f t="shared" si="61"/>
        <v>304424.39</v>
      </c>
      <c r="J71" s="32">
        <f t="shared" si="61"/>
        <v>98611.153058993397</v>
      </c>
      <c r="K71" s="32">
        <f t="shared" si="61"/>
        <v>98611.153058993397</v>
      </c>
      <c r="L71" s="32">
        <f t="shared" si="61"/>
        <v>98611.153058993397</v>
      </c>
      <c r="M71" s="32">
        <f t="shared" si="63"/>
        <v>-107202.08388201322</v>
      </c>
      <c r="N71" s="32">
        <f t="shared" ref="N71:AK71" si="71">+M71+SUMIF($B$224:$B$274,$A71,N$224:N$274)</f>
        <v>-107202.08388201322</v>
      </c>
      <c r="O71" s="32">
        <f t="shared" si="71"/>
        <v>-107202.08388201322</v>
      </c>
      <c r="P71" s="32">
        <f t="shared" si="71"/>
        <v>-574311.77722709195</v>
      </c>
      <c r="Q71" s="32">
        <f t="shared" si="71"/>
        <v>-574311.77722709195</v>
      </c>
      <c r="R71" s="32">
        <f t="shared" si="71"/>
        <v>-574311.77722709195</v>
      </c>
      <c r="S71" s="32">
        <f t="shared" si="71"/>
        <v>-1041421.4705721707</v>
      </c>
      <c r="T71" s="32">
        <f t="shared" si="71"/>
        <v>-1041421.4705721707</v>
      </c>
      <c r="U71" s="32">
        <f t="shared" si="71"/>
        <v>-1041421.4705721707</v>
      </c>
      <c r="V71" s="32">
        <f t="shared" si="71"/>
        <v>-1508531.1639172495</v>
      </c>
      <c r="W71" s="32">
        <f t="shared" si="71"/>
        <v>-1508531.1639172495</v>
      </c>
      <c r="X71" s="32">
        <f t="shared" si="71"/>
        <v>-1508531.1639172495</v>
      </c>
      <c r="Y71" s="32">
        <f t="shared" si="71"/>
        <v>-1975640.8572623283</v>
      </c>
      <c r="Z71" s="32">
        <f t="shared" si="71"/>
        <v>-1975640.8572623283</v>
      </c>
      <c r="AA71" s="32">
        <f t="shared" si="71"/>
        <v>-1975640.8572623283</v>
      </c>
      <c r="AB71" s="32">
        <f t="shared" si="71"/>
        <v>-2625231.6641496373</v>
      </c>
      <c r="AC71" s="32">
        <f t="shared" si="71"/>
        <v>-2625231.6641496373</v>
      </c>
      <c r="AD71" s="32">
        <f t="shared" si="71"/>
        <v>-2625231.6641496373</v>
      </c>
      <c r="AE71" s="32">
        <f t="shared" si="71"/>
        <v>-3274822.4710369464</v>
      </c>
      <c r="AF71" s="32">
        <f t="shared" si="71"/>
        <v>-3274822.4710369464</v>
      </c>
      <c r="AG71" s="32">
        <f t="shared" si="71"/>
        <v>-3274822.4710369464</v>
      </c>
      <c r="AH71" s="32">
        <f t="shared" si="71"/>
        <v>-3924413.2779242555</v>
      </c>
      <c r="AI71" s="32">
        <f t="shared" si="71"/>
        <v>-3924413.2779242555</v>
      </c>
      <c r="AJ71" s="32">
        <f t="shared" si="71"/>
        <v>-3924413.2779242555</v>
      </c>
      <c r="AK71" s="32">
        <f t="shared" si="71"/>
        <v>-4574004.0848115645</v>
      </c>
      <c r="AM71" s="25">
        <f t="shared" si="49"/>
        <v>-574311.77722709195</v>
      </c>
      <c r="AN71" s="25">
        <f t="shared" si="36"/>
        <v>-156862.59409110792</v>
      </c>
      <c r="AO71" s="25">
        <f t="shared" si="65"/>
        <v>-142346.95105581137</v>
      </c>
      <c r="AP71" s="25">
        <f t="shared" si="65"/>
        <v>-128299.55457004051</v>
      </c>
      <c r="AQ71" s="25">
        <f t="shared" si="65"/>
        <v>-113783.91153474395</v>
      </c>
      <c r="AR71" s="25">
        <f t="shared" si="65"/>
        <v>-99736.515048973102</v>
      </c>
      <c r="AS71" s="25">
        <f t="shared" si="65"/>
        <v>-85220.872013676533</v>
      </c>
      <c r="AT71" s="25">
        <f t="shared" si="65"/>
        <v>-70705.228978379993</v>
      </c>
      <c r="AU71" s="25">
        <f t="shared" si="65"/>
        <v>-57594.325591660519</v>
      </c>
      <c r="AV71" s="25">
        <f t="shared" si="65"/>
        <v>-43078.682556363965</v>
      </c>
      <c r="AW71" s="25">
        <f t="shared" si="65"/>
        <v>-29031.286070593105</v>
      </c>
      <c r="AX71" s="25">
        <f t="shared" si="65"/>
        <v>-14515.643035296553</v>
      </c>
      <c r="AY71" s="25">
        <f t="shared" si="65"/>
        <v>-468.24654952569529</v>
      </c>
      <c r="AZ71" s="25">
        <f t="shared" si="50"/>
        <v>-2625231.6641496373</v>
      </c>
      <c r="BA71" s="25">
        <f t="shared" si="13"/>
        <v>-1515955.5883232653</v>
      </c>
    </row>
    <row r="72" spans="1:53" x14ac:dyDescent="0.15">
      <c r="A72" s="24" t="s">
        <v>413</v>
      </c>
      <c r="G72" s="32">
        <v>-281740.89</v>
      </c>
      <c r="H72" s="32">
        <f t="shared" si="61"/>
        <v>-281740.89</v>
      </c>
      <c r="I72" s="32">
        <f t="shared" si="61"/>
        <v>-281740.89</v>
      </c>
      <c r="J72" s="32">
        <f t="shared" si="61"/>
        <v>-262104.03366750001</v>
      </c>
      <c r="K72" s="32">
        <f t="shared" si="61"/>
        <v>-262104.03366750001</v>
      </c>
      <c r="L72" s="32">
        <f t="shared" si="61"/>
        <v>-262104.03366750001</v>
      </c>
      <c r="M72" s="32">
        <f t="shared" si="63"/>
        <v>-242467.17733500001</v>
      </c>
      <c r="N72" s="32">
        <f t="shared" ref="N72:AK72" si="72">+M72+SUMIF($B$224:$B$274,$A72,N$224:N$274)</f>
        <v>-242467.17733500001</v>
      </c>
      <c r="O72" s="32">
        <f t="shared" si="72"/>
        <v>-242467.17733500001</v>
      </c>
      <c r="P72" s="32">
        <f t="shared" si="72"/>
        <v>-222847.07617499997</v>
      </c>
      <c r="Q72" s="32">
        <f t="shared" si="72"/>
        <v>-222847.07617499997</v>
      </c>
      <c r="R72" s="32">
        <f t="shared" si="72"/>
        <v>-222847.07617499997</v>
      </c>
      <c r="S72" s="32">
        <f t="shared" si="72"/>
        <v>-203226.97501499992</v>
      </c>
      <c r="T72" s="32">
        <f t="shared" si="72"/>
        <v>-203226.97501499992</v>
      </c>
      <c r="U72" s="32">
        <f t="shared" si="72"/>
        <v>-203226.97501499992</v>
      </c>
      <c r="V72" s="32">
        <f t="shared" si="72"/>
        <v>-183606.87385499987</v>
      </c>
      <c r="W72" s="32">
        <f t="shared" si="72"/>
        <v>-183606.87385499987</v>
      </c>
      <c r="X72" s="32">
        <f t="shared" si="72"/>
        <v>-183606.87385499987</v>
      </c>
      <c r="Y72" s="32">
        <f t="shared" si="72"/>
        <v>-163986.77269499982</v>
      </c>
      <c r="Z72" s="32">
        <f t="shared" si="72"/>
        <v>-163986.77269499982</v>
      </c>
      <c r="AA72" s="32">
        <f t="shared" si="72"/>
        <v>-163986.77269499982</v>
      </c>
      <c r="AB72" s="32">
        <f t="shared" si="72"/>
        <v>-144366.6715349998</v>
      </c>
      <c r="AC72" s="32">
        <f t="shared" si="72"/>
        <v>-144366.6715349998</v>
      </c>
      <c r="AD72" s="32">
        <f t="shared" si="72"/>
        <v>-144366.6715349998</v>
      </c>
      <c r="AE72" s="32">
        <f t="shared" si="72"/>
        <v>-124746.57037499978</v>
      </c>
      <c r="AF72" s="32">
        <f t="shared" si="72"/>
        <v>-124746.57037499978</v>
      </c>
      <c r="AG72" s="32">
        <f t="shared" si="72"/>
        <v>-124746.57037499978</v>
      </c>
      <c r="AH72" s="32">
        <f t="shared" si="72"/>
        <v>-105126.46921499976</v>
      </c>
      <c r="AI72" s="32">
        <f t="shared" si="72"/>
        <v>-105126.46921499976</v>
      </c>
      <c r="AJ72" s="32">
        <f t="shared" si="72"/>
        <v>-105126.46921499976</v>
      </c>
      <c r="AK72" s="32">
        <f t="shared" si="72"/>
        <v>-85506.368054999737</v>
      </c>
      <c r="AM72" s="25">
        <f t="shared" si="49"/>
        <v>-222847.07617499997</v>
      </c>
      <c r="AN72" s="25">
        <f t="shared" si="36"/>
        <v>6002.4967019178212</v>
      </c>
      <c r="AO72" s="25">
        <f t="shared" si="65"/>
        <v>5447.0417832328885</v>
      </c>
      <c r="AP72" s="25">
        <f t="shared" si="65"/>
        <v>4909.5047651506957</v>
      </c>
      <c r="AQ72" s="25">
        <f t="shared" si="65"/>
        <v>4354.049846465763</v>
      </c>
      <c r="AR72" s="25">
        <f t="shared" si="65"/>
        <v>3816.5128283835702</v>
      </c>
      <c r="AS72" s="25">
        <f t="shared" si="65"/>
        <v>3261.0579096986371</v>
      </c>
      <c r="AT72" s="25">
        <f t="shared" si="65"/>
        <v>2705.6029910137045</v>
      </c>
      <c r="AU72" s="25">
        <f t="shared" si="65"/>
        <v>2203.9017741369912</v>
      </c>
      <c r="AV72" s="25">
        <f t="shared" si="65"/>
        <v>1648.4468554520583</v>
      </c>
      <c r="AW72" s="25">
        <f t="shared" si="65"/>
        <v>1110.9098373698653</v>
      </c>
      <c r="AX72" s="25">
        <f t="shared" si="65"/>
        <v>555.45491868493264</v>
      </c>
      <c r="AY72" s="25">
        <f t="shared" si="65"/>
        <v>17.917900602739763</v>
      </c>
      <c r="AZ72" s="25">
        <f t="shared" si="50"/>
        <v>-144366.6715349998</v>
      </c>
      <c r="BA72" s="25">
        <f t="shared" si="13"/>
        <v>-186814.17806289034</v>
      </c>
    </row>
    <row r="73" spans="1:53" x14ac:dyDescent="0.15">
      <c r="A73" s="24" t="s">
        <v>336</v>
      </c>
      <c r="G73" s="32">
        <v>636157.52</v>
      </c>
      <c r="H73" s="32">
        <f t="shared" si="61"/>
        <v>636157.52</v>
      </c>
      <c r="I73" s="32">
        <f t="shared" si="61"/>
        <v>636157.52</v>
      </c>
      <c r="J73" s="32">
        <f t="shared" si="61"/>
        <v>594596.37885999994</v>
      </c>
      <c r="K73" s="32">
        <f t="shared" si="61"/>
        <v>594596.37885999994</v>
      </c>
      <c r="L73" s="32">
        <f t="shared" si="61"/>
        <v>594596.37885999994</v>
      </c>
      <c r="M73" s="32">
        <f t="shared" si="63"/>
        <v>553035.23771999986</v>
      </c>
      <c r="N73" s="32">
        <f t="shared" ref="N73:AK73" si="73">+M73+SUMIF($B$224:$B$274,$A73,N$224:N$274)</f>
        <v>553035.23771999986</v>
      </c>
      <c r="O73" s="32">
        <f t="shared" si="73"/>
        <v>553035.23771999986</v>
      </c>
      <c r="P73" s="32">
        <f t="shared" si="73"/>
        <v>504432.66800689121</v>
      </c>
      <c r="Q73" s="32">
        <f t="shared" si="73"/>
        <v>504432.66800689121</v>
      </c>
      <c r="R73" s="32">
        <f t="shared" si="73"/>
        <v>504432.66800689121</v>
      </c>
      <c r="S73" s="32">
        <f t="shared" si="73"/>
        <v>455830.09829378256</v>
      </c>
      <c r="T73" s="32">
        <f t="shared" si="73"/>
        <v>455830.09829378256</v>
      </c>
      <c r="U73" s="32">
        <f t="shared" si="73"/>
        <v>455830.09829378256</v>
      </c>
      <c r="V73" s="32">
        <f t="shared" si="73"/>
        <v>407227.52858067391</v>
      </c>
      <c r="W73" s="32">
        <f t="shared" si="73"/>
        <v>407227.52858067391</v>
      </c>
      <c r="X73" s="32">
        <f t="shared" si="73"/>
        <v>407227.52858067391</v>
      </c>
      <c r="Y73" s="32">
        <f t="shared" si="73"/>
        <v>358624.95886756526</v>
      </c>
      <c r="Z73" s="32">
        <f t="shared" si="73"/>
        <v>358624.95886756526</v>
      </c>
      <c r="AA73" s="32">
        <f t="shared" si="73"/>
        <v>358624.95886756526</v>
      </c>
      <c r="AB73" s="32">
        <f t="shared" si="73"/>
        <v>308696.09753977729</v>
      </c>
      <c r="AC73" s="32">
        <f t="shared" si="73"/>
        <v>308696.09753977729</v>
      </c>
      <c r="AD73" s="32">
        <f t="shared" si="73"/>
        <v>308696.09753977729</v>
      </c>
      <c r="AE73" s="32">
        <f t="shared" si="73"/>
        <v>258767.23621198931</v>
      </c>
      <c r="AF73" s="32">
        <f t="shared" si="73"/>
        <v>258767.23621198931</v>
      </c>
      <c r="AG73" s="32">
        <f t="shared" si="73"/>
        <v>258767.23621198931</v>
      </c>
      <c r="AH73" s="32">
        <f t="shared" si="73"/>
        <v>208838.37488420133</v>
      </c>
      <c r="AI73" s="32">
        <f t="shared" si="73"/>
        <v>208838.37488420133</v>
      </c>
      <c r="AJ73" s="32">
        <f t="shared" si="73"/>
        <v>208838.37488420133</v>
      </c>
      <c r="AK73" s="32">
        <f t="shared" si="73"/>
        <v>158909.51355641335</v>
      </c>
      <c r="AM73" s="25">
        <f t="shared" si="49"/>
        <v>504432.66800689121</v>
      </c>
      <c r="AN73" s="25">
        <f t="shared" si="36"/>
        <v>-14970.719430703919</v>
      </c>
      <c r="AO73" s="25">
        <f t="shared" si="65"/>
        <v>-13585.369274429824</v>
      </c>
      <c r="AP73" s="25">
        <f t="shared" si="65"/>
        <v>-12244.70783287425</v>
      </c>
      <c r="AQ73" s="25">
        <f t="shared" si="65"/>
        <v>-10859.357676600157</v>
      </c>
      <c r="AR73" s="25">
        <f t="shared" si="65"/>
        <v>-9518.696235044581</v>
      </c>
      <c r="AS73" s="25">
        <f t="shared" si="65"/>
        <v>-8133.3460787704871</v>
      </c>
      <c r="AT73" s="25">
        <f t="shared" si="65"/>
        <v>-6747.9959224963932</v>
      </c>
      <c r="AU73" s="25">
        <f t="shared" si="65"/>
        <v>-5496.7119103778568</v>
      </c>
      <c r="AV73" s="25">
        <f t="shared" si="65"/>
        <v>-4111.3617541037629</v>
      </c>
      <c r="AW73" s="25">
        <f t="shared" si="65"/>
        <v>-2770.7003125481879</v>
      </c>
      <c r="AX73" s="25">
        <f t="shared" si="65"/>
        <v>-1385.3501562740939</v>
      </c>
      <c r="AY73" s="25">
        <f t="shared" si="65"/>
        <v>-44.688714718519158</v>
      </c>
      <c r="AZ73" s="25">
        <f t="shared" si="50"/>
        <v>308696.09753977729</v>
      </c>
      <c r="BA73" s="25">
        <f t="shared" si="13"/>
        <v>414563.66270794929</v>
      </c>
    </row>
    <row r="74" spans="1:53" x14ac:dyDescent="0.15">
      <c r="A74" s="24" t="s">
        <v>337</v>
      </c>
      <c r="G74" s="32">
        <v>87305.35</v>
      </c>
      <c r="H74" s="32">
        <f t="shared" ref="H74:L83" si="74">+G74+SUMIF($B$224:$B$274,$A74,H$224:H$274)</f>
        <v>87305.35</v>
      </c>
      <c r="I74" s="32">
        <f t="shared" si="74"/>
        <v>87305.35</v>
      </c>
      <c r="J74" s="32">
        <f t="shared" si="74"/>
        <v>90359.249959999986</v>
      </c>
      <c r="K74" s="32">
        <f t="shared" si="74"/>
        <v>90359.249959999986</v>
      </c>
      <c r="L74" s="32">
        <f t="shared" si="74"/>
        <v>90359.249959999986</v>
      </c>
      <c r="M74" s="32">
        <f t="shared" si="63"/>
        <v>93413.149919999967</v>
      </c>
      <c r="N74" s="32">
        <f t="shared" ref="N74:AK74" si="75">+M74+SUMIF($B$224:$B$274,$A74,N$224:N$274)</f>
        <v>93413.149919999967</v>
      </c>
      <c r="O74" s="32">
        <f t="shared" si="75"/>
        <v>93413.149919999967</v>
      </c>
      <c r="P74" s="32">
        <f t="shared" si="75"/>
        <v>83661.332639999964</v>
      </c>
      <c r="Q74" s="32">
        <f t="shared" si="75"/>
        <v>83661.332639999964</v>
      </c>
      <c r="R74" s="32">
        <f t="shared" si="75"/>
        <v>83661.332639999964</v>
      </c>
      <c r="S74" s="32">
        <f t="shared" si="75"/>
        <v>73909.515359999961</v>
      </c>
      <c r="T74" s="32">
        <f t="shared" si="75"/>
        <v>73909.515359999961</v>
      </c>
      <c r="U74" s="32">
        <f t="shared" si="75"/>
        <v>73909.515359999961</v>
      </c>
      <c r="V74" s="32">
        <f t="shared" si="75"/>
        <v>64157.698079999951</v>
      </c>
      <c r="W74" s="32">
        <f t="shared" si="75"/>
        <v>64157.698079999951</v>
      </c>
      <c r="X74" s="32">
        <f t="shared" si="75"/>
        <v>64157.698079999951</v>
      </c>
      <c r="Y74" s="32">
        <f t="shared" si="75"/>
        <v>54405.880799999941</v>
      </c>
      <c r="Z74" s="32">
        <f t="shared" si="75"/>
        <v>54405.880799999941</v>
      </c>
      <c r="AA74" s="32">
        <f t="shared" si="75"/>
        <v>54405.880799999941</v>
      </c>
      <c r="AB74" s="32">
        <f t="shared" si="75"/>
        <v>45158.095934999939</v>
      </c>
      <c r="AC74" s="32">
        <f t="shared" si="75"/>
        <v>45158.095934999939</v>
      </c>
      <c r="AD74" s="32">
        <f t="shared" si="75"/>
        <v>45158.095934999939</v>
      </c>
      <c r="AE74" s="32">
        <f t="shared" si="75"/>
        <v>35910.311069999938</v>
      </c>
      <c r="AF74" s="32">
        <f t="shared" si="75"/>
        <v>35910.311069999938</v>
      </c>
      <c r="AG74" s="32">
        <f t="shared" si="75"/>
        <v>35910.311069999938</v>
      </c>
      <c r="AH74" s="32">
        <f t="shared" si="75"/>
        <v>26662.526204999936</v>
      </c>
      <c r="AI74" s="32">
        <f t="shared" si="75"/>
        <v>26662.526204999936</v>
      </c>
      <c r="AJ74" s="32">
        <f t="shared" si="75"/>
        <v>26662.526204999936</v>
      </c>
      <c r="AK74" s="32">
        <f t="shared" si="75"/>
        <v>17414.741339999935</v>
      </c>
      <c r="AM74" s="25">
        <f t="shared" si="49"/>
        <v>83661.332639999964</v>
      </c>
      <c r="AN74" s="25">
        <f t="shared" si="36"/>
        <v>-2944.882259400687</v>
      </c>
      <c r="AO74" s="25">
        <f t="shared" si="65"/>
        <v>-2672.370766739728</v>
      </c>
      <c r="AP74" s="25">
        <f t="shared" si="65"/>
        <v>-2408.6499673904127</v>
      </c>
      <c r="AQ74" s="25">
        <f t="shared" si="65"/>
        <v>-2136.1384747294537</v>
      </c>
      <c r="AR74" s="25">
        <f t="shared" si="65"/>
        <v>-1872.4176753801385</v>
      </c>
      <c r="AS74" s="25">
        <f t="shared" si="65"/>
        <v>-1599.9061827191792</v>
      </c>
      <c r="AT74" s="25">
        <f t="shared" si="65"/>
        <v>-1327.3946900582202</v>
      </c>
      <c r="AU74" s="25">
        <f t="shared" si="65"/>
        <v>-1081.2552773321925</v>
      </c>
      <c r="AV74" s="25">
        <f t="shared" si="65"/>
        <v>-808.74378467123347</v>
      </c>
      <c r="AW74" s="25">
        <f t="shared" si="65"/>
        <v>-545.02298532191821</v>
      </c>
      <c r="AX74" s="25">
        <f t="shared" si="65"/>
        <v>-272.51149266095911</v>
      </c>
      <c r="AY74" s="25">
        <f t="shared" si="65"/>
        <v>-8.7906933116438424</v>
      </c>
      <c r="AZ74" s="25">
        <f t="shared" si="50"/>
        <v>45158.095934999939</v>
      </c>
      <c r="BA74" s="25">
        <f t="shared" si="13"/>
        <v>65983.248390284192</v>
      </c>
    </row>
    <row r="75" spans="1:53" x14ac:dyDescent="0.15">
      <c r="A75" s="24" t="s">
        <v>65</v>
      </c>
      <c r="G75" s="32">
        <v>-1258040.8999999999</v>
      </c>
      <c r="H75" s="32">
        <f t="shared" si="74"/>
        <v>-1258040.8999999999</v>
      </c>
      <c r="I75" s="32">
        <f t="shared" si="74"/>
        <v>-1258040.8999999999</v>
      </c>
      <c r="J75" s="32">
        <f t="shared" si="74"/>
        <v>-1342704.179688158</v>
      </c>
      <c r="K75" s="32">
        <f t="shared" si="74"/>
        <v>-1342704.179688158</v>
      </c>
      <c r="L75" s="32">
        <f t="shared" si="74"/>
        <v>-1342704.179688158</v>
      </c>
      <c r="M75" s="32">
        <f t="shared" si="63"/>
        <v>-1427367.4593763161</v>
      </c>
      <c r="N75" s="32">
        <f t="shared" ref="N75:AK75" si="76">+M75+SUMIF($B$224:$B$274,$A75,N$224:N$274)</f>
        <v>-1427367.4593763161</v>
      </c>
      <c r="O75" s="32">
        <f t="shared" si="76"/>
        <v>-1427367.4593763161</v>
      </c>
      <c r="P75" s="32">
        <f t="shared" si="76"/>
        <v>-1373870.3460288281</v>
      </c>
      <c r="Q75" s="32">
        <f t="shared" si="76"/>
        <v>-1373870.3460288281</v>
      </c>
      <c r="R75" s="32">
        <f t="shared" si="76"/>
        <v>-1373870.3460288281</v>
      </c>
      <c r="S75" s="32">
        <f t="shared" si="76"/>
        <v>-1320373.2326813401</v>
      </c>
      <c r="T75" s="32">
        <f t="shared" si="76"/>
        <v>-1320373.2326813401</v>
      </c>
      <c r="U75" s="32">
        <f t="shared" si="76"/>
        <v>-1320373.2326813401</v>
      </c>
      <c r="V75" s="32">
        <f t="shared" si="76"/>
        <v>-1266876.1193338521</v>
      </c>
      <c r="W75" s="32">
        <f t="shared" si="76"/>
        <v>-1266876.1193338521</v>
      </c>
      <c r="X75" s="32">
        <f t="shared" si="76"/>
        <v>-1266876.1193338521</v>
      </c>
      <c r="Y75" s="32">
        <f t="shared" si="76"/>
        <v>-1213379.0059863641</v>
      </c>
      <c r="Z75" s="32">
        <f t="shared" si="76"/>
        <v>-1213379.0059863641</v>
      </c>
      <c r="AA75" s="32">
        <f t="shared" si="76"/>
        <v>-1213379.0059863641</v>
      </c>
      <c r="AB75" s="32">
        <f t="shared" si="76"/>
        <v>-1116858.3057414342</v>
      </c>
      <c r="AC75" s="32">
        <f t="shared" si="76"/>
        <v>-1116858.3057414342</v>
      </c>
      <c r="AD75" s="32">
        <f t="shared" si="76"/>
        <v>-1116858.3057414342</v>
      </c>
      <c r="AE75" s="32">
        <f t="shared" si="76"/>
        <v>-1020337.6054965042</v>
      </c>
      <c r="AF75" s="32">
        <f t="shared" si="76"/>
        <v>-1020337.6054965042</v>
      </c>
      <c r="AG75" s="32">
        <f t="shared" si="76"/>
        <v>-1020337.6054965042</v>
      </c>
      <c r="AH75" s="32">
        <f t="shared" si="76"/>
        <v>-923816.90525157424</v>
      </c>
      <c r="AI75" s="32">
        <f t="shared" si="76"/>
        <v>-923816.90525157424</v>
      </c>
      <c r="AJ75" s="32">
        <f t="shared" si="76"/>
        <v>-923816.90525157424</v>
      </c>
      <c r="AK75" s="32">
        <f t="shared" si="76"/>
        <v>-827296.20500664425</v>
      </c>
      <c r="AM75" s="25">
        <f t="shared" si="49"/>
        <v>-1373870.3460288281</v>
      </c>
      <c r="AN75" s="25">
        <f t="shared" si="36"/>
        <v>19657.313583624869</v>
      </c>
      <c r="AO75" s="25">
        <f t="shared" si="65"/>
        <v>17838.278595289434</v>
      </c>
      <c r="AP75" s="25">
        <f t="shared" si="65"/>
        <v>16077.922154964819</v>
      </c>
      <c r="AQ75" s="25">
        <f t="shared" si="65"/>
        <v>14258.887166629385</v>
      </c>
      <c r="AR75" s="25">
        <f t="shared" si="65"/>
        <v>12498.530726304769</v>
      </c>
      <c r="AS75" s="25">
        <f t="shared" si="65"/>
        <v>10679.495737969333</v>
      </c>
      <c r="AT75" s="25">
        <f t="shared" si="65"/>
        <v>8860.4607496338976</v>
      </c>
      <c r="AU75" s="25">
        <f t="shared" si="65"/>
        <v>7217.4614053309224</v>
      </c>
      <c r="AV75" s="25">
        <f t="shared" si="65"/>
        <v>5398.4264169954877</v>
      </c>
      <c r="AW75" s="25">
        <f t="shared" si="65"/>
        <v>3638.0699766708713</v>
      </c>
      <c r="AX75" s="25">
        <f t="shared" si="65"/>
        <v>1819.0349883354356</v>
      </c>
      <c r="AY75" s="25">
        <f t="shared" si="65"/>
        <v>58.678548010820506</v>
      </c>
      <c r="AZ75" s="25">
        <f t="shared" si="50"/>
        <v>-1116858.3057414342</v>
      </c>
      <c r="BA75" s="25">
        <f t="shared" si="13"/>
        <v>-1255867.7859790681</v>
      </c>
    </row>
    <row r="76" spans="1:53" x14ac:dyDescent="0.15">
      <c r="A76" s="24" t="s">
        <v>100</v>
      </c>
      <c r="G76" s="32">
        <v>475706.5</v>
      </c>
      <c r="H76" s="32">
        <f t="shared" si="74"/>
        <v>475706.5</v>
      </c>
      <c r="I76" s="32">
        <f t="shared" si="74"/>
        <v>475706.5</v>
      </c>
      <c r="J76" s="32">
        <f t="shared" si="74"/>
        <v>-915147</v>
      </c>
      <c r="K76" s="32">
        <f t="shared" si="74"/>
        <v>-915147</v>
      </c>
      <c r="L76" s="32">
        <f t="shared" si="74"/>
        <v>-915147</v>
      </c>
      <c r="M76" s="32">
        <f t="shared" si="63"/>
        <v>-2306000.5</v>
      </c>
      <c r="N76" s="32">
        <f t="shared" ref="N76:AK76" si="77">+M76+SUMIF($B$224:$B$274,$A76,N$224:N$274)</f>
        <v>-2306000.5</v>
      </c>
      <c r="O76" s="32">
        <f t="shared" si="77"/>
        <v>-2306000.5</v>
      </c>
      <c r="P76" s="32">
        <f t="shared" si="77"/>
        <v>-2306000.5</v>
      </c>
      <c r="Q76" s="32">
        <f t="shared" si="77"/>
        <v>-2306000.5</v>
      </c>
      <c r="R76" s="32">
        <f t="shared" si="77"/>
        <v>-2306000.5</v>
      </c>
      <c r="S76" s="32">
        <f t="shared" si="77"/>
        <v>-2306000.5</v>
      </c>
      <c r="T76" s="32">
        <f t="shared" si="77"/>
        <v>-2306000.5</v>
      </c>
      <c r="U76" s="32">
        <f t="shared" si="77"/>
        <v>-2306000.5</v>
      </c>
      <c r="V76" s="32">
        <f t="shared" si="77"/>
        <v>-2306000.5</v>
      </c>
      <c r="W76" s="32">
        <f t="shared" si="77"/>
        <v>-2306000.5</v>
      </c>
      <c r="X76" s="32">
        <f t="shared" si="77"/>
        <v>-2306000.5</v>
      </c>
      <c r="Y76" s="32">
        <f t="shared" si="77"/>
        <v>-2306000.5</v>
      </c>
      <c r="Z76" s="32">
        <f t="shared" si="77"/>
        <v>-2306000.5</v>
      </c>
      <c r="AA76" s="32">
        <f t="shared" si="77"/>
        <v>-2306000.5</v>
      </c>
      <c r="AB76" s="32">
        <f t="shared" si="77"/>
        <v>-2306000.5</v>
      </c>
      <c r="AC76" s="32">
        <f t="shared" si="77"/>
        <v>-2306000.5</v>
      </c>
      <c r="AD76" s="32">
        <f t="shared" si="77"/>
        <v>-2306000.5</v>
      </c>
      <c r="AE76" s="32">
        <f t="shared" si="77"/>
        <v>-2306000.5</v>
      </c>
      <c r="AF76" s="32">
        <f t="shared" si="77"/>
        <v>-2306000.5</v>
      </c>
      <c r="AG76" s="32">
        <f t="shared" si="77"/>
        <v>-2306000.5</v>
      </c>
      <c r="AH76" s="32">
        <f t="shared" si="77"/>
        <v>-2306000.5</v>
      </c>
      <c r="AI76" s="32">
        <f t="shared" si="77"/>
        <v>-2306000.5</v>
      </c>
      <c r="AJ76" s="32">
        <f t="shared" si="77"/>
        <v>-2306000.5</v>
      </c>
      <c r="AK76" s="32">
        <f t="shared" si="77"/>
        <v>-2306000.5</v>
      </c>
      <c r="AM76" s="25">
        <f t="shared" si="49"/>
        <v>-2306000.5</v>
      </c>
      <c r="AN76" s="25">
        <f t="shared" si="36"/>
        <v>0</v>
      </c>
      <c r="AO76" s="25">
        <f t="shared" si="65"/>
        <v>0</v>
      </c>
      <c r="AP76" s="25">
        <f t="shared" si="65"/>
        <v>0</v>
      </c>
      <c r="AQ76" s="25">
        <f t="shared" si="65"/>
        <v>0</v>
      </c>
      <c r="AR76" s="25">
        <f t="shared" si="65"/>
        <v>0</v>
      </c>
      <c r="AS76" s="25">
        <f t="shared" si="65"/>
        <v>0</v>
      </c>
      <c r="AT76" s="25">
        <f t="shared" si="65"/>
        <v>0</v>
      </c>
      <c r="AU76" s="25">
        <f t="shared" si="65"/>
        <v>0</v>
      </c>
      <c r="AV76" s="25">
        <f t="shared" si="65"/>
        <v>0</v>
      </c>
      <c r="AW76" s="25">
        <f t="shared" si="65"/>
        <v>0</v>
      </c>
      <c r="AX76" s="25">
        <f t="shared" si="65"/>
        <v>0</v>
      </c>
      <c r="AY76" s="25">
        <f t="shared" si="65"/>
        <v>0</v>
      </c>
      <c r="AZ76" s="25">
        <f t="shared" si="50"/>
        <v>-2306000.5</v>
      </c>
      <c r="BA76" s="25">
        <f t="shared" si="13"/>
        <v>-2306000.5</v>
      </c>
    </row>
    <row r="77" spans="1:53" x14ac:dyDescent="0.15">
      <c r="A77" s="24" t="s">
        <v>101</v>
      </c>
      <c r="G77" s="32">
        <v>-76196.3</v>
      </c>
      <c r="H77" s="32">
        <f t="shared" si="74"/>
        <v>-76196.3</v>
      </c>
      <c r="I77" s="32">
        <f t="shared" si="74"/>
        <v>-76196.3</v>
      </c>
      <c r="J77" s="32">
        <f t="shared" si="74"/>
        <v>-76196.3</v>
      </c>
      <c r="K77" s="32">
        <f t="shared" si="74"/>
        <v>-76196.3</v>
      </c>
      <c r="L77" s="32">
        <f t="shared" si="74"/>
        <v>-76196.3</v>
      </c>
      <c r="M77" s="32">
        <f t="shared" si="63"/>
        <v>-76196.3</v>
      </c>
      <c r="N77" s="32">
        <f t="shared" ref="N77:AK77" si="78">+M77+SUMIF($B$224:$B$274,$A77,N$224:N$274)</f>
        <v>-76196.3</v>
      </c>
      <c r="O77" s="32">
        <f t="shared" si="78"/>
        <v>-76196.3</v>
      </c>
      <c r="P77" s="32">
        <f t="shared" si="78"/>
        <v>-76196.3</v>
      </c>
      <c r="Q77" s="32">
        <f t="shared" si="78"/>
        <v>-76196.3</v>
      </c>
      <c r="R77" s="32">
        <f t="shared" si="78"/>
        <v>-76196.3</v>
      </c>
      <c r="S77" s="32">
        <f t="shared" si="78"/>
        <v>-76196.3</v>
      </c>
      <c r="T77" s="32">
        <f t="shared" si="78"/>
        <v>-76196.3</v>
      </c>
      <c r="U77" s="32">
        <f t="shared" si="78"/>
        <v>-76196.3</v>
      </c>
      <c r="V77" s="32">
        <f t="shared" si="78"/>
        <v>-76196.3</v>
      </c>
      <c r="W77" s="32">
        <f t="shared" si="78"/>
        <v>-76196.3</v>
      </c>
      <c r="X77" s="32">
        <f t="shared" si="78"/>
        <v>-76196.3</v>
      </c>
      <c r="Y77" s="32">
        <f t="shared" si="78"/>
        <v>-76196.3</v>
      </c>
      <c r="Z77" s="32">
        <f t="shared" si="78"/>
        <v>-76196.3</v>
      </c>
      <c r="AA77" s="32">
        <f t="shared" si="78"/>
        <v>-76196.3</v>
      </c>
      <c r="AB77" s="32">
        <f t="shared" si="78"/>
        <v>-76196.3</v>
      </c>
      <c r="AC77" s="32">
        <f t="shared" si="78"/>
        <v>-76196.3</v>
      </c>
      <c r="AD77" s="32">
        <f t="shared" si="78"/>
        <v>-76196.3</v>
      </c>
      <c r="AE77" s="32">
        <f t="shared" si="78"/>
        <v>-76196.3</v>
      </c>
      <c r="AF77" s="32">
        <f t="shared" si="78"/>
        <v>-76196.3</v>
      </c>
      <c r="AG77" s="32">
        <f t="shared" si="78"/>
        <v>-76196.3</v>
      </c>
      <c r="AH77" s="32">
        <f t="shared" si="78"/>
        <v>-76196.3</v>
      </c>
      <c r="AI77" s="32">
        <f t="shared" si="78"/>
        <v>-76196.3</v>
      </c>
      <c r="AJ77" s="32">
        <f t="shared" si="78"/>
        <v>-76196.3</v>
      </c>
      <c r="AK77" s="32">
        <f t="shared" si="78"/>
        <v>-76196.3</v>
      </c>
      <c r="AM77" s="25">
        <f t="shared" si="49"/>
        <v>-76196.3</v>
      </c>
      <c r="AN77" s="25">
        <f t="shared" si="36"/>
        <v>0</v>
      </c>
      <c r="AO77" s="25">
        <f t="shared" si="65"/>
        <v>0</v>
      </c>
      <c r="AP77" s="25">
        <f t="shared" si="65"/>
        <v>0</v>
      </c>
      <c r="AQ77" s="25">
        <f t="shared" si="65"/>
        <v>0</v>
      </c>
      <c r="AR77" s="25">
        <f t="shared" si="65"/>
        <v>0</v>
      </c>
      <c r="AS77" s="25">
        <f t="shared" si="65"/>
        <v>0</v>
      </c>
      <c r="AT77" s="25">
        <f t="shared" si="65"/>
        <v>0</v>
      </c>
      <c r="AU77" s="25">
        <f t="shared" si="65"/>
        <v>0</v>
      </c>
      <c r="AV77" s="25">
        <f t="shared" si="65"/>
        <v>0</v>
      </c>
      <c r="AW77" s="25">
        <f t="shared" si="65"/>
        <v>0</v>
      </c>
      <c r="AX77" s="25">
        <f t="shared" si="65"/>
        <v>0</v>
      </c>
      <c r="AY77" s="25">
        <f t="shared" si="65"/>
        <v>0</v>
      </c>
      <c r="AZ77" s="25">
        <f t="shared" si="50"/>
        <v>-76196.3</v>
      </c>
      <c r="BA77" s="25">
        <f t="shared" si="13"/>
        <v>-76196.3</v>
      </c>
    </row>
    <row r="78" spans="1:53" x14ac:dyDescent="0.15">
      <c r="A78" s="24" t="s">
        <v>102</v>
      </c>
      <c r="G78" s="32">
        <v>2305877.5</v>
      </c>
      <c r="H78" s="32">
        <f t="shared" si="74"/>
        <v>2305877.5</v>
      </c>
      <c r="I78" s="32">
        <f t="shared" si="74"/>
        <v>2305877.5</v>
      </c>
      <c r="J78" s="32">
        <f t="shared" si="74"/>
        <v>2305877.5</v>
      </c>
      <c r="K78" s="32">
        <f t="shared" si="74"/>
        <v>2305877.5</v>
      </c>
      <c r="L78" s="32">
        <f t="shared" si="74"/>
        <v>2305877.5</v>
      </c>
      <c r="M78" s="32">
        <f t="shared" si="63"/>
        <v>2305877.5</v>
      </c>
      <c r="N78" s="32">
        <f t="shared" ref="N78:AK78" si="79">+M78+SUMIF($B$224:$B$274,$A78,N$224:N$274)</f>
        <v>2305877.5</v>
      </c>
      <c r="O78" s="32">
        <f t="shared" si="79"/>
        <v>2305877.5</v>
      </c>
      <c r="P78" s="32">
        <f t="shared" si="79"/>
        <v>2305877.5</v>
      </c>
      <c r="Q78" s="32">
        <f t="shared" si="79"/>
        <v>2305877.5</v>
      </c>
      <c r="R78" s="32">
        <f t="shared" si="79"/>
        <v>2305877.5</v>
      </c>
      <c r="S78" s="32">
        <f t="shared" si="79"/>
        <v>2305877.5</v>
      </c>
      <c r="T78" s="32">
        <f t="shared" si="79"/>
        <v>2305877.5</v>
      </c>
      <c r="U78" s="32">
        <f t="shared" si="79"/>
        <v>2305877.5</v>
      </c>
      <c r="V78" s="32">
        <f t="shared" si="79"/>
        <v>2305877.5</v>
      </c>
      <c r="W78" s="32">
        <f t="shared" si="79"/>
        <v>2305877.5</v>
      </c>
      <c r="X78" s="32">
        <f t="shared" si="79"/>
        <v>2305877.5</v>
      </c>
      <c r="Y78" s="32">
        <f t="shared" si="79"/>
        <v>2305877.5</v>
      </c>
      <c r="Z78" s="32">
        <f t="shared" si="79"/>
        <v>2305877.5</v>
      </c>
      <c r="AA78" s="32">
        <f t="shared" si="79"/>
        <v>2305877.5</v>
      </c>
      <c r="AB78" s="32">
        <f t="shared" si="79"/>
        <v>2305877.5</v>
      </c>
      <c r="AC78" s="32">
        <f t="shared" si="79"/>
        <v>2305877.5</v>
      </c>
      <c r="AD78" s="32">
        <f t="shared" si="79"/>
        <v>2305877.5</v>
      </c>
      <c r="AE78" s="32">
        <f t="shared" si="79"/>
        <v>2305877.5</v>
      </c>
      <c r="AF78" s="32">
        <f t="shared" si="79"/>
        <v>2305877.5</v>
      </c>
      <c r="AG78" s="32">
        <f t="shared" si="79"/>
        <v>2305877.5</v>
      </c>
      <c r="AH78" s="32">
        <f t="shared" si="79"/>
        <v>2305877.5</v>
      </c>
      <c r="AI78" s="32">
        <f t="shared" si="79"/>
        <v>2305877.5</v>
      </c>
      <c r="AJ78" s="32">
        <f t="shared" si="79"/>
        <v>2305877.5</v>
      </c>
      <c r="AK78" s="32">
        <f t="shared" si="79"/>
        <v>2305877.5</v>
      </c>
      <c r="AM78" s="25">
        <f t="shared" si="49"/>
        <v>2305877.5</v>
      </c>
      <c r="AN78" s="25">
        <f t="shared" si="36"/>
        <v>0</v>
      </c>
      <c r="AO78" s="25">
        <f t="shared" si="65"/>
        <v>0</v>
      </c>
      <c r="AP78" s="25">
        <f t="shared" si="65"/>
        <v>0</v>
      </c>
      <c r="AQ78" s="25">
        <f t="shared" si="65"/>
        <v>0</v>
      </c>
      <c r="AR78" s="25">
        <f t="shared" si="65"/>
        <v>0</v>
      </c>
      <c r="AS78" s="25">
        <f t="shared" si="65"/>
        <v>0</v>
      </c>
      <c r="AT78" s="25">
        <f t="shared" si="65"/>
        <v>0</v>
      </c>
      <c r="AU78" s="25">
        <f t="shared" si="65"/>
        <v>0</v>
      </c>
      <c r="AV78" s="25">
        <f t="shared" si="65"/>
        <v>0</v>
      </c>
      <c r="AW78" s="25">
        <f t="shared" si="65"/>
        <v>0</v>
      </c>
      <c r="AX78" s="25">
        <f t="shared" si="65"/>
        <v>0</v>
      </c>
      <c r="AY78" s="25">
        <f t="shared" si="65"/>
        <v>0</v>
      </c>
      <c r="AZ78" s="25">
        <f t="shared" si="50"/>
        <v>2305877.5</v>
      </c>
      <c r="BA78" s="25">
        <f t="shared" si="13"/>
        <v>2305877.5</v>
      </c>
    </row>
    <row r="79" spans="1:53" x14ac:dyDescent="0.15">
      <c r="A79" s="24" t="s">
        <v>66</v>
      </c>
      <c r="G79" s="32">
        <v>369725.79</v>
      </c>
      <c r="H79" s="32">
        <f t="shared" si="74"/>
        <v>369725.79</v>
      </c>
      <c r="I79" s="32">
        <f t="shared" si="74"/>
        <v>369725.79</v>
      </c>
      <c r="J79" s="32">
        <f t="shared" si="74"/>
        <v>369725.79</v>
      </c>
      <c r="K79" s="32">
        <f t="shared" si="74"/>
        <v>369725.79</v>
      </c>
      <c r="L79" s="32">
        <f t="shared" si="74"/>
        <v>369725.79</v>
      </c>
      <c r="M79" s="32">
        <f t="shared" si="63"/>
        <v>369725.79</v>
      </c>
      <c r="N79" s="32">
        <f t="shared" ref="N79:AK79" si="80">+M79+SUMIF($B$224:$B$274,$A79,N$224:N$274)</f>
        <v>369725.79</v>
      </c>
      <c r="O79" s="32">
        <f t="shared" si="80"/>
        <v>369725.79</v>
      </c>
      <c r="P79" s="32">
        <f t="shared" si="80"/>
        <v>369725.79</v>
      </c>
      <c r="Q79" s="32">
        <f t="shared" si="80"/>
        <v>369725.79</v>
      </c>
      <c r="R79" s="32">
        <f t="shared" si="80"/>
        <v>369725.79</v>
      </c>
      <c r="S79" s="32">
        <f t="shared" si="80"/>
        <v>369725.79</v>
      </c>
      <c r="T79" s="32">
        <f t="shared" si="80"/>
        <v>369725.79</v>
      </c>
      <c r="U79" s="32">
        <f t="shared" si="80"/>
        <v>369725.79</v>
      </c>
      <c r="V79" s="32">
        <f t="shared" si="80"/>
        <v>369725.79</v>
      </c>
      <c r="W79" s="32">
        <f t="shared" si="80"/>
        <v>369725.79</v>
      </c>
      <c r="X79" s="32">
        <f t="shared" si="80"/>
        <v>369725.79</v>
      </c>
      <c r="Y79" s="32">
        <f t="shared" si="80"/>
        <v>369725.79</v>
      </c>
      <c r="Z79" s="32">
        <f t="shared" si="80"/>
        <v>369725.79</v>
      </c>
      <c r="AA79" s="32">
        <f t="shared" si="80"/>
        <v>369725.79</v>
      </c>
      <c r="AB79" s="32">
        <f t="shared" si="80"/>
        <v>369725.79</v>
      </c>
      <c r="AC79" s="32">
        <f t="shared" si="80"/>
        <v>369725.79</v>
      </c>
      <c r="AD79" s="32">
        <f t="shared" si="80"/>
        <v>369725.79</v>
      </c>
      <c r="AE79" s="32">
        <f t="shared" si="80"/>
        <v>369725.79</v>
      </c>
      <c r="AF79" s="32">
        <f t="shared" si="80"/>
        <v>369725.79</v>
      </c>
      <c r="AG79" s="32">
        <f t="shared" si="80"/>
        <v>369725.79</v>
      </c>
      <c r="AH79" s="32">
        <f t="shared" si="80"/>
        <v>369725.79</v>
      </c>
      <c r="AI79" s="32">
        <f t="shared" si="80"/>
        <v>369725.79</v>
      </c>
      <c r="AJ79" s="32">
        <f t="shared" si="80"/>
        <v>369725.79</v>
      </c>
      <c r="AK79" s="32">
        <f t="shared" si="80"/>
        <v>369725.79</v>
      </c>
      <c r="AM79" s="25">
        <f t="shared" si="49"/>
        <v>369725.79</v>
      </c>
      <c r="AN79" s="25">
        <f t="shared" si="36"/>
        <v>0</v>
      </c>
      <c r="AO79" s="25">
        <f t="shared" si="65"/>
        <v>0</v>
      </c>
      <c r="AP79" s="25">
        <f t="shared" si="65"/>
        <v>0</v>
      </c>
      <c r="AQ79" s="25">
        <f t="shared" si="65"/>
        <v>0</v>
      </c>
      <c r="AR79" s="25">
        <f t="shared" si="65"/>
        <v>0</v>
      </c>
      <c r="AS79" s="25">
        <f t="shared" si="65"/>
        <v>0</v>
      </c>
      <c r="AT79" s="25">
        <f t="shared" si="65"/>
        <v>0</v>
      </c>
      <c r="AU79" s="25">
        <f t="shared" si="65"/>
        <v>0</v>
      </c>
      <c r="AV79" s="25">
        <f t="shared" si="65"/>
        <v>0</v>
      </c>
      <c r="AW79" s="25">
        <f t="shared" si="65"/>
        <v>0</v>
      </c>
      <c r="AX79" s="25">
        <f t="shared" si="65"/>
        <v>0</v>
      </c>
      <c r="AY79" s="25">
        <f t="shared" si="65"/>
        <v>0</v>
      </c>
      <c r="AZ79" s="25">
        <f t="shared" si="50"/>
        <v>369725.79</v>
      </c>
      <c r="BA79" s="25">
        <f t="shared" si="13"/>
        <v>369725.79</v>
      </c>
    </row>
    <row r="80" spans="1:53" x14ac:dyDescent="0.15">
      <c r="A80" s="24" t="s">
        <v>68</v>
      </c>
      <c r="G80" s="32">
        <v>-71553421.099999994</v>
      </c>
      <c r="H80" s="32">
        <f t="shared" si="74"/>
        <v>-71553421.099999994</v>
      </c>
      <c r="I80" s="32">
        <f t="shared" si="74"/>
        <v>-71553421.099999994</v>
      </c>
      <c r="J80" s="32">
        <f t="shared" si="74"/>
        <v>-91513697.046138778</v>
      </c>
      <c r="K80" s="32">
        <f t="shared" si="74"/>
        <v>-91513697.046138778</v>
      </c>
      <c r="L80" s="32">
        <f t="shared" si="74"/>
        <v>-91513697.046138778</v>
      </c>
      <c r="M80" s="32">
        <f>+L80+SUMIF($B$224:$B$274,$A80,M$224:M$274)-2520000</f>
        <v>-109339032.24517757</v>
      </c>
      <c r="N80" s="32">
        <f t="shared" ref="N80:AK80" si="81">+M80+SUMIF($B$224:$B$274,$A80,N$224:N$274)</f>
        <v>-109339032.24517757</v>
      </c>
      <c r="O80" s="32">
        <f t="shared" si="81"/>
        <v>-109339032.24517757</v>
      </c>
      <c r="P80" s="32">
        <f t="shared" si="81"/>
        <v>-125638866.04830799</v>
      </c>
      <c r="Q80" s="32">
        <f t="shared" si="81"/>
        <v>-125638866.04830799</v>
      </c>
      <c r="R80" s="32">
        <f t="shared" si="81"/>
        <v>-125638866.04830799</v>
      </c>
      <c r="S80" s="32">
        <f t="shared" si="81"/>
        <v>-141938699.8514384</v>
      </c>
      <c r="T80" s="32">
        <f t="shared" si="81"/>
        <v>-141938699.8514384</v>
      </c>
      <c r="U80" s="32">
        <f t="shared" si="81"/>
        <v>-141938699.8514384</v>
      </c>
      <c r="V80" s="32">
        <f t="shared" si="81"/>
        <v>-158238533.65456882</v>
      </c>
      <c r="W80" s="32">
        <f t="shared" si="81"/>
        <v>-158238533.65456882</v>
      </c>
      <c r="X80" s="32">
        <f t="shared" si="81"/>
        <v>-158238533.65456882</v>
      </c>
      <c r="Y80" s="32">
        <f t="shared" si="81"/>
        <v>-174538367.45769924</v>
      </c>
      <c r="Z80" s="32">
        <f t="shared" si="81"/>
        <v>-174538367.45769924</v>
      </c>
      <c r="AA80" s="32">
        <f t="shared" si="81"/>
        <v>-174538367.45769924</v>
      </c>
      <c r="AB80" s="32">
        <f t="shared" si="81"/>
        <v>-191760221.1820772</v>
      </c>
      <c r="AC80" s="32">
        <f t="shared" si="81"/>
        <v>-191760221.1820772</v>
      </c>
      <c r="AD80" s="32">
        <f t="shared" si="81"/>
        <v>-191760221.1820772</v>
      </c>
      <c r="AE80" s="32">
        <f t="shared" si="81"/>
        <v>-208982074.90645516</v>
      </c>
      <c r="AF80" s="32">
        <f t="shared" si="81"/>
        <v>-208982074.90645516</v>
      </c>
      <c r="AG80" s="32">
        <f t="shared" si="81"/>
        <v>-208982074.90645516</v>
      </c>
      <c r="AH80" s="32">
        <f t="shared" si="81"/>
        <v>-226203928.63083312</v>
      </c>
      <c r="AI80" s="32">
        <f t="shared" si="81"/>
        <v>-226203928.63083312</v>
      </c>
      <c r="AJ80" s="32">
        <f t="shared" si="81"/>
        <v>-226203928.63083312</v>
      </c>
      <c r="AK80" s="32">
        <f t="shared" si="81"/>
        <v>-243425782.35521108</v>
      </c>
      <c r="AM80" s="25">
        <f t="shared" si="49"/>
        <v>-125638866.04830799</v>
      </c>
      <c r="AN80" s="25">
        <f t="shared" si="36"/>
        <v>-5057226.9337471882</v>
      </c>
      <c r="AO80" s="25">
        <f t="shared" si="65"/>
        <v>-4589244.7398780454</v>
      </c>
      <c r="AP80" s="25">
        <f t="shared" si="65"/>
        <v>-4136358.7458111332</v>
      </c>
      <c r="AQ80" s="25">
        <f t="shared" si="65"/>
        <v>-3668376.5519419909</v>
      </c>
      <c r="AR80" s="25">
        <f t="shared" si="65"/>
        <v>-3215490.5578750782</v>
      </c>
      <c r="AS80" s="25">
        <f t="shared" si="65"/>
        <v>-2747508.3640059354</v>
      </c>
      <c r="AT80" s="25">
        <f t="shared" si="65"/>
        <v>-2279526.1701367926</v>
      </c>
      <c r="AU80" s="25">
        <f t="shared" si="65"/>
        <v>-1856832.5756743408</v>
      </c>
      <c r="AV80" s="25">
        <f t="shared" si="65"/>
        <v>-1388850.381805198</v>
      </c>
      <c r="AW80" s="25">
        <f t="shared" si="65"/>
        <v>-935964.38773828559</v>
      </c>
      <c r="AX80" s="25">
        <f t="shared" si="65"/>
        <v>-467982.19386914279</v>
      </c>
      <c r="AY80" s="25">
        <f t="shared" si="65"/>
        <v>-15096.199802230414</v>
      </c>
      <c r="AZ80" s="25">
        <f t="shared" si="50"/>
        <v>-191760221.1820772</v>
      </c>
      <c r="BA80" s="25">
        <f t="shared" si="13"/>
        <v>-155997323.85059333</v>
      </c>
    </row>
    <row r="81" spans="1:53" x14ac:dyDescent="0.15">
      <c r="A81" s="24" t="s">
        <v>69</v>
      </c>
      <c r="G81" s="32">
        <v>-4804643.83</v>
      </c>
      <c r="H81" s="32">
        <f t="shared" si="74"/>
        <v>-4804643.83</v>
      </c>
      <c r="I81" s="32">
        <f t="shared" si="74"/>
        <v>-4804643.83</v>
      </c>
      <c r="J81" s="32">
        <f t="shared" si="74"/>
        <v>-9082157.3566605598</v>
      </c>
      <c r="K81" s="32">
        <f t="shared" si="74"/>
        <v>-9082157.3566605598</v>
      </c>
      <c r="L81" s="32">
        <f t="shared" si="74"/>
        <v>-9082157.3566605598</v>
      </c>
      <c r="M81" s="32">
        <f t="shared" ref="M81:M94" si="82">+L81+SUMIF($B$224:$B$274,$A81,M$224:M$274)</f>
        <v>-13359670.883321118</v>
      </c>
      <c r="N81" s="32">
        <f t="shared" ref="N81:AK81" si="83">+M81+SUMIF($B$224:$B$274,$A81,N$224:N$274)</f>
        <v>-13359670.883321118</v>
      </c>
      <c r="O81" s="32">
        <f t="shared" si="83"/>
        <v>-13359670.883321118</v>
      </c>
      <c r="P81" s="32">
        <f t="shared" si="83"/>
        <v>-17794977.799570713</v>
      </c>
      <c r="Q81" s="32">
        <f t="shared" si="83"/>
        <v>-17794977.799570713</v>
      </c>
      <c r="R81" s="32">
        <f t="shared" si="83"/>
        <v>-17794977.799570713</v>
      </c>
      <c r="S81" s="32">
        <f t="shared" si="83"/>
        <v>-22230284.715820309</v>
      </c>
      <c r="T81" s="32">
        <f t="shared" si="83"/>
        <v>-22230284.715820309</v>
      </c>
      <c r="U81" s="32">
        <f t="shared" si="83"/>
        <v>-22230284.715820309</v>
      </c>
      <c r="V81" s="32">
        <f t="shared" si="83"/>
        <v>-26665591.632069904</v>
      </c>
      <c r="W81" s="32">
        <f t="shared" si="83"/>
        <v>-26665591.632069904</v>
      </c>
      <c r="X81" s="32">
        <f t="shared" si="83"/>
        <v>-26665591.632069904</v>
      </c>
      <c r="Y81" s="32">
        <f t="shared" si="83"/>
        <v>-31100898.5483195</v>
      </c>
      <c r="Z81" s="32">
        <f t="shared" si="83"/>
        <v>-31100898.5483195</v>
      </c>
      <c r="AA81" s="32">
        <f t="shared" si="83"/>
        <v>-31100898.5483195</v>
      </c>
      <c r="AB81" s="32">
        <f t="shared" si="83"/>
        <v>-35588262.089023083</v>
      </c>
      <c r="AC81" s="32">
        <f t="shared" si="83"/>
        <v>-35588262.089023083</v>
      </c>
      <c r="AD81" s="32">
        <f t="shared" si="83"/>
        <v>-35588262.089023083</v>
      </c>
      <c r="AE81" s="32">
        <f t="shared" si="83"/>
        <v>-40075625.629726663</v>
      </c>
      <c r="AF81" s="32">
        <f t="shared" si="83"/>
        <v>-40075625.629726663</v>
      </c>
      <c r="AG81" s="32">
        <f t="shared" si="83"/>
        <v>-40075625.629726663</v>
      </c>
      <c r="AH81" s="32">
        <f t="shared" si="83"/>
        <v>-44562989.170430243</v>
      </c>
      <c r="AI81" s="32">
        <f t="shared" si="83"/>
        <v>-44562989.170430243</v>
      </c>
      <c r="AJ81" s="32">
        <f t="shared" si="83"/>
        <v>-44562989.170430243</v>
      </c>
      <c r="AK81" s="32">
        <f t="shared" si="83"/>
        <v>-49050352.711133823</v>
      </c>
      <c r="AM81" s="25">
        <f t="shared" si="49"/>
        <v>-17794977.799570713</v>
      </c>
      <c r="AN81" s="25">
        <f t="shared" si="36"/>
        <v>-1360901.880585969</v>
      </c>
      <c r="AO81" s="25">
        <f t="shared" si="65"/>
        <v>-1234967.6767108494</v>
      </c>
      <c r="AP81" s="25">
        <f t="shared" si="65"/>
        <v>-1113095.8665091209</v>
      </c>
      <c r="AQ81" s="25">
        <f t="shared" si="65"/>
        <v>-987161.66263400135</v>
      </c>
      <c r="AR81" s="25">
        <f t="shared" si="65"/>
        <v>-865289.85243227286</v>
      </c>
      <c r="AS81" s="25">
        <f t="shared" si="65"/>
        <v>-739355.6485571533</v>
      </c>
      <c r="AT81" s="25">
        <f t="shared" si="65"/>
        <v>-613421.44468203373</v>
      </c>
      <c r="AU81" s="25">
        <f t="shared" si="65"/>
        <v>-499674.42182708706</v>
      </c>
      <c r="AV81" s="25">
        <f t="shared" si="65"/>
        <v>-373740.21795196761</v>
      </c>
      <c r="AW81" s="25">
        <f t="shared" si="65"/>
        <v>-251868.40775023901</v>
      </c>
      <c r="AX81" s="25">
        <f t="shared" si="65"/>
        <v>-125934.20387511951</v>
      </c>
      <c r="AY81" s="25">
        <f t="shared" si="65"/>
        <v>-4062.3936733909518</v>
      </c>
      <c r="AZ81" s="25">
        <f t="shared" si="50"/>
        <v>-35588262.089023083</v>
      </c>
      <c r="BA81" s="25">
        <f t="shared" si="13"/>
        <v>-25964451.476759911</v>
      </c>
    </row>
    <row r="82" spans="1:53" x14ac:dyDescent="0.15">
      <c r="A82" s="24" t="s">
        <v>141</v>
      </c>
      <c r="G82" s="32">
        <v>-935934.40999999992</v>
      </c>
      <c r="H82" s="32">
        <f t="shared" si="74"/>
        <v>-935934.40999999992</v>
      </c>
      <c r="I82" s="32">
        <f t="shared" si="74"/>
        <v>-935934.40999999992</v>
      </c>
      <c r="J82" s="32">
        <f t="shared" si="74"/>
        <v>-935934.40999999992</v>
      </c>
      <c r="K82" s="32">
        <f t="shared" si="74"/>
        <v>-935934.40999999992</v>
      </c>
      <c r="L82" s="32">
        <f t="shared" si="74"/>
        <v>-935934.40999999992</v>
      </c>
      <c r="M82" s="32">
        <f t="shared" si="82"/>
        <v>-935934.40999999992</v>
      </c>
      <c r="N82" s="32">
        <f t="shared" ref="N82:AK82" si="84">+M82+SUMIF($B$224:$B$274,$A82,N$224:N$274)</f>
        <v>-935934.40999999992</v>
      </c>
      <c r="O82" s="32">
        <f t="shared" si="84"/>
        <v>-935934.40999999992</v>
      </c>
      <c r="P82" s="32">
        <f t="shared" si="84"/>
        <v>-935934.40999999992</v>
      </c>
      <c r="Q82" s="32">
        <f t="shared" si="84"/>
        <v>-935934.40999999992</v>
      </c>
      <c r="R82" s="32">
        <f t="shared" si="84"/>
        <v>-935934.40999999992</v>
      </c>
      <c r="S82" s="32">
        <f t="shared" si="84"/>
        <v>-935934.40999999992</v>
      </c>
      <c r="T82" s="32">
        <f t="shared" si="84"/>
        <v>-935934.40999999992</v>
      </c>
      <c r="U82" s="32">
        <f t="shared" si="84"/>
        <v>-935934.40999999992</v>
      </c>
      <c r="V82" s="32">
        <f t="shared" si="84"/>
        <v>-935934.40999999992</v>
      </c>
      <c r="W82" s="32">
        <f t="shared" si="84"/>
        <v>-935934.40999999992</v>
      </c>
      <c r="X82" s="32">
        <f t="shared" si="84"/>
        <v>-935934.40999999992</v>
      </c>
      <c r="Y82" s="32">
        <f t="shared" si="84"/>
        <v>-935934.40999999992</v>
      </c>
      <c r="Z82" s="32">
        <f t="shared" si="84"/>
        <v>-935934.40999999992</v>
      </c>
      <c r="AA82" s="32">
        <f t="shared" si="84"/>
        <v>-935934.40999999992</v>
      </c>
      <c r="AB82" s="32">
        <f t="shared" si="84"/>
        <v>-935934.40999999992</v>
      </c>
      <c r="AC82" s="32">
        <f t="shared" si="84"/>
        <v>-935934.40999999992</v>
      </c>
      <c r="AD82" s="32">
        <f t="shared" si="84"/>
        <v>-935934.40999999992</v>
      </c>
      <c r="AE82" s="32">
        <f t="shared" si="84"/>
        <v>-935934.40999999992</v>
      </c>
      <c r="AF82" s="32">
        <f t="shared" si="84"/>
        <v>-935934.40999999992</v>
      </c>
      <c r="AG82" s="32">
        <f t="shared" si="84"/>
        <v>-935934.40999999992</v>
      </c>
      <c r="AH82" s="32">
        <f t="shared" si="84"/>
        <v>-935934.40999999992</v>
      </c>
      <c r="AI82" s="32">
        <f t="shared" si="84"/>
        <v>-935934.40999999992</v>
      </c>
      <c r="AJ82" s="32">
        <f t="shared" si="84"/>
        <v>-935934.40999999992</v>
      </c>
      <c r="AK82" s="32">
        <f t="shared" si="84"/>
        <v>-935934.40999999992</v>
      </c>
      <c r="AM82" s="25">
        <f t="shared" si="49"/>
        <v>-935934.40999999992</v>
      </c>
      <c r="AN82" s="25">
        <f t="shared" si="36"/>
        <v>0</v>
      </c>
      <c r="AO82" s="25">
        <f t="shared" si="65"/>
        <v>0</v>
      </c>
      <c r="AP82" s="25">
        <f t="shared" si="65"/>
        <v>0</v>
      </c>
      <c r="AQ82" s="25">
        <f t="shared" si="65"/>
        <v>0</v>
      </c>
      <c r="AR82" s="25">
        <f t="shared" si="65"/>
        <v>0</v>
      </c>
      <c r="AS82" s="25">
        <f t="shared" si="65"/>
        <v>0</v>
      </c>
      <c r="AT82" s="25">
        <f t="shared" si="65"/>
        <v>0</v>
      </c>
      <c r="AU82" s="25">
        <f t="shared" si="65"/>
        <v>0</v>
      </c>
      <c r="AV82" s="25">
        <f t="shared" si="65"/>
        <v>0</v>
      </c>
      <c r="AW82" s="25">
        <f t="shared" si="65"/>
        <v>0</v>
      </c>
      <c r="AX82" s="25">
        <f t="shared" si="65"/>
        <v>0</v>
      </c>
      <c r="AY82" s="25">
        <f t="shared" si="65"/>
        <v>0</v>
      </c>
      <c r="AZ82" s="25">
        <f t="shared" si="50"/>
        <v>-935934.40999999992</v>
      </c>
      <c r="BA82" s="25">
        <f t="shared" si="13"/>
        <v>-935934.40999999992</v>
      </c>
    </row>
    <row r="83" spans="1:53" x14ac:dyDescent="0.15">
      <c r="A83" s="24" t="s">
        <v>70</v>
      </c>
      <c r="G83" s="32">
        <v>-6815465.8099999996</v>
      </c>
      <c r="H83" s="32">
        <f t="shared" si="74"/>
        <v>-6815465.8099999996</v>
      </c>
      <c r="I83" s="32">
        <f t="shared" si="74"/>
        <v>-6815465.8099999996</v>
      </c>
      <c r="J83" s="32">
        <f t="shared" si="74"/>
        <v>-8686715.8099999987</v>
      </c>
      <c r="K83" s="32">
        <f t="shared" si="74"/>
        <v>-8686715.8099999987</v>
      </c>
      <c r="L83" s="32">
        <f t="shared" si="74"/>
        <v>-8686715.8099999987</v>
      </c>
      <c r="M83" s="32">
        <f t="shared" si="82"/>
        <v>-10557965.809999999</v>
      </c>
      <c r="N83" s="32">
        <f t="shared" ref="N83:AK83" si="85">+M83+SUMIF($B$224:$B$274,$A83,N$224:N$274)</f>
        <v>-10557965.809999999</v>
      </c>
      <c r="O83" s="32">
        <f t="shared" si="85"/>
        <v>-10557965.809999999</v>
      </c>
      <c r="P83" s="32">
        <f t="shared" si="85"/>
        <v>-12429215.809999999</v>
      </c>
      <c r="Q83" s="32">
        <f t="shared" si="85"/>
        <v>-12429215.809999999</v>
      </c>
      <c r="R83" s="32">
        <f t="shared" si="85"/>
        <v>-12429215.809999999</v>
      </c>
      <c r="S83" s="32">
        <f t="shared" si="85"/>
        <v>-14300465.809999999</v>
      </c>
      <c r="T83" s="32">
        <f t="shared" si="85"/>
        <v>-14300465.809999999</v>
      </c>
      <c r="U83" s="32">
        <f t="shared" si="85"/>
        <v>-14300465.809999999</v>
      </c>
      <c r="V83" s="32">
        <f t="shared" si="85"/>
        <v>-16171715.809999999</v>
      </c>
      <c r="W83" s="32">
        <f t="shared" si="85"/>
        <v>-16171715.809999999</v>
      </c>
      <c r="X83" s="32">
        <f t="shared" si="85"/>
        <v>-16171715.809999999</v>
      </c>
      <c r="Y83" s="32">
        <f t="shared" si="85"/>
        <v>-18042965.809999999</v>
      </c>
      <c r="Z83" s="32">
        <f t="shared" si="85"/>
        <v>-18042965.809999999</v>
      </c>
      <c r="AA83" s="32">
        <f t="shared" si="85"/>
        <v>-18042965.809999999</v>
      </c>
      <c r="AB83" s="32">
        <f t="shared" si="85"/>
        <v>-19914215.809999999</v>
      </c>
      <c r="AC83" s="32">
        <f t="shared" si="85"/>
        <v>-19914215.809999999</v>
      </c>
      <c r="AD83" s="32">
        <f t="shared" si="85"/>
        <v>-19914215.809999999</v>
      </c>
      <c r="AE83" s="32">
        <f t="shared" si="85"/>
        <v>-21785465.809999999</v>
      </c>
      <c r="AF83" s="32">
        <f t="shared" si="85"/>
        <v>-21785465.809999999</v>
      </c>
      <c r="AG83" s="32">
        <f t="shared" si="85"/>
        <v>-21785465.809999999</v>
      </c>
      <c r="AH83" s="32">
        <f t="shared" si="85"/>
        <v>-23656715.809999999</v>
      </c>
      <c r="AI83" s="32">
        <f t="shared" si="85"/>
        <v>-23656715.809999999</v>
      </c>
      <c r="AJ83" s="32">
        <f t="shared" si="85"/>
        <v>-23656715.809999999</v>
      </c>
      <c r="AK83" s="32">
        <f t="shared" si="85"/>
        <v>-25527965.809999999</v>
      </c>
      <c r="AM83" s="25">
        <f t="shared" si="49"/>
        <v>-12429215.809999999</v>
      </c>
      <c r="AN83" s="25">
        <f t="shared" si="36"/>
        <v>-572482.87671232875</v>
      </c>
      <c r="AO83" s="25">
        <f t="shared" si="65"/>
        <v>-519506.84931506851</v>
      </c>
      <c r="AP83" s="25">
        <f t="shared" si="65"/>
        <v>-468239.72602739726</v>
      </c>
      <c r="AQ83" s="25">
        <f t="shared" si="65"/>
        <v>-415263.69863013702</v>
      </c>
      <c r="AR83" s="25">
        <f t="shared" si="65"/>
        <v>-363996.57534246577</v>
      </c>
      <c r="AS83" s="25">
        <f t="shared" si="65"/>
        <v>-311020.54794520547</v>
      </c>
      <c r="AT83" s="25">
        <f t="shared" si="65"/>
        <v>-258044.52054794523</v>
      </c>
      <c r="AU83" s="25">
        <f t="shared" si="65"/>
        <v>-210195.20547945207</v>
      </c>
      <c r="AV83" s="25">
        <f t="shared" si="65"/>
        <v>-157219.17808219179</v>
      </c>
      <c r="AW83" s="25">
        <f t="shared" si="65"/>
        <v>-105952.05479452055</v>
      </c>
      <c r="AX83" s="25">
        <f t="shared" si="65"/>
        <v>-52976.027397260274</v>
      </c>
      <c r="AY83" s="25">
        <f t="shared" si="65"/>
        <v>-1708.9041095890411</v>
      </c>
      <c r="AZ83" s="25">
        <f t="shared" si="50"/>
        <v>-19914215.809999999</v>
      </c>
      <c r="BA83" s="25">
        <f t="shared" si="13"/>
        <v>-15865821.974383561</v>
      </c>
    </row>
    <row r="84" spans="1:53" x14ac:dyDescent="0.15">
      <c r="A84" s="24" t="s">
        <v>71</v>
      </c>
      <c r="G84" s="32">
        <v>-5829736.8500000006</v>
      </c>
      <c r="H84" s="32">
        <f t="shared" ref="H84:L93" si="86">+G84+SUMIF($B$224:$B$274,$A84,H$224:H$274)</f>
        <v>-5872085.2475000005</v>
      </c>
      <c r="I84" s="32">
        <f t="shared" si="86"/>
        <v>-5914433.6450000005</v>
      </c>
      <c r="J84" s="32">
        <f t="shared" si="86"/>
        <v>-5958224.0725000007</v>
      </c>
      <c r="K84" s="32">
        <f t="shared" si="86"/>
        <v>-6000572.3741660006</v>
      </c>
      <c r="L84" s="32">
        <f t="shared" si="86"/>
        <v>-6042920.6758320006</v>
      </c>
      <c r="M84" s="32">
        <f t="shared" si="82"/>
        <v>-6086711.2950000009</v>
      </c>
      <c r="N84" s="32">
        <f t="shared" ref="N84:AK84" si="87">+M84+SUMIF($B$224:$B$274,$A84,N$224:N$274)</f>
        <v>-6129059.5966660008</v>
      </c>
      <c r="O84" s="32">
        <f t="shared" si="87"/>
        <v>-6171407.8983320007</v>
      </c>
      <c r="P84" s="32">
        <f t="shared" si="87"/>
        <v>-6215198.2839744203</v>
      </c>
      <c r="Q84" s="32">
        <f t="shared" si="87"/>
        <v>-6257546.5856404202</v>
      </c>
      <c r="R84" s="32">
        <f t="shared" si="87"/>
        <v>-6292569.7931404198</v>
      </c>
      <c r="S84" s="32">
        <f t="shared" si="87"/>
        <v>-6329626.8106404198</v>
      </c>
      <c r="T84" s="32">
        <f t="shared" si="87"/>
        <v>-6364650.3481404195</v>
      </c>
      <c r="U84" s="32">
        <f t="shared" si="87"/>
        <v>-6399673.8856404191</v>
      </c>
      <c r="V84" s="32">
        <f t="shared" si="87"/>
        <v>-6437026.9152404191</v>
      </c>
      <c r="W84" s="32">
        <f t="shared" si="87"/>
        <v>-6472050.4527404187</v>
      </c>
      <c r="X84" s="32">
        <f t="shared" si="87"/>
        <v>-6507073.9902404184</v>
      </c>
      <c r="Y84" s="32">
        <f t="shared" si="87"/>
        <v>-6544427.0198404184</v>
      </c>
      <c r="Z84" s="32">
        <f t="shared" si="87"/>
        <v>-6579450.557340418</v>
      </c>
      <c r="AA84" s="32">
        <f t="shared" si="87"/>
        <v>-6614474.0948404176</v>
      </c>
      <c r="AB84" s="32">
        <f t="shared" si="87"/>
        <v>-6651827.1244404176</v>
      </c>
      <c r="AC84" s="32">
        <f t="shared" si="87"/>
        <v>-6686850.6619404173</v>
      </c>
      <c r="AD84" s="32">
        <f t="shared" si="87"/>
        <v>-6721874.1994404169</v>
      </c>
      <c r="AE84" s="32">
        <f t="shared" si="87"/>
        <v>-6759227.2290404169</v>
      </c>
      <c r="AF84" s="32">
        <f t="shared" si="87"/>
        <v>-6794250.7665404165</v>
      </c>
      <c r="AG84" s="32">
        <f t="shared" si="87"/>
        <v>-6829274.3040404161</v>
      </c>
      <c r="AH84" s="32">
        <f t="shared" si="87"/>
        <v>-6866627.3336404162</v>
      </c>
      <c r="AI84" s="32">
        <f t="shared" si="87"/>
        <v>-6901650.8711404158</v>
      </c>
      <c r="AJ84" s="32">
        <f t="shared" si="87"/>
        <v>-6936674.4086404154</v>
      </c>
      <c r="AK84" s="32">
        <f t="shared" si="87"/>
        <v>-6974027.4382404154</v>
      </c>
      <c r="AM84" s="25">
        <f t="shared" si="49"/>
        <v>-6257546.5856404202</v>
      </c>
      <c r="AN84" s="25">
        <f t="shared" si="36"/>
        <v>-32834.900812899315</v>
      </c>
      <c r="AO84" s="25">
        <f t="shared" si="65"/>
        <v>-29796.447304839978</v>
      </c>
      <c r="AP84" s="25">
        <f t="shared" si="65"/>
        <v>-26856.008426072876</v>
      </c>
      <c r="AQ84" s="25">
        <f t="shared" si="65"/>
        <v>-23817.554918013535</v>
      </c>
      <c r="AR84" s="25">
        <f t="shared" si="65"/>
        <v>-20877.116039246434</v>
      </c>
      <c r="AS84" s="25">
        <f t="shared" si="65"/>
        <v>-17838.662531187092</v>
      </c>
      <c r="AT84" s="25">
        <f t="shared" si="65"/>
        <v>-14800.209023127753</v>
      </c>
      <c r="AU84" s="25">
        <f t="shared" si="65"/>
        <v>-12055.799402945122</v>
      </c>
      <c r="AV84" s="25">
        <f t="shared" si="65"/>
        <v>-9017.3458948857842</v>
      </c>
      <c r="AW84" s="25">
        <f t="shared" si="65"/>
        <v>-6076.9070161186792</v>
      </c>
      <c r="AX84" s="25">
        <f t="shared" si="65"/>
        <v>-3038.4535080593396</v>
      </c>
      <c r="AY84" s="25">
        <f t="shared" si="65"/>
        <v>-98.014629292236776</v>
      </c>
      <c r="AZ84" s="25">
        <f t="shared" si="50"/>
        <v>-6686850.6619404173</v>
      </c>
      <c r="BA84" s="25">
        <f t="shared" si="13"/>
        <v>-6454654.0051471088</v>
      </c>
    </row>
    <row r="85" spans="1:53" x14ac:dyDescent="0.15">
      <c r="A85" s="24" t="s">
        <v>414</v>
      </c>
      <c r="G85" s="32">
        <v>4252086.08</v>
      </c>
      <c r="H85" s="32">
        <f t="shared" si="86"/>
        <v>4252086.08</v>
      </c>
      <c r="I85" s="32">
        <f t="shared" si="86"/>
        <v>4252086.08</v>
      </c>
      <c r="J85" s="32">
        <f t="shared" si="86"/>
        <v>4252086.08</v>
      </c>
      <c r="K85" s="32">
        <f t="shared" si="86"/>
        <v>4252086.08</v>
      </c>
      <c r="L85" s="32">
        <f t="shared" si="86"/>
        <v>4252086.08</v>
      </c>
      <c r="M85" s="32">
        <f t="shared" si="82"/>
        <v>4252086.08</v>
      </c>
      <c r="N85" s="32">
        <f t="shared" ref="N85:AK85" si="88">+M85+SUMIF($B$224:$B$274,$A85,N$224:N$274)</f>
        <v>4252086.08</v>
      </c>
      <c r="O85" s="32">
        <f t="shared" si="88"/>
        <v>4252086.08</v>
      </c>
      <c r="P85" s="32">
        <f t="shared" si="88"/>
        <v>4252086.08</v>
      </c>
      <c r="Q85" s="32">
        <f t="shared" si="88"/>
        <v>4252086.08</v>
      </c>
      <c r="R85" s="32">
        <f t="shared" si="88"/>
        <v>4252086.08</v>
      </c>
      <c r="S85" s="32">
        <f t="shared" si="88"/>
        <v>4252086.08</v>
      </c>
      <c r="T85" s="32">
        <f t="shared" si="88"/>
        <v>4252086.08</v>
      </c>
      <c r="U85" s="32">
        <f t="shared" si="88"/>
        <v>4252086.08</v>
      </c>
      <c r="V85" s="32">
        <f t="shared" si="88"/>
        <v>4252086.08</v>
      </c>
      <c r="W85" s="32">
        <f t="shared" si="88"/>
        <v>4252086.08</v>
      </c>
      <c r="X85" s="32">
        <f t="shared" si="88"/>
        <v>4252086.08</v>
      </c>
      <c r="Y85" s="32">
        <f t="shared" si="88"/>
        <v>4252086.08</v>
      </c>
      <c r="Z85" s="32">
        <f t="shared" si="88"/>
        <v>4252086.08</v>
      </c>
      <c r="AA85" s="32">
        <f t="shared" si="88"/>
        <v>4252086.08</v>
      </c>
      <c r="AB85" s="32">
        <f t="shared" si="88"/>
        <v>4252086.08</v>
      </c>
      <c r="AC85" s="32">
        <f t="shared" si="88"/>
        <v>4252086.08</v>
      </c>
      <c r="AD85" s="32">
        <f t="shared" si="88"/>
        <v>4252086.08</v>
      </c>
      <c r="AE85" s="32">
        <f t="shared" si="88"/>
        <v>4252086.08</v>
      </c>
      <c r="AF85" s="32">
        <f t="shared" si="88"/>
        <v>4252086.08</v>
      </c>
      <c r="AG85" s="32">
        <f t="shared" si="88"/>
        <v>4252086.08</v>
      </c>
      <c r="AH85" s="32">
        <f t="shared" si="88"/>
        <v>4252086.08</v>
      </c>
      <c r="AI85" s="32">
        <f t="shared" si="88"/>
        <v>4252086.08</v>
      </c>
      <c r="AJ85" s="32">
        <f t="shared" si="88"/>
        <v>4252086.08</v>
      </c>
      <c r="AK85" s="32">
        <f t="shared" si="88"/>
        <v>4252086.08</v>
      </c>
      <c r="AM85" s="25">
        <f t="shared" ref="AM85:AM94" si="89">+Q85</f>
        <v>4252086.08</v>
      </c>
      <c r="AN85" s="25">
        <f t="shared" si="36"/>
        <v>0</v>
      </c>
      <c r="AO85" s="25">
        <f t="shared" si="65"/>
        <v>0</v>
      </c>
      <c r="AP85" s="25">
        <f t="shared" si="65"/>
        <v>0</v>
      </c>
      <c r="AQ85" s="25">
        <f t="shared" si="65"/>
        <v>0</v>
      </c>
      <c r="AR85" s="25">
        <f t="shared" si="65"/>
        <v>0</v>
      </c>
      <c r="AS85" s="25">
        <f t="shared" si="65"/>
        <v>0</v>
      </c>
      <c r="AT85" s="25">
        <f t="shared" si="65"/>
        <v>0</v>
      </c>
      <c r="AU85" s="25">
        <f t="shared" si="65"/>
        <v>0</v>
      </c>
      <c r="AV85" s="25">
        <f t="shared" si="65"/>
        <v>0</v>
      </c>
      <c r="AW85" s="25">
        <f t="shared" si="65"/>
        <v>0</v>
      </c>
      <c r="AX85" s="25">
        <f t="shared" si="65"/>
        <v>0</v>
      </c>
      <c r="AY85" s="25">
        <f t="shared" si="65"/>
        <v>0</v>
      </c>
      <c r="AZ85" s="25">
        <f t="shared" ref="AZ85:AZ94" si="90">+AC85</f>
        <v>4252086.08</v>
      </c>
      <c r="BA85" s="25">
        <f t="shared" ref="BA85:BA94" si="91">SUM(AM85:AY85)</f>
        <v>4252086.08</v>
      </c>
    </row>
    <row r="86" spans="1:53" x14ac:dyDescent="0.15">
      <c r="A86" s="24" t="s">
        <v>415</v>
      </c>
      <c r="G86" s="32">
        <v>318252.43</v>
      </c>
      <c r="H86" s="32">
        <f t="shared" si="86"/>
        <v>318252.43</v>
      </c>
      <c r="I86" s="32">
        <f t="shared" si="86"/>
        <v>318252.43</v>
      </c>
      <c r="J86" s="32">
        <f t="shared" si="86"/>
        <v>318252.43</v>
      </c>
      <c r="K86" s="32">
        <f t="shared" si="86"/>
        <v>318252.43</v>
      </c>
      <c r="L86" s="32">
        <f t="shared" si="86"/>
        <v>318252.43</v>
      </c>
      <c r="M86" s="32">
        <f t="shared" si="82"/>
        <v>318252.43</v>
      </c>
      <c r="N86" s="32">
        <f t="shared" ref="N86:AK86" si="92">+M86+SUMIF($B$224:$B$274,$A86,N$224:N$274)</f>
        <v>318252.43</v>
      </c>
      <c r="O86" s="32">
        <f t="shared" si="92"/>
        <v>318252.43</v>
      </c>
      <c r="P86" s="32">
        <f t="shared" si="92"/>
        <v>318252.43</v>
      </c>
      <c r="Q86" s="32">
        <f t="shared" si="92"/>
        <v>318252.43</v>
      </c>
      <c r="R86" s="32">
        <f t="shared" si="92"/>
        <v>318252.43</v>
      </c>
      <c r="S86" s="32">
        <f t="shared" si="92"/>
        <v>318252.43</v>
      </c>
      <c r="T86" s="32">
        <f t="shared" si="92"/>
        <v>318252.43</v>
      </c>
      <c r="U86" s="32">
        <f t="shared" si="92"/>
        <v>318252.43</v>
      </c>
      <c r="V86" s="32">
        <f t="shared" si="92"/>
        <v>318252.43</v>
      </c>
      <c r="W86" s="32">
        <f t="shared" si="92"/>
        <v>318252.43</v>
      </c>
      <c r="X86" s="32">
        <f t="shared" si="92"/>
        <v>318252.43</v>
      </c>
      <c r="Y86" s="32">
        <f t="shared" si="92"/>
        <v>318252.43</v>
      </c>
      <c r="Z86" s="32">
        <f t="shared" si="92"/>
        <v>318252.43</v>
      </c>
      <c r="AA86" s="32">
        <f t="shared" si="92"/>
        <v>318252.43</v>
      </c>
      <c r="AB86" s="32">
        <f t="shared" si="92"/>
        <v>318252.43</v>
      </c>
      <c r="AC86" s="32">
        <f t="shared" si="92"/>
        <v>318252.43</v>
      </c>
      <c r="AD86" s="32">
        <f t="shared" si="92"/>
        <v>318252.43</v>
      </c>
      <c r="AE86" s="32">
        <f t="shared" si="92"/>
        <v>318252.43</v>
      </c>
      <c r="AF86" s="32">
        <f t="shared" si="92"/>
        <v>318252.43</v>
      </c>
      <c r="AG86" s="32">
        <f t="shared" si="92"/>
        <v>318252.43</v>
      </c>
      <c r="AH86" s="32">
        <f t="shared" si="92"/>
        <v>318252.43</v>
      </c>
      <c r="AI86" s="32">
        <f t="shared" si="92"/>
        <v>318252.43</v>
      </c>
      <c r="AJ86" s="32">
        <f t="shared" si="92"/>
        <v>318252.43</v>
      </c>
      <c r="AK86" s="32">
        <f t="shared" si="92"/>
        <v>318252.43</v>
      </c>
      <c r="AM86" s="25">
        <f t="shared" si="89"/>
        <v>318252.43</v>
      </c>
      <c r="AN86" s="25">
        <f t="shared" si="36"/>
        <v>0</v>
      </c>
      <c r="AO86" s="25">
        <f t="shared" si="65"/>
        <v>0</v>
      </c>
      <c r="AP86" s="25">
        <f t="shared" si="65"/>
        <v>0</v>
      </c>
      <c r="AQ86" s="25">
        <f t="shared" si="65"/>
        <v>0</v>
      </c>
      <c r="AR86" s="25">
        <f t="shared" si="65"/>
        <v>0</v>
      </c>
      <c r="AS86" s="25">
        <f t="shared" si="65"/>
        <v>0</v>
      </c>
      <c r="AT86" s="25">
        <f t="shared" si="65"/>
        <v>0</v>
      </c>
      <c r="AU86" s="25">
        <f t="shared" si="65"/>
        <v>0</v>
      </c>
      <c r="AV86" s="25">
        <f t="shared" si="65"/>
        <v>0</v>
      </c>
      <c r="AW86" s="25">
        <f t="shared" si="65"/>
        <v>0</v>
      </c>
      <c r="AX86" s="25">
        <f t="shared" si="65"/>
        <v>0</v>
      </c>
      <c r="AY86" s="25">
        <f t="shared" si="65"/>
        <v>0</v>
      </c>
      <c r="AZ86" s="25">
        <f t="shared" si="90"/>
        <v>318252.43</v>
      </c>
      <c r="BA86" s="25">
        <f t="shared" si="91"/>
        <v>318252.43</v>
      </c>
    </row>
    <row r="87" spans="1:53" x14ac:dyDescent="0.15">
      <c r="A87" s="24" t="s">
        <v>72</v>
      </c>
      <c r="G87" s="32">
        <v>-234614.08</v>
      </c>
      <c r="H87" s="32">
        <f t="shared" si="86"/>
        <v>-234614.08</v>
      </c>
      <c r="I87" s="32">
        <f t="shared" si="86"/>
        <v>-234614.08</v>
      </c>
      <c r="J87" s="32">
        <f t="shared" si="86"/>
        <v>-234614.08</v>
      </c>
      <c r="K87" s="32">
        <f t="shared" si="86"/>
        <v>-234614.08</v>
      </c>
      <c r="L87" s="32">
        <f t="shared" si="86"/>
        <v>-234614.08</v>
      </c>
      <c r="M87" s="32">
        <f t="shared" si="82"/>
        <v>-234614.08</v>
      </c>
      <c r="N87" s="32">
        <f t="shared" ref="N87:AK87" si="93">+M87+SUMIF($B$224:$B$274,$A87,N$224:N$274)</f>
        <v>-234614.08</v>
      </c>
      <c r="O87" s="32">
        <f t="shared" si="93"/>
        <v>-234614.08</v>
      </c>
      <c r="P87" s="32">
        <f t="shared" si="93"/>
        <v>-234614.08</v>
      </c>
      <c r="Q87" s="32">
        <f t="shared" si="93"/>
        <v>-234614.08</v>
      </c>
      <c r="R87" s="32">
        <f t="shared" si="93"/>
        <v>-234614.08</v>
      </c>
      <c r="S87" s="32">
        <f t="shared" si="93"/>
        <v>-234614.08</v>
      </c>
      <c r="T87" s="32">
        <f t="shared" si="93"/>
        <v>-234614.08</v>
      </c>
      <c r="U87" s="32">
        <f t="shared" si="93"/>
        <v>-234614.08</v>
      </c>
      <c r="V87" s="32">
        <f t="shared" si="93"/>
        <v>-234614.08</v>
      </c>
      <c r="W87" s="32">
        <f t="shared" si="93"/>
        <v>-234614.08</v>
      </c>
      <c r="X87" s="32">
        <f t="shared" si="93"/>
        <v>-234614.08</v>
      </c>
      <c r="Y87" s="32">
        <f t="shared" si="93"/>
        <v>-234614.08</v>
      </c>
      <c r="Z87" s="32">
        <f t="shared" si="93"/>
        <v>-234614.08</v>
      </c>
      <c r="AA87" s="32">
        <f t="shared" si="93"/>
        <v>-234614.08</v>
      </c>
      <c r="AB87" s="32">
        <f t="shared" si="93"/>
        <v>-234614.08</v>
      </c>
      <c r="AC87" s="32">
        <f t="shared" si="93"/>
        <v>-234614.08</v>
      </c>
      <c r="AD87" s="32">
        <f t="shared" si="93"/>
        <v>-234614.08</v>
      </c>
      <c r="AE87" s="32">
        <f t="shared" si="93"/>
        <v>-234614.08</v>
      </c>
      <c r="AF87" s="32">
        <f t="shared" si="93"/>
        <v>-234614.08</v>
      </c>
      <c r="AG87" s="32">
        <f t="shared" si="93"/>
        <v>-234614.08</v>
      </c>
      <c r="AH87" s="32">
        <f t="shared" si="93"/>
        <v>-234614.08</v>
      </c>
      <c r="AI87" s="32">
        <f t="shared" si="93"/>
        <v>-234614.08</v>
      </c>
      <c r="AJ87" s="32">
        <f t="shared" si="93"/>
        <v>-234614.08</v>
      </c>
      <c r="AK87" s="32">
        <f t="shared" si="93"/>
        <v>-234614.08</v>
      </c>
      <c r="AM87" s="25">
        <f t="shared" si="89"/>
        <v>-234614.08</v>
      </c>
      <c r="AN87" s="25">
        <f t="shared" si="36"/>
        <v>0</v>
      </c>
      <c r="AO87" s="25">
        <f t="shared" si="65"/>
        <v>0</v>
      </c>
      <c r="AP87" s="25">
        <f t="shared" si="65"/>
        <v>0</v>
      </c>
      <c r="AQ87" s="25">
        <f t="shared" si="65"/>
        <v>0</v>
      </c>
      <c r="AR87" s="25">
        <f t="shared" si="65"/>
        <v>0</v>
      </c>
      <c r="AS87" s="25">
        <f t="shared" si="65"/>
        <v>0</v>
      </c>
      <c r="AT87" s="25">
        <f t="shared" si="65"/>
        <v>0</v>
      </c>
      <c r="AU87" s="25">
        <f t="shared" si="65"/>
        <v>0</v>
      </c>
      <c r="AV87" s="25">
        <f t="shared" si="65"/>
        <v>0</v>
      </c>
      <c r="AW87" s="25">
        <f t="shared" si="65"/>
        <v>0</v>
      </c>
      <c r="AX87" s="25">
        <f t="shared" si="65"/>
        <v>0</v>
      </c>
      <c r="AY87" s="25">
        <f t="shared" si="65"/>
        <v>0</v>
      </c>
      <c r="AZ87" s="25">
        <f t="shared" si="90"/>
        <v>-234614.08</v>
      </c>
      <c r="BA87" s="25">
        <f t="shared" si="91"/>
        <v>-234614.08</v>
      </c>
    </row>
    <row r="88" spans="1:53" x14ac:dyDescent="0.15">
      <c r="A88" s="24" t="s">
        <v>119</v>
      </c>
      <c r="G88" s="32">
        <v>-0.39</v>
      </c>
      <c r="H88" s="32">
        <f t="shared" si="86"/>
        <v>-0.39</v>
      </c>
      <c r="I88" s="32">
        <f t="shared" si="86"/>
        <v>-0.39</v>
      </c>
      <c r="J88" s="32">
        <f t="shared" si="86"/>
        <v>-0.39</v>
      </c>
      <c r="K88" s="32">
        <f t="shared" si="86"/>
        <v>-0.39</v>
      </c>
      <c r="L88" s="32">
        <f t="shared" si="86"/>
        <v>-0.39</v>
      </c>
      <c r="M88" s="32">
        <f t="shared" si="82"/>
        <v>-0.39</v>
      </c>
      <c r="N88" s="32">
        <f t="shared" ref="N88:AK88" si="94">+M88+SUMIF($B$224:$B$274,$A88,N$224:N$274)</f>
        <v>-0.39</v>
      </c>
      <c r="O88" s="32">
        <f t="shared" si="94"/>
        <v>-0.39</v>
      </c>
      <c r="P88" s="32">
        <f t="shared" si="94"/>
        <v>-0.39</v>
      </c>
      <c r="Q88" s="32">
        <f t="shared" si="94"/>
        <v>-0.39</v>
      </c>
      <c r="R88" s="32">
        <f t="shared" si="94"/>
        <v>-0.39</v>
      </c>
      <c r="S88" s="32">
        <f t="shared" si="94"/>
        <v>-0.39</v>
      </c>
      <c r="T88" s="32">
        <f t="shared" si="94"/>
        <v>-0.39</v>
      </c>
      <c r="U88" s="32">
        <f t="shared" si="94"/>
        <v>-0.39</v>
      </c>
      <c r="V88" s="32">
        <f t="shared" si="94"/>
        <v>-0.39</v>
      </c>
      <c r="W88" s="32">
        <f t="shared" si="94"/>
        <v>-0.39</v>
      </c>
      <c r="X88" s="32">
        <f t="shared" si="94"/>
        <v>-0.39</v>
      </c>
      <c r="Y88" s="32">
        <f t="shared" si="94"/>
        <v>-0.39</v>
      </c>
      <c r="Z88" s="32">
        <f t="shared" si="94"/>
        <v>-0.39</v>
      </c>
      <c r="AA88" s="32">
        <f t="shared" si="94"/>
        <v>-0.39</v>
      </c>
      <c r="AB88" s="32">
        <f t="shared" si="94"/>
        <v>-0.39</v>
      </c>
      <c r="AC88" s="32">
        <f t="shared" si="94"/>
        <v>-0.39</v>
      </c>
      <c r="AD88" s="32">
        <f t="shared" si="94"/>
        <v>-0.39</v>
      </c>
      <c r="AE88" s="32">
        <f t="shared" si="94"/>
        <v>-0.39</v>
      </c>
      <c r="AF88" s="32">
        <f t="shared" si="94"/>
        <v>-0.39</v>
      </c>
      <c r="AG88" s="32">
        <f t="shared" si="94"/>
        <v>-0.39</v>
      </c>
      <c r="AH88" s="32">
        <f t="shared" si="94"/>
        <v>-0.39</v>
      </c>
      <c r="AI88" s="32">
        <f t="shared" si="94"/>
        <v>-0.39</v>
      </c>
      <c r="AJ88" s="32">
        <f t="shared" si="94"/>
        <v>-0.39</v>
      </c>
      <c r="AK88" s="32">
        <f t="shared" si="94"/>
        <v>-0.39</v>
      </c>
      <c r="AM88" s="25">
        <f t="shared" si="89"/>
        <v>-0.39</v>
      </c>
      <c r="AN88" s="25">
        <f t="shared" si="36"/>
        <v>0</v>
      </c>
      <c r="AO88" s="25">
        <f t="shared" si="65"/>
        <v>0</v>
      </c>
      <c r="AP88" s="25">
        <f t="shared" si="65"/>
        <v>0</v>
      </c>
      <c r="AQ88" s="25">
        <f t="shared" si="65"/>
        <v>0</v>
      </c>
      <c r="AR88" s="25">
        <f t="shared" si="65"/>
        <v>0</v>
      </c>
      <c r="AS88" s="25">
        <f t="shared" si="65"/>
        <v>0</v>
      </c>
      <c r="AT88" s="25">
        <f t="shared" si="65"/>
        <v>0</v>
      </c>
      <c r="AU88" s="25">
        <f t="shared" ref="AO88:AY94" si="95">($AZ88-$AM88)/12*AU$6</f>
        <v>0</v>
      </c>
      <c r="AV88" s="25">
        <f t="shared" si="95"/>
        <v>0</v>
      </c>
      <c r="AW88" s="25">
        <f t="shared" si="95"/>
        <v>0</v>
      </c>
      <c r="AX88" s="25">
        <f t="shared" si="95"/>
        <v>0</v>
      </c>
      <c r="AY88" s="25">
        <f t="shared" si="95"/>
        <v>0</v>
      </c>
      <c r="AZ88" s="25">
        <f t="shared" si="90"/>
        <v>-0.39</v>
      </c>
      <c r="BA88" s="25">
        <f t="shared" si="91"/>
        <v>-0.39</v>
      </c>
    </row>
    <row r="89" spans="1:53" x14ac:dyDescent="0.15">
      <c r="A89" s="24" t="s">
        <v>338</v>
      </c>
      <c r="G89" s="32">
        <v>128097.54</v>
      </c>
      <c r="H89" s="32">
        <f t="shared" si="86"/>
        <v>128097.54</v>
      </c>
      <c r="I89" s="32">
        <f t="shared" si="86"/>
        <v>128097.54</v>
      </c>
      <c r="J89" s="32">
        <f t="shared" si="86"/>
        <v>67656.163752499997</v>
      </c>
      <c r="K89" s="32">
        <f t="shared" si="86"/>
        <v>67656.163752499997</v>
      </c>
      <c r="L89" s="32">
        <f t="shared" si="86"/>
        <v>67656.163752499997</v>
      </c>
      <c r="M89" s="32">
        <f t="shared" si="82"/>
        <v>7214.7875050000002</v>
      </c>
      <c r="N89" s="32">
        <f t="shared" ref="N89:AK89" si="96">+M89+SUMIF($B$224:$B$274,$A89,N$224:N$274)</f>
        <v>7214.7875050000002</v>
      </c>
      <c r="O89" s="32">
        <f t="shared" si="96"/>
        <v>7214.7875050000002</v>
      </c>
      <c r="P89" s="32">
        <f t="shared" si="96"/>
        <v>10902.710159687484</v>
      </c>
      <c r="Q89" s="32">
        <f t="shared" si="96"/>
        <v>10902.710159687484</v>
      </c>
      <c r="R89" s="32">
        <f t="shared" si="96"/>
        <v>10902.710159687484</v>
      </c>
      <c r="S89" s="32">
        <f t="shared" si="96"/>
        <v>14590.632814374967</v>
      </c>
      <c r="T89" s="32">
        <f t="shared" si="96"/>
        <v>14590.632814374967</v>
      </c>
      <c r="U89" s="32">
        <f t="shared" si="96"/>
        <v>14590.632814374967</v>
      </c>
      <c r="V89" s="32">
        <f t="shared" si="96"/>
        <v>18278.555469062449</v>
      </c>
      <c r="W89" s="32">
        <f t="shared" si="96"/>
        <v>18278.555469062449</v>
      </c>
      <c r="X89" s="32">
        <f t="shared" si="96"/>
        <v>18278.555469062449</v>
      </c>
      <c r="Y89" s="32">
        <f t="shared" si="96"/>
        <v>21966.478123749934</v>
      </c>
      <c r="Z89" s="32">
        <f t="shared" si="96"/>
        <v>21966.478123749934</v>
      </c>
      <c r="AA89" s="32">
        <f t="shared" si="96"/>
        <v>21966.478123749934</v>
      </c>
      <c r="AB89" s="32">
        <f t="shared" si="96"/>
        <v>25326.931716562427</v>
      </c>
      <c r="AC89" s="32">
        <f t="shared" si="96"/>
        <v>25326.931716562427</v>
      </c>
      <c r="AD89" s="32">
        <f t="shared" si="96"/>
        <v>25326.931716562427</v>
      </c>
      <c r="AE89" s="32">
        <f t="shared" si="96"/>
        <v>28687.38530937492</v>
      </c>
      <c r="AF89" s="32">
        <f t="shared" si="96"/>
        <v>28687.38530937492</v>
      </c>
      <c r="AG89" s="32">
        <f t="shared" si="96"/>
        <v>28687.38530937492</v>
      </c>
      <c r="AH89" s="32">
        <f t="shared" si="96"/>
        <v>32047.838902187414</v>
      </c>
      <c r="AI89" s="32">
        <f t="shared" si="96"/>
        <v>32047.838902187414</v>
      </c>
      <c r="AJ89" s="32">
        <f t="shared" si="96"/>
        <v>32047.838902187414</v>
      </c>
      <c r="AK89" s="32">
        <f t="shared" si="96"/>
        <v>35408.292494999907</v>
      </c>
      <c r="AM89" s="25">
        <f t="shared" si="89"/>
        <v>10902.710159687484</v>
      </c>
      <c r="AN89" s="25">
        <f t="shared" si="36"/>
        <v>1103.2224250121246</v>
      </c>
      <c r="AO89" s="25">
        <f t="shared" si="95"/>
        <v>1001.1331856826446</v>
      </c>
      <c r="AP89" s="25">
        <f t="shared" si="95"/>
        <v>902.3371476218573</v>
      </c>
      <c r="AQ89" s="25">
        <f t="shared" si="95"/>
        <v>800.24790829237713</v>
      </c>
      <c r="AR89" s="25">
        <f t="shared" si="95"/>
        <v>701.45187023158985</v>
      </c>
      <c r="AS89" s="25">
        <f t="shared" si="95"/>
        <v>599.36263090210957</v>
      </c>
      <c r="AT89" s="25">
        <f t="shared" si="95"/>
        <v>497.27339157262941</v>
      </c>
      <c r="AU89" s="25">
        <f t="shared" si="95"/>
        <v>405.06375604922789</v>
      </c>
      <c r="AV89" s="25">
        <f t="shared" si="95"/>
        <v>302.97451671974773</v>
      </c>
      <c r="AW89" s="25">
        <f t="shared" si="95"/>
        <v>204.17847865896039</v>
      </c>
      <c r="AX89" s="25">
        <f t="shared" si="95"/>
        <v>102.08923932948019</v>
      </c>
      <c r="AY89" s="25">
        <f t="shared" si="95"/>
        <v>3.2932012686929095</v>
      </c>
      <c r="AZ89" s="25">
        <f t="shared" si="90"/>
        <v>25326.931716562427</v>
      </c>
      <c r="BA89" s="25">
        <f t="shared" si="91"/>
        <v>17525.337911028928</v>
      </c>
    </row>
    <row r="90" spans="1:53" x14ac:dyDescent="0.15">
      <c r="A90" s="24" t="s">
        <v>73</v>
      </c>
      <c r="G90" s="32">
        <v>1235866.55</v>
      </c>
      <c r="H90" s="32">
        <f t="shared" si="86"/>
        <v>1235866.55</v>
      </c>
      <c r="I90" s="32">
        <f t="shared" si="86"/>
        <v>1235866.55</v>
      </c>
      <c r="J90" s="32">
        <f t="shared" si="86"/>
        <v>1235866.55</v>
      </c>
      <c r="K90" s="32">
        <f t="shared" si="86"/>
        <v>1235866.55</v>
      </c>
      <c r="L90" s="32">
        <f t="shared" si="86"/>
        <v>1235866.55</v>
      </c>
      <c r="M90" s="32">
        <f t="shared" si="82"/>
        <v>1235866.55</v>
      </c>
      <c r="N90" s="32">
        <f t="shared" ref="N90:AK90" si="97">+M90+SUMIF($B$224:$B$274,$A90,N$224:N$274)</f>
        <v>1235866.55</v>
      </c>
      <c r="O90" s="32">
        <f t="shared" si="97"/>
        <v>1235866.55</v>
      </c>
      <c r="P90" s="32">
        <f t="shared" si="97"/>
        <v>1235866.55</v>
      </c>
      <c r="Q90" s="32">
        <f t="shared" si="97"/>
        <v>1235866.55</v>
      </c>
      <c r="R90" s="32">
        <f t="shared" si="97"/>
        <v>1235866.55</v>
      </c>
      <c r="S90" s="32">
        <f t="shared" si="97"/>
        <v>1235866.55</v>
      </c>
      <c r="T90" s="32">
        <f t="shared" si="97"/>
        <v>1235866.55</v>
      </c>
      <c r="U90" s="32">
        <f t="shared" si="97"/>
        <v>1235866.55</v>
      </c>
      <c r="V90" s="32">
        <f t="shared" si="97"/>
        <v>1235866.55</v>
      </c>
      <c r="W90" s="32">
        <f t="shared" si="97"/>
        <v>1235866.55</v>
      </c>
      <c r="X90" s="32">
        <f t="shared" si="97"/>
        <v>1235866.55</v>
      </c>
      <c r="Y90" s="32">
        <f t="shared" si="97"/>
        <v>1235866.55</v>
      </c>
      <c r="Z90" s="32">
        <f t="shared" si="97"/>
        <v>1235866.55</v>
      </c>
      <c r="AA90" s="32">
        <f t="shared" si="97"/>
        <v>1235866.55</v>
      </c>
      <c r="AB90" s="32">
        <f t="shared" si="97"/>
        <v>1235866.55</v>
      </c>
      <c r="AC90" s="32">
        <f t="shared" si="97"/>
        <v>1235866.55</v>
      </c>
      <c r="AD90" s="32">
        <f t="shared" si="97"/>
        <v>1235866.55</v>
      </c>
      <c r="AE90" s="32">
        <f t="shared" si="97"/>
        <v>1235866.55</v>
      </c>
      <c r="AF90" s="32">
        <f t="shared" si="97"/>
        <v>1235866.55</v>
      </c>
      <c r="AG90" s="32">
        <f t="shared" si="97"/>
        <v>1235866.55</v>
      </c>
      <c r="AH90" s="32">
        <f t="shared" si="97"/>
        <v>1235866.55</v>
      </c>
      <c r="AI90" s="32">
        <f t="shared" si="97"/>
        <v>1235866.55</v>
      </c>
      <c r="AJ90" s="32">
        <f t="shared" si="97"/>
        <v>1235866.55</v>
      </c>
      <c r="AK90" s="32">
        <f t="shared" si="97"/>
        <v>1235866.55</v>
      </c>
      <c r="AM90" s="25">
        <f t="shared" si="89"/>
        <v>1235866.55</v>
      </c>
      <c r="AN90" s="25">
        <f t="shared" si="36"/>
        <v>0</v>
      </c>
      <c r="AO90" s="25">
        <f t="shared" si="95"/>
        <v>0</v>
      </c>
      <c r="AP90" s="25">
        <f t="shared" si="95"/>
        <v>0</v>
      </c>
      <c r="AQ90" s="25">
        <f t="shared" si="95"/>
        <v>0</v>
      </c>
      <c r="AR90" s="25">
        <f t="shared" si="95"/>
        <v>0</v>
      </c>
      <c r="AS90" s="25">
        <f t="shared" si="95"/>
        <v>0</v>
      </c>
      <c r="AT90" s="25">
        <f t="shared" si="95"/>
        <v>0</v>
      </c>
      <c r="AU90" s="25">
        <f t="shared" si="95"/>
        <v>0</v>
      </c>
      <c r="AV90" s="25">
        <f t="shared" si="95"/>
        <v>0</v>
      </c>
      <c r="AW90" s="25">
        <f t="shared" si="95"/>
        <v>0</v>
      </c>
      <c r="AX90" s="25">
        <f t="shared" si="95"/>
        <v>0</v>
      </c>
      <c r="AY90" s="25">
        <f t="shared" si="95"/>
        <v>0</v>
      </c>
      <c r="AZ90" s="25">
        <f t="shared" si="90"/>
        <v>1235866.55</v>
      </c>
      <c r="BA90" s="25">
        <f t="shared" si="91"/>
        <v>1235866.55</v>
      </c>
    </row>
    <row r="91" spans="1:53" x14ac:dyDescent="0.15">
      <c r="A91" s="24" t="s">
        <v>74</v>
      </c>
      <c r="G91" s="32">
        <v>853637.89</v>
      </c>
      <c r="H91" s="32">
        <f t="shared" si="86"/>
        <v>853637.89</v>
      </c>
      <c r="I91" s="32">
        <f t="shared" si="86"/>
        <v>853637.89</v>
      </c>
      <c r="J91" s="32">
        <f t="shared" si="86"/>
        <v>853637.89</v>
      </c>
      <c r="K91" s="32">
        <f t="shared" si="86"/>
        <v>853637.89</v>
      </c>
      <c r="L91" s="32">
        <f t="shared" si="86"/>
        <v>853637.89</v>
      </c>
      <c r="M91" s="32">
        <f t="shared" si="82"/>
        <v>853637.89</v>
      </c>
      <c r="N91" s="32">
        <f t="shared" ref="N91:AK91" si="98">+M91+SUMIF($B$224:$B$274,$A91,N$224:N$274)</f>
        <v>853637.89</v>
      </c>
      <c r="O91" s="32">
        <f t="shared" si="98"/>
        <v>853637.89</v>
      </c>
      <c r="P91" s="32">
        <f t="shared" si="98"/>
        <v>853637.89</v>
      </c>
      <c r="Q91" s="32">
        <f t="shared" si="98"/>
        <v>853637.89</v>
      </c>
      <c r="R91" s="32">
        <f t="shared" si="98"/>
        <v>853637.89</v>
      </c>
      <c r="S91" s="32">
        <f t="shared" si="98"/>
        <v>853637.89</v>
      </c>
      <c r="T91" s="32">
        <f t="shared" si="98"/>
        <v>853637.89</v>
      </c>
      <c r="U91" s="32">
        <f t="shared" si="98"/>
        <v>853637.89</v>
      </c>
      <c r="V91" s="32">
        <f t="shared" si="98"/>
        <v>853637.89</v>
      </c>
      <c r="W91" s="32">
        <f t="shared" si="98"/>
        <v>853637.89</v>
      </c>
      <c r="X91" s="32">
        <f t="shared" si="98"/>
        <v>853637.89</v>
      </c>
      <c r="Y91" s="32">
        <f t="shared" si="98"/>
        <v>853637.89</v>
      </c>
      <c r="Z91" s="32">
        <f t="shared" si="98"/>
        <v>853637.89</v>
      </c>
      <c r="AA91" s="32">
        <f t="shared" si="98"/>
        <v>853637.89</v>
      </c>
      <c r="AB91" s="32">
        <f t="shared" si="98"/>
        <v>853637.89</v>
      </c>
      <c r="AC91" s="32">
        <f t="shared" si="98"/>
        <v>853637.89</v>
      </c>
      <c r="AD91" s="32">
        <f t="shared" si="98"/>
        <v>853637.89</v>
      </c>
      <c r="AE91" s="32">
        <f t="shared" si="98"/>
        <v>853637.89</v>
      </c>
      <c r="AF91" s="32">
        <f t="shared" si="98"/>
        <v>853637.89</v>
      </c>
      <c r="AG91" s="32">
        <f t="shared" si="98"/>
        <v>853637.89</v>
      </c>
      <c r="AH91" s="32">
        <f t="shared" si="98"/>
        <v>853637.89</v>
      </c>
      <c r="AI91" s="32">
        <f t="shared" si="98"/>
        <v>853637.89</v>
      </c>
      <c r="AJ91" s="32">
        <f t="shared" si="98"/>
        <v>853637.89</v>
      </c>
      <c r="AK91" s="32">
        <f t="shared" si="98"/>
        <v>853637.89</v>
      </c>
      <c r="AM91" s="25">
        <f t="shared" si="89"/>
        <v>853637.89</v>
      </c>
      <c r="AN91" s="25">
        <f t="shared" si="36"/>
        <v>0</v>
      </c>
      <c r="AO91" s="25">
        <f t="shared" si="95"/>
        <v>0</v>
      </c>
      <c r="AP91" s="25">
        <f t="shared" si="95"/>
        <v>0</v>
      </c>
      <c r="AQ91" s="25">
        <f t="shared" si="95"/>
        <v>0</v>
      </c>
      <c r="AR91" s="25">
        <f t="shared" si="95"/>
        <v>0</v>
      </c>
      <c r="AS91" s="25">
        <f t="shared" si="95"/>
        <v>0</v>
      </c>
      <c r="AT91" s="25">
        <f t="shared" si="95"/>
        <v>0</v>
      </c>
      <c r="AU91" s="25">
        <f t="shared" si="95"/>
        <v>0</v>
      </c>
      <c r="AV91" s="25">
        <f t="shared" si="95"/>
        <v>0</v>
      </c>
      <c r="AW91" s="25">
        <f t="shared" si="95"/>
        <v>0</v>
      </c>
      <c r="AX91" s="25">
        <f t="shared" si="95"/>
        <v>0</v>
      </c>
      <c r="AY91" s="25">
        <f t="shared" si="95"/>
        <v>0</v>
      </c>
      <c r="AZ91" s="25">
        <f t="shared" si="90"/>
        <v>853637.89</v>
      </c>
      <c r="BA91" s="25">
        <f t="shared" si="91"/>
        <v>853637.89</v>
      </c>
    </row>
    <row r="92" spans="1:53" x14ac:dyDescent="0.15">
      <c r="A92" s="24" t="s">
        <v>712</v>
      </c>
      <c r="G92" s="32">
        <v>-11268165.009999998</v>
      </c>
      <c r="H92" s="32">
        <f t="shared" si="86"/>
        <v>-11268165.009999998</v>
      </c>
      <c r="I92" s="32">
        <f t="shared" si="86"/>
        <v>-11268165.009999998</v>
      </c>
      <c r="J92" s="32">
        <f t="shared" si="86"/>
        <v>-11268165.009999998</v>
      </c>
      <c r="K92" s="32">
        <f t="shared" si="86"/>
        <v>-11268165.009999998</v>
      </c>
      <c r="L92" s="32">
        <f t="shared" si="86"/>
        <v>-11268165.009999998</v>
      </c>
      <c r="M92" s="32">
        <f t="shared" si="82"/>
        <v>-11268165.009999998</v>
      </c>
      <c r="N92" s="32">
        <f t="shared" ref="N92:AK92" si="99">+M92+SUMIF($B$224:$B$274,$A92,N$224:N$274)</f>
        <v>-11268165.009999998</v>
      </c>
      <c r="O92" s="32">
        <f t="shared" si="99"/>
        <v>-11268165.009999998</v>
      </c>
      <c r="P92" s="32">
        <f t="shared" si="99"/>
        <v>-11268165.009999998</v>
      </c>
      <c r="Q92" s="32">
        <f t="shared" si="99"/>
        <v>-11268165.009999998</v>
      </c>
      <c r="R92" s="32">
        <f t="shared" si="99"/>
        <v>-11268165.009999998</v>
      </c>
      <c r="S92" s="32">
        <f t="shared" si="99"/>
        <v>-11268165.009999998</v>
      </c>
      <c r="T92" s="32">
        <f t="shared" si="99"/>
        <v>-11268165.009999998</v>
      </c>
      <c r="U92" s="32">
        <f t="shared" si="99"/>
        <v>-11268165.009999998</v>
      </c>
      <c r="V92" s="32">
        <f t="shared" si="99"/>
        <v>-11268165.009999998</v>
      </c>
      <c r="W92" s="32">
        <f t="shared" si="99"/>
        <v>-11268165.009999998</v>
      </c>
      <c r="X92" s="32">
        <f t="shared" si="99"/>
        <v>-11268165.009999998</v>
      </c>
      <c r="Y92" s="32">
        <f t="shared" si="99"/>
        <v>-11268165.009999998</v>
      </c>
      <c r="Z92" s="32">
        <f t="shared" si="99"/>
        <v>-11268165.009999998</v>
      </c>
      <c r="AA92" s="32">
        <f t="shared" si="99"/>
        <v>-11268165.009999998</v>
      </c>
      <c r="AB92" s="32">
        <f t="shared" si="99"/>
        <v>-11268165.009999998</v>
      </c>
      <c r="AC92" s="32">
        <f t="shared" si="99"/>
        <v>-11268165.009999998</v>
      </c>
      <c r="AD92" s="32">
        <f t="shared" si="99"/>
        <v>-11268165.009999998</v>
      </c>
      <c r="AE92" s="32">
        <f t="shared" si="99"/>
        <v>-11268165.009999998</v>
      </c>
      <c r="AF92" s="32">
        <f t="shared" si="99"/>
        <v>-11268165.009999998</v>
      </c>
      <c r="AG92" s="32">
        <f t="shared" si="99"/>
        <v>-11268165.009999998</v>
      </c>
      <c r="AH92" s="32">
        <f t="shared" si="99"/>
        <v>-11268165.009999998</v>
      </c>
      <c r="AI92" s="32">
        <f t="shared" si="99"/>
        <v>-11268165.009999998</v>
      </c>
      <c r="AJ92" s="32">
        <f t="shared" si="99"/>
        <v>-11268165.009999998</v>
      </c>
      <c r="AK92" s="32">
        <f t="shared" si="99"/>
        <v>-11268165.009999998</v>
      </c>
      <c r="AM92" s="25">
        <f t="shared" si="89"/>
        <v>-11268165.009999998</v>
      </c>
      <c r="AN92" s="25">
        <f t="shared" si="36"/>
        <v>0</v>
      </c>
      <c r="AO92" s="25">
        <f t="shared" si="95"/>
        <v>0</v>
      </c>
      <c r="AP92" s="25">
        <f t="shared" si="95"/>
        <v>0</v>
      </c>
      <c r="AQ92" s="25">
        <f t="shared" si="95"/>
        <v>0</v>
      </c>
      <c r="AR92" s="25">
        <f t="shared" si="95"/>
        <v>0</v>
      </c>
      <c r="AS92" s="25">
        <f t="shared" si="95"/>
        <v>0</v>
      </c>
      <c r="AT92" s="25">
        <f t="shared" si="95"/>
        <v>0</v>
      </c>
      <c r="AU92" s="25">
        <f t="shared" si="95"/>
        <v>0</v>
      </c>
      <c r="AV92" s="25">
        <f t="shared" si="95"/>
        <v>0</v>
      </c>
      <c r="AW92" s="25">
        <f t="shared" si="95"/>
        <v>0</v>
      </c>
      <c r="AX92" s="25">
        <f t="shared" si="95"/>
        <v>0</v>
      </c>
      <c r="AY92" s="25">
        <f t="shared" si="95"/>
        <v>0</v>
      </c>
      <c r="AZ92" s="25">
        <f t="shared" si="90"/>
        <v>-11268165.009999998</v>
      </c>
      <c r="BA92" s="25">
        <f t="shared" si="91"/>
        <v>-11268165.009999998</v>
      </c>
    </row>
    <row r="93" spans="1:53" x14ac:dyDescent="0.15">
      <c r="A93" s="24" t="s">
        <v>713</v>
      </c>
      <c r="G93" s="32">
        <v>-3587466</v>
      </c>
      <c r="H93" s="32">
        <f t="shared" si="86"/>
        <v>-3587466</v>
      </c>
      <c r="I93" s="32">
        <f t="shared" si="86"/>
        <v>-3587466</v>
      </c>
      <c r="J93" s="32">
        <f t="shared" si="86"/>
        <v>-3587466</v>
      </c>
      <c r="K93" s="32">
        <f t="shared" si="86"/>
        <v>-3587466</v>
      </c>
      <c r="L93" s="32">
        <f t="shared" si="86"/>
        <v>-3587466</v>
      </c>
      <c r="M93" s="32">
        <f t="shared" si="82"/>
        <v>-3587466</v>
      </c>
      <c r="N93" s="32">
        <f t="shared" ref="N93:AK93" si="100">+M93+SUMIF($B$224:$B$274,$A93,N$224:N$274)</f>
        <v>-3587466</v>
      </c>
      <c r="O93" s="32">
        <f t="shared" si="100"/>
        <v>-3587466</v>
      </c>
      <c r="P93" s="32">
        <f t="shared" si="100"/>
        <v>-3587466</v>
      </c>
      <c r="Q93" s="32">
        <f t="shared" si="100"/>
        <v>-3587466</v>
      </c>
      <c r="R93" s="32">
        <f t="shared" si="100"/>
        <v>-3587466</v>
      </c>
      <c r="S93" s="32">
        <f t="shared" si="100"/>
        <v>-3587466</v>
      </c>
      <c r="T93" s="32">
        <f t="shared" si="100"/>
        <v>-3587466</v>
      </c>
      <c r="U93" s="32">
        <f t="shared" si="100"/>
        <v>-3587466</v>
      </c>
      <c r="V93" s="32">
        <f t="shared" si="100"/>
        <v>-3587466</v>
      </c>
      <c r="W93" s="32">
        <f t="shared" si="100"/>
        <v>-3587466</v>
      </c>
      <c r="X93" s="32">
        <f t="shared" si="100"/>
        <v>-3587466</v>
      </c>
      <c r="Y93" s="32">
        <f t="shared" si="100"/>
        <v>-3587466</v>
      </c>
      <c r="Z93" s="32">
        <f t="shared" si="100"/>
        <v>-3587466</v>
      </c>
      <c r="AA93" s="32">
        <f t="shared" si="100"/>
        <v>-3587466</v>
      </c>
      <c r="AB93" s="32">
        <f t="shared" si="100"/>
        <v>-3587466</v>
      </c>
      <c r="AC93" s="32">
        <f t="shared" si="100"/>
        <v>-3587466</v>
      </c>
      <c r="AD93" s="32">
        <f t="shared" si="100"/>
        <v>-3587466</v>
      </c>
      <c r="AE93" s="32">
        <f t="shared" si="100"/>
        <v>-3587466</v>
      </c>
      <c r="AF93" s="32">
        <f t="shared" si="100"/>
        <v>-3587466</v>
      </c>
      <c r="AG93" s="32">
        <f t="shared" si="100"/>
        <v>-3587466</v>
      </c>
      <c r="AH93" s="32">
        <f t="shared" si="100"/>
        <v>-3587466</v>
      </c>
      <c r="AI93" s="32">
        <f t="shared" si="100"/>
        <v>-3587466</v>
      </c>
      <c r="AJ93" s="32">
        <f t="shared" si="100"/>
        <v>-3587466</v>
      </c>
      <c r="AK93" s="32">
        <f t="shared" si="100"/>
        <v>-3587466</v>
      </c>
      <c r="AM93" s="25">
        <f t="shared" si="89"/>
        <v>-3587466</v>
      </c>
      <c r="AN93" s="25">
        <f t="shared" si="36"/>
        <v>0</v>
      </c>
      <c r="AO93" s="25">
        <f t="shared" si="95"/>
        <v>0</v>
      </c>
      <c r="AP93" s="25">
        <f t="shared" si="95"/>
        <v>0</v>
      </c>
      <c r="AQ93" s="25">
        <f t="shared" si="95"/>
        <v>0</v>
      </c>
      <c r="AR93" s="25">
        <f t="shared" si="95"/>
        <v>0</v>
      </c>
      <c r="AS93" s="25">
        <f t="shared" si="95"/>
        <v>0</v>
      </c>
      <c r="AT93" s="25">
        <f t="shared" si="95"/>
        <v>0</v>
      </c>
      <c r="AU93" s="25">
        <f t="shared" si="95"/>
        <v>0</v>
      </c>
      <c r="AV93" s="25">
        <f t="shared" si="95"/>
        <v>0</v>
      </c>
      <c r="AW93" s="25">
        <f t="shared" si="95"/>
        <v>0</v>
      </c>
      <c r="AX93" s="25">
        <f t="shared" si="95"/>
        <v>0</v>
      </c>
      <c r="AY93" s="25">
        <f t="shared" si="95"/>
        <v>0</v>
      </c>
      <c r="AZ93" s="25">
        <f t="shared" si="90"/>
        <v>-3587466</v>
      </c>
      <c r="BA93" s="25">
        <f t="shared" si="91"/>
        <v>-3587466</v>
      </c>
    </row>
    <row r="94" spans="1:53" x14ac:dyDescent="0.15">
      <c r="A94" s="24" t="s">
        <v>714</v>
      </c>
      <c r="G94" s="32">
        <v>8508595.8000000007</v>
      </c>
      <c r="H94" s="32">
        <f t="shared" ref="H94:L103" si="101">+G94+SUMIF($B$224:$B$274,$A94,H$224:H$274)</f>
        <v>8508595.8000000007</v>
      </c>
      <c r="I94" s="32">
        <f t="shared" si="101"/>
        <v>8508595.8000000007</v>
      </c>
      <c r="J94" s="32">
        <f t="shared" si="101"/>
        <v>8508595.8000000007</v>
      </c>
      <c r="K94" s="32">
        <f t="shared" si="101"/>
        <v>8508595.8000000007</v>
      </c>
      <c r="L94" s="32">
        <f t="shared" si="101"/>
        <v>8508595.8000000007</v>
      </c>
      <c r="M94" s="32">
        <f t="shared" si="82"/>
        <v>8508595.8000000007</v>
      </c>
      <c r="N94" s="32">
        <f t="shared" ref="N94:AK94" si="102">+M94+SUMIF($B$224:$B$274,$A94,N$224:N$274)</f>
        <v>8508595.8000000007</v>
      </c>
      <c r="O94" s="32">
        <f t="shared" si="102"/>
        <v>8508595.8000000007</v>
      </c>
      <c r="P94" s="32">
        <f t="shared" si="102"/>
        <v>8508595.8000000007</v>
      </c>
      <c r="Q94" s="32">
        <f t="shared" si="102"/>
        <v>8508595.8000000007</v>
      </c>
      <c r="R94" s="32">
        <f t="shared" si="102"/>
        <v>8508595.8000000007</v>
      </c>
      <c r="S94" s="32">
        <f t="shared" si="102"/>
        <v>8508595.8000000007</v>
      </c>
      <c r="T94" s="32">
        <f t="shared" si="102"/>
        <v>8508595.8000000007</v>
      </c>
      <c r="U94" s="32">
        <f t="shared" si="102"/>
        <v>8508595.8000000007</v>
      </c>
      <c r="V94" s="32">
        <f t="shared" si="102"/>
        <v>8508595.8000000007</v>
      </c>
      <c r="W94" s="32">
        <f t="shared" si="102"/>
        <v>8508595.8000000007</v>
      </c>
      <c r="X94" s="32">
        <f t="shared" si="102"/>
        <v>8508595.8000000007</v>
      </c>
      <c r="Y94" s="32">
        <f t="shared" si="102"/>
        <v>8508595.8000000007</v>
      </c>
      <c r="Z94" s="32">
        <f t="shared" si="102"/>
        <v>8508595.8000000007</v>
      </c>
      <c r="AA94" s="32">
        <f t="shared" si="102"/>
        <v>8508595.8000000007</v>
      </c>
      <c r="AB94" s="32">
        <f t="shared" si="102"/>
        <v>8508595.8000000007</v>
      </c>
      <c r="AC94" s="32">
        <f t="shared" si="102"/>
        <v>8508595.8000000007</v>
      </c>
      <c r="AD94" s="32">
        <f t="shared" si="102"/>
        <v>8508595.8000000007</v>
      </c>
      <c r="AE94" s="32">
        <f t="shared" si="102"/>
        <v>8508595.8000000007</v>
      </c>
      <c r="AF94" s="32">
        <f t="shared" si="102"/>
        <v>8508595.8000000007</v>
      </c>
      <c r="AG94" s="32">
        <f t="shared" si="102"/>
        <v>8508595.8000000007</v>
      </c>
      <c r="AH94" s="32">
        <f t="shared" si="102"/>
        <v>8508595.8000000007</v>
      </c>
      <c r="AI94" s="32">
        <f t="shared" si="102"/>
        <v>8508595.8000000007</v>
      </c>
      <c r="AJ94" s="32">
        <f t="shared" si="102"/>
        <v>8508595.8000000007</v>
      </c>
      <c r="AK94" s="32">
        <f t="shared" si="102"/>
        <v>8508595.8000000007</v>
      </c>
      <c r="AM94" s="25">
        <f t="shared" si="89"/>
        <v>8508595.8000000007</v>
      </c>
      <c r="AN94" s="25">
        <f t="shared" si="36"/>
        <v>0</v>
      </c>
      <c r="AO94" s="25">
        <f t="shared" si="95"/>
        <v>0</v>
      </c>
      <c r="AP94" s="25">
        <f t="shared" si="95"/>
        <v>0</v>
      </c>
      <c r="AQ94" s="25">
        <f t="shared" si="95"/>
        <v>0</v>
      </c>
      <c r="AR94" s="25">
        <f t="shared" si="95"/>
        <v>0</v>
      </c>
      <c r="AS94" s="25">
        <f t="shared" si="95"/>
        <v>0</v>
      </c>
      <c r="AT94" s="25">
        <f t="shared" si="95"/>
        <v>0</v>
      </c>
      <c r="AU94" s="25">
        <f t="shared" si="95"/>
        <v>0</v>
      </c>
      <c r="AV94" s="25">
        <f t="shared" si="95"/>
        <v>0</v>
      </c>
      <c r="AW94" s="25">
        <f t="shared" si="95"/>
        <v>0</v>
      </c>
      <c r="AX94" s="25">
        <f t="shared" si="95"/>
        <v>0</v>
      </c>
      <c r="AY94" s="25">
        <f t="shared" si="95"/>
        <v>0</v>
      </c>
      <c r="AZ94" s="25">
        <f t="shared" si="90"/>
        <v>8508595.8000000007</v>
      </c>
      <c r="BA94" s="25">
        <f t="shared" si="91"/>
        <v>8508595.8000000007</v>
      </c>
    </row>
    <row r="95" spans="1:53" ht="9" thickBot="1" x14ac:dyDescent="0.2">
      <c r="G95" s="125">
        <f t="shared" ref="G95:AK95" si="103">SUM(G22:G94)</f>
        <v>-1335037502.4400008</v>
      </c>
      <c r="H95" s="125">
        <f t="shared" si="103"/>
        <v>-1335079850.8375008</v>
      </c>
      <c r="I95" s="125">
        <f t="shared" si="103"/>
        <v>-1335122199.2350008</v>
      </c>
      <c r="J95" s="125">
        <f t="shared" si="103"/>
        <v>-1365768705.1071501</v>
      </c>
      <c r="K95" s="125">
        <f t="shared" si="103"/>
        <v>-1365811053.4088161</v>
      </c>
      <c r="L95" s="125">
        <f t="shared" si="103"/>
        <v>-1365853401.7104821</v>
      </c>
      <c r="M95" s="125">
        <f t="shared" si="103"/>
        <v>-1380626003.4777756</v>
      </c>
      <c r="N95" s="125">
        <f t="shared" si="103"/>
        <v>-1380668351.7794416</v>
      </c>
      <c r="O95" s="125">
        <f t="shared" si="103"/>
        <v>-1380710700.0811076</v>
      </c>
      <c r="P95" s="125">
        <f t="shared" si="103"/>
        <v>-1390487563.7672224</v>
      </c>
      <c r="Q95" s="125">
        <f t="shared" si="103"/>
        <v>-1389229039.8703742</v>
      </c>
      <c r="R95" s="125">
        <f t="shared" si="103"/>
        <v>-1389264063.0778742</v>
      </c>
      <c r="S95" s="125">
        <f t="shared" si="103"/>
        <v>-1403501730.7388284</v>
      </c>
      <c r="T95" s="125">
        <f t="shared" si="103"/>
        <v>-1403536754.2763286</v>
      </c>
      <c r="U95" s="125">
        <f t="shared" si="103"/>
        <v>-1403571777.8138285</v>
      </c>
      <c r="V95" s="125">
        <f t="shared" si="103"/>
        <v>-1414757396.9112682</v>
      </c>
      <c r="W95" s="125">
        <f t="shared" si="103"/>
        <v>-1414792420.4487681</v>
      </c>
      <c r="X95" s="125">
        <f t="shared" si="103"/>
        <v>-1414827443.986268</v>
      </c>
      <c r="Y95" s="125">
        <f t="shared" si="103"/>
        <v>-1427549905.3285503</v>
      </c>
      <c r="Z95" s="125">
        <f t="shared" si="103"/>
        <v>-1427584928.8660502</v>
      </c>
      <c r="AA95" s="125">
        <f t="shared" si="103"/>
        <v>-1427619952.4035504</v>
      </c>
      <c r="AB95" s="125">
        <f t="shared" si="103"/>
        <v>-1424561182.7093499</v>
      </c>
      <c r="AC95" s="125">
        <f t="shared" si="103"/>
        <v>-1423572313.2899644</v>
      </c>
      <c r="AD95" s="125">
        <f t="shared" si="103"/>
        <v>-1423045850.8179519</v>
      </c>
      <c r="AE95" s="125">
        <f t="shared" si="103"/>
        <v>-1426087144.8009944</v>
      </c>
      <c r="AF95" s="125">
        <f t="shared" si="103"/>
        <v>-1426122168.3384945</v>
      </c>
      <c r="AG95" s="125">
        <f t="shared" si="103"/>
        <v>-1426157191.8759944</v>
      </c>
      <c r="AH95" s="125">
        <f t="shared" si="103"/>
        <v>-1424594395.057271</v>
      </c>
      <c r="AI95" s="125">
        <f t="shared" si="103"/>
        <v>-1424629418.5947711</v>
      </c>
      <c r="AJ95" s="125">
        <f t="shared" si="103"/>
        <v>-1424664442.1322711</v>
      </c>
      <c r="AK95" s="125">
        <f t="shared" si="103"/>
        <v>-1425406461.3506923</v>
      </c>
      <c r="AM95" s="125">
        <f t="shared" ref="AM95:BA95" si="104">SUM(AM22:AM94)</f>
        <v>-1389229039.8703742</v>
      </c>
      <c r="AN95" s="125">
        <f t="shared" si="104"/>
        <v>-2626711.5514983525</v>
      </c>
      <c r="AO95" s="125">
        <f t="shared" si="104"/>
        <v>-2383642.7213597</v>
      </c>
      <c r="AP95" s="125">
        <f t="shared" si="104"/>
        <v>-2148414.8212255193</v>
      </c>
      <c r="AQ95" s="125">
        <f t="shared" si="104"/>
        <v>-1905345.9910868658</v>
      </c>
      <c r="AR95" s="125">
        <f t="shared" si="104"/>
        <v>-1670118.0909526835</v>
      </c>
      <c r="AS95" s="125">
        <f t="shared" si="104"/>
        <v>-1427049.2608140321</v>
      </c>
      <c r="AT95" s="125">
        <f t="shared" si="104"/>
        <v>-1183980.4306753771</v>
      </c>
      <c r="AU95" s="125">
        <f t="shared" si="104"/>
        <v>-964434.39055014192</v>
      </c>
      <c r="AV95" s="125">
        <f t="shared" si="104"/>
        <v>-721365.5604114884</v>
      </c>
      <c r="AW95" s="125">
        <f t="shared" si="104"/>
        <v>-486137.66027730709</v>
      </c>
      <c r="AX95" s="125">
        <f t="shared" si="104"/>
        <v>-243068.83013865355</v>
      </c>
      <c r="AY95" s="125">
        <f t="shared" si="104"/>
        <v>-7840.9300044726924</v>
      </c>
      <c r="AZ95" s="125">
        <f t="shared" si="104"/>
        <v>-1423572313.2899644</v>
      </c>
      <c r="BA95" s="125">
        <f t="shared" si="104"/>
        <v>-1404997150.1093688</v>
      </c>
    </row>
    <row r="96" spans="1:53" x14ac:dyDescent="0.15">
      <c r="G96" s="32"/>
      <c r="H96" s="32"/>
    </row>
    <row r="97" spans="1:53" x14ac:dyDescent="0.15">
      <c r="A97" s="127" t="s">
        <v>343</v>
      </c>
      <c r="G97" s="32"/>
      <c r="H97" s="32"/>
    </row>
    <row r="98" spans="1:53" x14ac:dyDescent="0.15">
      <c r="A98" s="24" t="s">
        <v>339</v>
      </c>
      <c r="G98" s="32">
        <v>323302.09999999998</v>
      </c>
      <c r="H98" s="32">
        <f t="shared" ref="H98:M99" si="105">+G98</f>
        <v>323302.09999999998</v>
      </c>
      <c r="I98" s="32">
        <f t="shared" si="105"/>
        <v>323302.09999999998</v>
      </c>
      <c r="J98" s="32">
        <f t="shared" si="105"/>
        <v>323302.09999999998</v>
      </c>
      <c r="K98" s="32">
        <f t="shared" si="105"/>
        <v>323302.09999999998</v>
      </c>
      <c r="L98" s="32">
        <f t="shared" si="105"/>
        <v>323302.09999999998</v>
      </c>
      <c r="M98" s="32">
        <f t="shared" si="105"/>
        <v>323302.09999999998</v>
      </c>
      <c r="N98" s="32">
        <f t="shared" ref="N98:AK98" si="106">+M98+SUMIF($B$224:$B$274,$A98,N$224:N$274)</f>
        <v>323302.09999999998</v>
      </c>
      <c r="O98" s="32">
        <f t="shared" si="106"/>
        <v>323302.09999999998</v>
      </c>
      <c r="P98" s="32">
        <f t="shared" si="106"/>
        <v>323302.09999999998</v>
      </c>
      <c r="Q98" s="32">
        <f t="shared" si="106"/>
        <v>323302.09999999998</v>
      </c>
      <c r="R98" s="32">
        <f t="shared" si="106"/>
        <v>323302.09999999998</v>
      </c>
      <c r="S98" s="32">
        <f t="shared" si="106"/>
        <v>323302.09999999998</v>
      </c>
      <c r="T98" s="32">
        <f t="shared" si="106"/>
        <v>323302.09999999998</v>
      </c>
      <c r="U98" s="32">
        <f t="shared" si="106"/>
        <v>323302.09999999998</v>
      </c>
      <c r="V98" s="32">
        <f t="shared" si="106"/>
        <v>323302.09999999998</v>
      </c>
      <c r="W98" s="32">
        <f t="shared" si="106"/>
        <v>323302.09999999998</v>
      </c>
      <c r="X98" s="32">
        <f t="shared" si="106"/>
        <v>323302.09999999998</v>
      </c>
      <c r="Y98" s="32">
        <f t="shared" si="106"/>
        <v>323302.09999999998</v>
      </c>
      <c r="Z98" s="32">
        <f t="shared" si="106"/>
        <v>323302.09999999998</v>
      </c>
      <c r="AA98" s="32">
        <f t="shared" si="106"/>
        <v>323302.09999999998</v>
      </c>
      <c r="AB98" s="32">
        <f t="shared" si="106"/>
        <v>323302.09999999998</v>
      </c>
      <c r="AC98" s="32">
        <f t="shared" si="106"/>
        <v>323302.09999999998</v>
      </c>
      <c r="AD98" s="32">
        <f t="shared" si="106"/>
        <v>323302.09999999998</v>
      </c>
      <c r="AE98" s="32">
        <f t="shared" si="106"/>
        <v>323302.09999999998</v>
      </c>
      <c r="AF98" s="32">
        <f t="shared" si="106"/>
        <v>323302.09999999998</v>
      </c>
      <c r="AG98" s="32">
        <f t="shared" si="106"/>
        <v>323302.09999999998</v>
      </c>
      <c r="AH98" s="32">
        <f t="shared" si="106"/>
        <v>323302.09999999998</v>
      </c>
      <c r="AI98" s="32">
        <f t="shared" si="106"/>
        <v>323302.09999999998</v>
      </c>
      <c r="AJ98" s="32">
        <f t="shared" si="106"/>
        <v>323302.09999999998</v>
      </c>
      <c r="AK98" s="32">
        <f t="shared" si="106"/>
        <v>323302.09999999998</v>
      </c>
      <c r="AM98" s="25">
        <f>+Q98</f>
        <v>323302.09999999998</v>
      </c>
      <c r="AN98" s="25">
        <f t="shared" ref="AN98:AY99" si="107">($AZ98-$AM98)/12*AN$6</f>
        <v>0</v>
      </c>
      <c r="AO98" s="25">
        <f t="shared" si="107"/>
        <v>0</v>
      </c>
      <c r="AP98" s="25">
        <f t="shared" si="107"/>
        <v>0</v>
      </c>
      <c r="AQ98" s="25">
        <f t="shared" si="107"/>
        <v>0</v>
      </c>
      <c r="AR98" s="25">
        <f t="shared" si="107"/>
        <v>0</v>
      </c>
      <c r="AS98" s="25">
        <f t="shared" si="107"/>
        <v>0</v>
      </c>
      <c r="AT98" s="25">
        <f t="shared" si="107"/>
        <v>0</v>
      </c>
      <c r="AU98" s="25">
        <f t="shared" si="107"/>
        <v>0</v>
      </c>
      <c r="AV98" s="25">
        <f t="shared" si="107"/>
        <v>0</v>
      </c>
      <c r="AW98" s="25">
        <f t="shared" si="107"/>
        <v>0</v>
      </c>
      <c r="AX98" s="25">
        <f t="shared" si="107"/>
        <v>0</v>
      </c>
      <c r="AY98" s="25">
        <f t="shared" si="107"/>
        <v>0</v>
      </c>
      <c r="AZ98" s="25">
        <f>+AC98</f>
        <v>323302.09999999998</v>
      </c>
      <c r="BA98" s="25">
        <f>SUM(AM98:AY98)</f>
        <v>323302.09999999998</v>
      </c>
    </row>
    <row r="99" spans="1:53" x14ac:dyDescent="0.15">
      <c r="A99" s="24" t="s">
        <v>77</v>
      </c>
      <c r="G99" s="32">
        <v>6719.34</v>
      </c>
      <c r="H99" s="32">
        <f t="shared" si="105"/>
        <v>6719.34</v>
      </c>
      <c r="I99" s="32">
        <f t="shared" si="105"/>
        <v>6719.34</v>
      </c>
      <c r="J99" s="32">
        <f t="shared" si="105"/>
        <v>6719.34</v>
      </c>
      <c r="K99" s="32">
        <f t="shared" si="105"/>
        <v>6719.34</v>
      </c>
      <c r="L99" s="32">
        <f t="shared" si="105"/>
        <v>6719.34</v>
      </c>
      <c r="M99" s="32">
        <f t="shared" si="105"/>
        <v>6719.34</v>
      </c>
      <c r="N99" s="32">
        <f t="shared" ref="N99:AK99" si="108">+M99+SUMIF($B$224:$B$274,$A99,N$224:N$274)</f>
        <v>6719.34</v>
      </c>
      <c r="O99" s="32">
        <f t="shared" si="108"/>
        <v>6719.34</v>
      </c>
      <c r="P99" s="32">
        <f t="shared" si="108"/>
        <v>6719.34</v>
      </c>
      <c r="Q99" s="32">
        <f t="shared" si="108"/>
        <v>6719.34</v>
      </c>
      <c r="R99" s="32">
        <f t="shared" si="108"/>
        <v>6719.34</v>
      </c>
      <c r="S99" s="32">
        <f t="shared" si="108"/>
        <v>6719.34</v>
      </c>
      <c r="T99" s="32">
        <f t="shared" si="108"/>
        <v>6719.34</v>
      </c>
      <c r="U99" s="32">
        <f t="shared" si="108"/>
        <v>6719.34</v>
      </c>
      <c r="V99" s="32">
        <f t="shared" si="108"/>
        <v>6719.34</v>
      </c>
      <c r="W99" s="32">
        <f t="shared" si="108"/>
        <v>6719.34</v>
      </c>
      <c r="X99" s="32">
        <f t="shared" si="108"/>
        <v>6719.34</v>
      </c>
      <c r="Y99" s="32">
        <f t="shared" si="108"/>
        <v>6719.34</v>
      </c>
      <c r="Z99" s="32">
        <f t="shared" si="108"/>
        <v>6719.34</v>
      </c>
      <c r="AA99" s="32">
        <f t="shared" si="108"/>
        <v>6719.34</v>
      </c>
      <c r="AB99" s="32">
        <f t="shared" si="108"/>
        <v>6719.34</v>
      </c>
      <c r="AC99" s="32">
        <f t="shared" si="108"/>
        <v>6719.34</v>
      </c>
      <c r="AD99" s="32">
        <f t="shared" si="108"/>
        <v>6719.34</v>
      </c>
      <c r="AE99" s="32">
        <f t="shared" si="108"/>
        <v>6719.34</v>
      </c>
      <c r="AF99" s="32">
        <f t="shared" si="108"/>
        <v>6719.34</v>
      </c>
      <c r="AG99" s="32">
        <f t="shared" si="108"/>
        <v>6719.34</v>
      </c>
      <c r="AH99" s="32">
        <f t="shared" si="108"/>
        <v>6719.34</v>
      </c>
      <c r="AI99" s="32">
        <f t="shared" si="108"/>
        <v>6719.34</v>
      </c>
      <c r="AJ99" s="32">
        <f t="shared" si="108"/>
        <v>6719.34</v>
      </c>
      <c r="AK99" s="32">
        <f t="shared" si="108"/>
        <v>6719.34</v>
      </c>
      <c r="AM99" s="25">
        <f>+Q99</f>
        <v>6719.34</v>
      </c>
      <c r="AN99" s="25">
        <f t="shared" si="107"/>
        <v>0</v>
      </c>
      <c r="AO99" s="25">
        <f t="shared" si="107"/>
        <v>0</v>
      </c>
      <c r="AP99" s="25">
        <f t="shared" si="107"/>
        <v>0</v>
      </c>
      <c r="AQ99" s="25">
        <f t="shared" si="107"/>
        <v>0</v>
      </c>
      <c r="AR99" s="25">
        <f t="shared" si="107"/>
        <v>0</v>
      </c>
      <c r="AS99" s="25">
        <f t="shared" si="107"/>
        <v>0</v>
      </c>
      <c r="AT99" s="25">
        <f t="shared" si="107"/>
        <v>0</v>
      </c>
      <c r="AU99" s="25">
        <f t="shared" si="107"/>
        <v>0</v>
      </c>
      <c r="AV99" s="25">
        <f t="shared" si="107"/>
        <v>0</v>
      </c>
      <c r="AW99" s="25">
        <f t="shared" si="107"/>
        <v>0</v>
      </c>
      <c r="AX99" s="25">
        <f t="shared" si="107"/>
        <v>0</v>
      </c>
      <c r="AY99" s="25">
        <f t="shared" si="107"/>
        <v>0</v>
      </c>
      <c r="AZ99" s="25">
        <f>+AC99</f>
        <v>6719.34</v>
      </c>
      <c r="BA99" s="25">
        <f>SUM(AM99:AY99)</f>
        <v>6719.34</v>
      </c>
    </row>
    <row r="100" spans="1:53" ht="9" thickBot="1" x14ac:dyDescent="0.2">
      <c r="G100" s="125">
        <f t="shared" ref="G100:N100" si="109">SUM(G98:G99)</f>
        <v>330021.44</v>
      </c>
      <c r="H100" s="125">
        <f t="shared" si="109"/>
        <v>330021.44</v>
      </c>
      <c r="I100" s="125">
        <f t="shared" si="109"/>
        <v>330021.44</v>
      </c>
      <c r="J100" s="125">
        <f t="shared" si="109"/>
        <v>330021.44</v>
      </c>
      <c r="K100" s="125">
        <f t="shared" si="109"/>
        <v>330021.44</v>
      </c>
      <c r="L100" s="125">
        <f t="shared" si="109"/>
        <v>330021.44</v>
      </c>
      <c r="M100" s="125">
        <f t="shared" si="109"/>
        <v>330021.44</v>
      </c>
      <c r="N100" s="125">
        <f t="shared" si="109"/>
        <v>330021.44</v>
      </c>
      <c r="O100" s="125">
        <f t="shared" ref="O100:AP100" si="110">SUM(O98:O99)</f>
        <v>330021.44</v>
      </c>
      <c r="P100" s="125">
        <f t="shared" si="110"/>
        <v>330021.44</v>
      </c>
      <c r="Q100" s="125">
        <f t="shared" si="110"/>
        <v>330021.44</v>
      </c>
      <c r="R100" s="125">
        <f t="shared" si="110"/>
        <v>330021.44</v>
      </c>
      <c r="S100" s="125">
        <f t="shared" si="110"/>
        <v>330021.44</v>
      </c>
      <c r="T100" s="125">
        <f t="shared" si="110"/>
        <v>330021.44</v>
      </c>
      <c r="U100" s="125">
        <f t="shared" si="110"/>
        <v>330021.44</v>
      </c>
      <c r="V100" s="125">
        <f t="shared" si="110"/>
        <v>330021.44</v>
      </c>
      <c r="W100" s="125">
        <f t="shared" si="110"/>
        <v>330021.44</v>
      </c>
      <c r="X100" s="125">
        <f t="shared" si="110"/>
        <v>330021.44</v>
      </c>
      <c r="Y100" s="125">
        <f t="shared" si="110"/>
        <v>330021.44</v>
      </c>
      <c r="Z100" s="125">
        <f t="shared" si="110"/>
        <v>330021.44</v>
      </c>
      <c r="AA100" s="125">
        <f t="shared" si="110"/>
        <v>330021.44</v>
      </c>
      <c r="AB100" s="125">
        <f t="shared" si="110"/>
        <v>330021.44</v>
      </c>
      <c r="AC100" s="125">
        <f t="shared" si="110"/>
        <v>330021.44</v>
      </c>
      <c r="AD100" s="125">
        <f t="shared" si="110"/>
        <v>330021.44</v>
      </c>
      <c r="AE100" s="125">
        <f t="shared" si="110"/>
        <v>330021.44</v>
      </c>
      <c r="AF100" s="125">
        <f t="shared" si="110"/>
        <v>330021.44</v>
      </c>
      <c r="AG100" s="125">
        <f t="shared" si="110"/>
        <v>330021.44</v>
      </c>
      <c r="AH100" s="125">
        <f t="shared" si="110"/>
        <v>330021.44</v>
      </c>
      <c r="AI100" s="125">
        <f t="shared" si="110"/>
        <v>330021.44</v>
      </c>
      <c r="AJ100" s="125">
        <f t="shared" si="110"/>
        <v>330021.44</v>
      </c>
      <c r="AK100" s="125">
        <f t="shared" si="110"/>
        <v>330021.44</v>
      </c>
      <c r="AM100" s="125">
        <f t="shared" si="110"/>
        <v>330021.44</v>
      </c>
      <c r="AN100" s="125">
        <f t="shared" si="110"/>
        <v>0</v>
      </c>
      <c r="AO100" s="125">
        <f t="shared" si="110"/>
        <v>0</v>
      </c>
      <c r="AP100" s="125">
        <f t="shared" si="110"/>
        <v>0</v>
      </c>
      <c r="AQ100" s="125">
        <f t="shared" ref="AQ100:BA100" si="111">SUM(AQ98:AQ99)</f>
        <v>0</v>
      </c>
      <c r="AR100" s="125">
        <f t="shared" si="111"/>
        <v>0</v>
      </c>
      <c r="AS100" s="125">
        <f t="shared" si="111"/>
        <v>0</v>
      </c>
      <c r="AT100" s="125">
        <f t="shared" si="111"/>
        <v>0</v>
      </c>
      <c r="AU100" s="125">
        <f t="shared" si="111"/>
        <v>0</v>
      </c>
      <c r="AV100" s="125">
        <f t="shared" si="111"/>
        <v>0</v>
      </c>
      <c r="AW100" s="125">
        <f t="shared" si="111"/>
        <v>0</v>
      </c>
      <c r="AX100" s="125">
        <f t="shared" si="111"/>
        <v>0</v>
      </c>
      <c r="AY100" s="125">
        <f t="shared" si="111"/>
        <v>0</v>
      </c>
      <c r="AZ100" s="125">
        <f t="shared" si="111"/>
        <v>330021.44</v>
      </c>
      <c r="BA100" s="125">
        <f t="shared" si="111"/>
        <v>330021.44</v>
      </c>
    </row>
    <row r="101" spans="1:53" x14ac:dyDescent="0.15">
      <c r="G101" s="32"/>
      <c r="H101" s="32"/>
    </row>
    <row r="102" spans="1:53" x14ac:dyDescent="0.15">
      <c r="A102" s="127" t="s">
        <v>344</v>
      </c>
      <c r="G102" s="32"/>
      <c r="H102" s="32"/>
    </row>
    <row r="103" spans="1:53" x14ac:dyDescent="0.15">
      <c r="A103" s="24" t="s">
        <v>80</v>
      </c>
      <c r="G103" s="32">
        <v>30831266.940000001</v>
      </c>
      <c r="H103" s="128">
        <f t="shared" ref="H103:AK103" si="112">+G103+H271</f>
        <v>30831266.940000001</v>
      </c>
      <c r="I103" s="128">
        <f t="shared" si="112"/>
        <v>30831266.940000001</v>
      </c>
      <c r="J103" s="128">
        <f t="shared" si="112"/>
        <v>30645612.676842108</v>
      </c>
      <c r="K103" s="128">
        <f t="shared" si="112"/>
        <v>30645612.676842108</v>
      </c>
      <c r="L103" s="128">
        <f t="shared" si="112"/>
        <v>30645612.676842108</v>
      </c>
      <c r="M103" s="128">
        <f t="shared" si="112"/>
        <v>30459958.413684212</v>
      </c>
      <c r="N103" s="128">
        <f t="shared" si="112"/>
        <v>30459958.413684212</v>
      </c>
      <c r="O103" s="128">
        <f t="shared" si="112"/>
        <v>30459958.413684212</v>
      </c>
      <c r="P103" s="128">
        <f t="shared" si="112"/>
        <v>30274304.150526315</v>
      </c>
      <c r="Q103" s="128">
        <f t="shared" si="112"/>
        <v>30220156.140144348</v>
      </c>
      <c r="R103" s="128">
        <f t="shared" si="112"/>
        <v>30220156.140144348</v>
      </c>
      <c r="S103" s="128">
        <f t="shared" si="112"/>
        <v>30107381.392143015</v>
      </c>
      <c r="T103" s="128">
        <f t="shared" si="112"/>
        <v>30107381.392143015</v>
      </c>
      <c r="U103" s="128">
        <f t="shared" si="112"/>
        <v>30107381.392143015</v>
      </c>
      <c r="V103" s="128">
        <f t="shared" si="112"/>
        <v>29949824.386147011</v>
      </c>
      <c r="W103" s="128">
        <f t="shared" si="112"/>
        <v>29949824.386147011</v>
      </c>
      <c r="X103" s="128">
        <f t="shared" si="112"/>
        <v>29949824.386147011</v>
      </c>
      <c r="Y103" s="128">
        <f t="shared" si="112"/>
        <v>29792267.380151007</v>
      </c>
      <c r="Z103" s="128">
        <f t="shared" si="112"/>
        <v>29792267.380151007</v>
      </c>
      <c r="AA103" s="128">
        <f t="shared" si="112"/>
        <v>29792267.380151007</v>
      </c>
      <c r="AB103" s="128">
        <f t="shared" si="112"/>
        <v>29634710.374155004</v>
      </c>
      <c r="AC103" s="128">
        <f t="shared" si="112"/>
        <v>29582191.372156337</v>
      </c>
      <c r="AD103" s="128">
        <f t="shared" si="112"/>
        <v>29582191.372156337</v>
      </c>
      <c r="AE103" s="128">
        <f t="shared" si="112"/>
        <v>29477153.368159004</v>
      </c>
      <c r="AF103" s="128">
        <f t="shared" si="112"/>
        <v>29477153.368159004</v>
      </c>
      <c r="AG103" s="128">
        <f t="shared" si="112"/>
        <v>29477153.368159004</v>
      </c>
      <c r="AH103" s="128">
        <f t="shared" si="112"/>
        <v>29319596.362163</v>
      </c>
      <c r="AI103" s="128">
        <f t="shared" si="112"/>
        <v>29319596.362163</v>
      </c>
      <c r="AJ103" s="128">
        <f t="shared" si="112"/>
        <v>29319596.362163</v>
      </c>
      <c r="AK103" s="128">
        <f t="shared" si="112"/>
        <v>29162039.356166996</v>
      </c>
      <c r="AM103" s="25">
        <f>+Q103</f>
        <v>30220156.140144348</v>
      </c>
      <c r="AN103" s="25">
        <f t="shared" ref="AN103:AY106" si="113">($AZ103-$AM103)/12*AN$6</f>
        <v>-48794.10896711958</v>
      </c>
      <c r="AO103" s="25">
        <f t="shared" si="113"/>
        <v>-44278.833211953293</v>
      </c>
      <c r="AP103" s="25">
        <f t="shared" si="113"/>
        <v>-39909.211513405266</v>
      </c>
      <c r="AQ103" s="25">
        <f t="shared" si="113"/>
        <v>-35393.935758238978</v>
      </c>
      <c r="AR103" s="25">
        <f t="shared" si="113"/>
        <v>-31024.314059690958</v>
      </c>
      <c r="AS103" s="25">
        <f t="shared" si="113"/>
        <v>-26509.038304524667</v>
      </c>
      <c r="AT103" s="25">
        <f t="shared" si="113"/>
        <v>-21993.76254935838</v>
      </c>
      <c r="AU103" s="25">
        <f t="shared" si="113"/>
        <v>-17915.448964046889</v>
      </c>
      <c r="AV103" s="25">
        <f t="shared" si="113"/>
        <v>-13400.173208880602</v>
      </c>
      <c r="AW103" s="25">
        <f t="shared" si="113"/>
        <v>-9030.5515103325779</v>
      </c>
      <c r="AX103" s="25">
        <f t="shared" si="113"/>
        <v>-4515.2757551662889</v>
      </c>
      <c r="AY103" s="25">
        <f t="shared" si="113"/>
        <v>-145.65405661826739</v>
      </c>
      <c r="AZ103" s="25">
        <f>+AC103</f>
        <v>29582191.372156337</v>
      </c>
      <c r="BA103" s="25">
        <f>SUM(AM103:AY103)</f>
        <v>29927245.832285006</v>
      </c>
    </row>
    <row r="104" spans="1:53" x14ac:dyDescent="0.15">
      <c r="A104" s="24" t="s">
        <v>87</v>
      </c>
      <c r="G104" s="32">
        <v>649386182.84000003</v>
      </c>
      <c r="H104" s="128">
        <f t="shared" ref="H104:AK104" si="114">+G104+H272</f>
        <v>649386182.84000003</v>
      </c>
      <c r="I104" s="128">
        <f t="shared" si="114"/>
        <v>649386182.84000003</v>
      </c>
      <c r="J104" s="128">
        <f t="shared" si="114"/>
        <v>646057487.84598291</v>
      </c>
      <c r="K104" s="128">
        <f t="shared" si="114"/>
        <v>646057487.84598291</v>
      </c>
      <c r="L104" s="128">
        <f t="shared" si="114"/>
        <v>646057487.84598291</v>
      </c>
      <c r="M104" s="128">
        <f t="shared" si="114"/>
        <v>642288442.63900781</v>
      </c>
      <c r="N104" s="128">
        <f t="shared" si="114"/>
        <v>642288442.63900781</v>
      </c>
      <c r="O104" s="128">
        <f t="shared" si="114"/>
        <v>642288442.63900781</v>
      </c>
      <c r="P104" s="128">
        <f t="shared" si="114"/>
        <v>636812651.03935087</v>
      </c>
      <c r="Q104" s="128">
        <f t="shared" si="114"/>
        <v>635079310.33513474</v>
      </c>
      <c r="R104" s="128">
        <f t="shared" si="114"/>
        <v>635079310.33513474</v>
      </c>
      <c r="S104" s="128">
        <f t="shared" si="114"/>
        <v>631327119.26647604</v>
      </c>
      <c r="T104" s="128">
        <f t="shared" si="114"/>
        <v>631327119.26647604</v>
      </c>
      <c r="U104" s="128">
        <f t="shared" si="114"/>
        <v>631327119.26647604</v>
      </c>
      <c r="V104" s="128">
        <f t="shared" si="114"/>
        <v>625836716.07454729</v>
      </c>
      <c r="W104" s="128">
        <f t="shared" si="114"/>
        <v>625836716.07454729</v>
      </c>
      <c r="X104" s="128">
        <f t="shared" si="114"/>
        <v>625836716.07454729</v>
      </c>
      <c r="Y104" s="128">
        <f t="shared" si="114"/>
        <v>620346313.50361407</v>
      </c>
      <c r="Z104" s="128">
        <f t="shared" si="114"/>
        <v>620346313.50361407</v>
      </c>
      <c r="AA104" s="128">
        <f t="shared" si="114"/>
        <v>620346313.50361407</v>
      </c>
      <c r="AB104" s="128">
        <f t="shared" si="114"/>
        <v>613742688.94035602</v>
      </c>
      <c r="AC104" s="128">
        <f t="shared" si="114"/>
        <v>611630258.60538208</v>
      </c>
      <c r="AD104" s="128">
        <f t="shared" si="114"/>
        <v>611630258.60538208</v>
      </c>
      <c r="AE104" s="128">
        <f t="shared" si="114"/>
        <v>607139064.37709796</v>
      </c>
      <c r="AF104" s="128">
        <f t="shared" si="114"/>
        <v>607139064.37709796</v>
      </c>
      <c r="AG104" s="128">
        <f t="shared" si="114"/>
        <v>607139064.37709796</v>
      </c>
      <c r="AH104" s="128">
        <f t="shared" si="114"/>
        <v>600535439.81383991</v>
      </c>
      <c r="AI104" s="128">
        <f t="shared" si="114"/>
        <v>600535439.81383991</v>
      </c>
      <c r="AJ104" s="128">
        <f t="shared" si="114"/>
        <v>600535439.81383991</v>
      </c>
      <c r="AK104" s="128">
        <f t="shared" si="114"/>
        <v>593931815.25058186</v>
      </c>
      <c r="AM104" s="25">
        <f>+Q104</f>
        <v>635079310.33513474</v>
      </c>
      <c r="AN104" s="25">
        <f t="shared" si="113"/>
        <v>-1793477.7007915848</v>
      </c>
      <c r="AO104" s="25">
        <f t="shared" si="113"/>
        <v>-1627514.0926586322</v>
      </c>
      <c r="AP104" s="25">
        <f t="shared" si="113"/>
        <v>-1466904.1493041618</v>
      </c>
      <c r="AQ104" s="25">
        <f t="shared" si="113"/>
        <v>-1300940.5411712092</v>
      </c>
      <c r="AR104" s="25">
        <f t="shared" si="113"/>
        <v>-1140330.597816739</v>
      </c>
      <c r="AS104" s="25">
        <f t="shared" si="113"/>
        <v>-974366.98968378629</v>
      </c>
      <c r="AT104" s="25">
        <f t="shared" si="113"/>
        <v>-808403.3815508337</v>
      </c>
      <c r="AU104" s="25">
        <f t="shared" si="113"/>
        <v>-658500.76775332808</v>
      </c>
      <c r="AV104" s="25">
        <f t="shared" si="113"/>
        <v>-492537.15962037555</v>
      </c>
      <c r="AW104" s="25">
        <f t="shared" si="113"/>
        <v>-331927.21626590524</v>
      </c>
      <c r="AX104" s="25">
        <f t="shared" si="113"/>
        <v>-165963.60813295262</v>
      </c>
      <c r="AY104" s="25">
        <f t="shared" si="113"/>
        <v>-5353.6647784823426</v>
      </c>
      <c r="AZ104" s="25">
        <f>+AC104</f>
        <v>611630258.60538208</v>
      </c>
      <c r="BA104" s="25">
        <f>SUM(AM104:AY104)</f>
        <v>624313090.46560681</v>
      </c>
    </row>
    <row r="105" spans="1:53" x14ac:dyDescent="0.15">
      <c r="A105" s="24" t="s">
        <v>319</v>
      </c>
      <c r="G105" s="32">
        <v>-29256550.59</v>
      </c>
      <c r="H105" s="128">
        <f t="shared" ref="H105:AK105" si="115">+G105+H273</f>
        <v>-29256550.59</v>
      </c>
      <c r="I105" s="128">
        <f t="shared" si="115"/>
        <v>-29256550.59</v>
      </c>
      <c r="J105" s="128">
        <f t="shared" si="115"/>
        <v>-29085348.730739508</v>
      </c>
      <c r="K105" s="128">
        <f t="shared" si="115"/>
        <v>-29085348.730739508</v>
      </c>
      <c r="L105" s="128">
        <f t="shared" si="115"/>
        <v>-29085348.730739508</v>
      </c>
      <c r="M105" s="128">
        <f t="shared" si="115"/>
        <v>-28914146.871479016</v>
      </c>
      <c r="N105" s="128">
        <f t="shared" si="115"/>
        <v>-28914146.871479016</v>
      </c>
      <c r="O105" s="128">
        <f t="shared" si="115"/>
        <v>-28914146.871479016</v>
      </c>
      <c r="P105" s="128">
        <f t="shared" si="115"/>
        <v>-28742945.012218524</v>
      </c>
      <c r="Q105" s="128">
        <f t="shared" si="115"/>
        <v>-28688797.001836557</v>
      </c>
      <c r="R105" s="128">
        <f t="shared" si="115"/>
        <v>-28688797.001836557</v>
      </c>
      <c r="S105" s="128">
        <f t="shared" si="115"/>
        <v>-28590474.657732625</v>
      </c>
      <c r="T105" s="128">
        <f t="shared" si="115"/>
        <v>-28590474.657732625</v>
      </c>
      <c r="U105" s="128">
        <f t="shared" si="115"/>
        <v>-28590474.657732625</v>
      </c>
      <c r="V105" s="128">
        <f t="shared" si="115"/>
        <v>-28447370.055634022</v>
      </c>
      <c r="W105" s="128">
        <f t="shared" si="115"/>
        <v>-28447370.055634022</v>
      </c>
      <c r="X105" s="128">
        <f t="shared" si="115"/>
        <v>-28447370.055634022</v>
      </c>
      <c r="Y105" s="128">
        <f t="shared" si="115"/>
        <v>-28304265.453535423</v>
      </c>
      <c r="Z105" s="128">
        <f t="shared" si="115"/>
        <v>-28304265.453535423</v>
      </c>
      <c r="AA105" s="128">
        <f t="shared" si="115"/>
        <v>-28304265.453535423</v>
      </c>
      <c r="AB105" s="128">
        <f t="shared" si="115"/>
        <v>-28161160.851436824</v>
      </c>
      <c r="AC105" s="128">
        <f t="shared" si="115"/>
        <v>-28108641.849438157</v>
      </c>
      <c r="AD105" s="128">
        <f t="shared" si="115"/>
        <v>-28108641.849438157</v>
      </c>
      <c r="AE105" s="128">
        <f t="shared" si="115"/>
        <v>-28018056.249338225</v>
      </c>
      <c r="AF105" s="128">
        <f t="shared" si="115"/>
        <v>-28018056.249338225</v>
      </c>
      <c r="AG105" s="128">
        <f t="shared" si="115"/>
        <v>-28018056.249338225</v>
      </c>
      <c r="AH105" s="128">
        <f t="shared" si="115"/>
        <v>-27874951.647239625</v>
      </c>
      <c r="AI105" s="128">
        <f t="shared" si="115"/>
        <v>-27874951.647239625</v>
      </c>
      <c r="AJ105" s="128">
        <f t="shared" si="115"/>
        <v>-27874951.647239625</v>
      </c>
      <c r="AK105" s="128">
        <f t="shared" si="115"/>
        <v>-27731847.045141026</v>
      </c>
      <c r="AM105" s="25">
        <f>+Q105</f>
        <v>-28688797.001836557</v>
      </c>
      <c r="AN105" s="25">
        <f t="shared" si="113"/>
        <v>44372.597272480365</v>
      </c>
      <c r="AO105" s="25">
        <f t="shared" si="113"/>
        <v>40266.476330847858</v>
      </c>
      <c r="AP105" s="25">
        <f t="shared" si="113"/>
        <v>36292.810903461555</v>
      </c>
      <c r="AQ105" s="25">
        <f t="shared" si="113"/>
        <v>32186.689961829044</v>
      </c>
      <c r="AR105" s="25">
        <f t="shared" si="113"/>
        <v>28213.024534442742</v>
      </c>
      <c r="AS105" s="25">
        <f t="shared" si="113"/>
        <v>24106.903592810228</v>
      </c>
      <c r="AT105" s="25">
        <f t="shared" si="113"/>
        <v>20000.782651177717</v>
      </c>
      <c r="AU105" s="25">
        <f t="shared" si="113"/>
        <v>16292.028252283835</v>
      </c>
      <c r="AV105" s="25">
        <f t="shared" si="113"/>
        <v>12185.907310651326</v>
      </c>
      <c r="AW105" s="25">
        <f t="shared" si="113"/>
        <v>8212.2418832650219</v>
      </c>
      <c r="AX105" s="25">
        <f t="shared" si="113"/>
        <v>4106.1209416325109</v>
      </c>
      <c r="AY105" s="25">
        <f t="shared" si="113"/>
        <v>132.45551424621004</v>
      </c>
      <c r="AZ105" s="25">
        <f>+AC105</f>
        <v>-28108641.849438157</v>
      </c>
      <c r="BA105" s="25">
        <f>SUM(AM105:AY105)</f>
        <v>-28422428.962687433</v>
      </c>
    </row>
    <row r="106" spans="1:53" x14ac:dyDescent="0.15">
      <c r="A106" s="24" t="s">
        <v>340</v>
      </c>
      <c r="G106" s="32">
        <v>-5904512.21</v>
      </c>
      <c r="H106" s="128">
        <f t="shared" ref="H106:AK106" si="116">+G106+H274</f>
        <v>-5904512.21</v>
      </c>
      <c r="I106" s="128">
        <f t="shared" si="116"/>
        <v>-5904512.21</v>
      </c>
      <c r="J106" s="128">
        <f t="shared" si="116"/>
        <v>-5847937.0330867106</v>
      </c>
      <c r="K106" s="128">
        <f t="shared" si="116"/>
        <v>-5847937.0330867106</v>
      </c>
      <c r="L106" s="128">
        <f t="shared" si="116"/>
        <v>-5847937.0330867106</v>
      </c>
      <c r="M106" s="128">
        <f t="shared" si="116"/>
        <v>-5780464.0816261629</v>
      </c>
      <c r="N106" s="128">
        <f t="shared" si="116"/>
        <v>-5780464.0816261629</v>
      </c>
      <c r="O106" s="128">
        <f t="shared" si="116"/>
        <v>-5780464.0816261629</v>
      </c>
      <c r="P106" s="128">
        <f t="shared" si="116"/>
        <v>-5715235.7661772612</v>
      </c>
      <c r="Q106" s="128">
        <f t="shared" si="116"/>
        <v>-5715235.7661772612</v>
      </c>
      <c r="R106" s="128">
        <f t="shared" si="116"/>
        <v>-5715235.7661772612</v>
      </c>
      <c r="S106" s="128">
        <f t="shared" si="116"/>
        <v>-5650007.4507283596</v>
      </c>
      <c r="T106" s="128">
        <f t="shared" si="116"/>
        <v>-5650007.4507283596</v>
      </c>
      <c r="U106" s="128">
        <f t="shared" si="116"/>
        <v>-5650007.4507283596</v>
      </c>
      <c r="V106" s="128">
        <f t="shared" si="116"/>
        <v>-5584779.135279458</v>
      </c>
      <c r="W106" s="128">
        <f t="shared" si="116"/>
        <v>-5584779.135279458</v>
      </c>
      <c r="X106" s="128">
        <f t="shared" si="116"/>
        <v>-5584779.135279458</v>
      </c>
      <c r="Y106" s="128">
        <f t="shared" si="116"/>
        <v>-5519550.8198305564</v>
      </c>
      <c r="Z106" s="128">
        <f t="shared" si="116"/>
        <v>-5519550.8198305564</v>
      </c>
      <c r="AA106" s="128">
        <f t="shared" si="116"/>
        <v>-5519550.8198305564</v>
      </c>
      <c r="AB106" s="128">
        <f t="shared" si="116"/>
        <v>-5453105.9992924463</v>
      </c>
      <c r="AC106" s="128">
        <f t="shared" si="116"/>
        <v>-5453105.9992924463</v>
      </c>
      <c r="AD106" s="128">
        <f t="shared" si="116"/>
        <v>-5453105.9992924463</v>
      </c>
      <c r="AE106" s="128">
        <f t="shared" si="116"/>
        <v>-5386661.1787543362</v>
      </c>
      <c r="AF106" s="128">
        <f t="shared" si="116"/>
        <v>-5386661.1787543362</v>
      </c>
      <c r="AG106" s="128">
        <f t="shared" si="116"/>
        <v>-5386661.1787543362</v>
      </c>
      <c r="AH106" s="128">
        <f t="shared" si="116"/>
        <v>-5320216.3582162261</v>
      </c>
      <c r="AI106" s="128">
        <f t="shared" si="116"/>
        <v>-5320216.3582162261</v>
      </c>
      <c r="AJ106" s="128">
        <f t="shared" si="116"/>
        <v>-5320216.3582162261</v>
      </c>
      <c r="AK106" s="128">
        <f t="shared" si="116"/>
        <v>-5253771.537678116</v>
      </c>
      <c r="AM106" s="25">
        <f>+Q106</f>
        <v>-5715235.7661772612</v>
      </c>
      <c r="AN106" s="25">
        <f t="shared" si="113"/>
        <v>20048.737878176486</v>
      </c>
      <c r="AO106" s="25">
        <f t="shared" si="113"/>
        <v>18193.481537210901</v>
      </c>
      <c r="AP106" s="25">
        <f t="shared" si="113"/>
        <v>16398.07217498614</v>
      </c>
      <c r="AQ106" s="25">
        <f t="shared" si="113"/>
        <v>14542.815834020555</v>
      </c>
      <c r="AR106" s="25">
        <f t="shared" si="113"/>
        <v>12747.406471795797</v>
      </c>
      <c r="AS106" s="25">
        <f t="shared" si="113"/>
        <v>10892.15013083021</v>
      </c>
      <c r="AT106" s="25">
        <f t="shared" si="113"/>
        <v>9036.8937898646254</v>
      </c>
      <c r="AU106" s="25">
        <f t="shared" si="113"/>
        <v>7361.1783851215159</v>
      </c>
      <c r="AV106" s="25">
        <f t="shared" si="113"/>
        <v>5505.922044155931</v>
      </c>
      <c r="AW106" s="25">
        <f t="shared" si="113"/>
        <v>3710.5126819311704</v>
      </c>
      <c r="AX106" s="25">
        <f t="shared" si="113"/>
        <v>1855.2563409655852</v>
      </c>
      <c r="AY106" s="25">
        <f t="shared" si="113"/>
        <v>59.846978740825328</v>
      </c>
      <c r="AZ106" s="25">
        <f>+AC106</f>
        <v>-5453105.9992924463</v>
      </c>
      <c r="BA106" s="25">
        <f>SUM(AM106:AY106)</f>
        <v>-5594883.4919294622</v>
      </c>
    </row>
    <row r="107" spans="1:53" ht="9" thickBot="1" x14ac:dyDescent="0.2">
      <c r="G107" s="125">
        <f t="shared" ref="G107:N107" si="117">SUM(G103:G106)</f>
        <v>645056386.98000002</v>
      </c>
      <c r="H107" s="125">
        <f t="shared" si="117"/>
        <v>645056386.98000002</v>
      </c>
      <c r="I107" s="125">
        <f t="shared" si="117"/>
        <v>645056386.98000002</v>
      </c>
      <c r="J107" s="125">
        <f t="shared" si="117"/>
        <v>641769814.75899887</v>
      </c>
      <c r="K107" s="125">
        <f t="shared" si="117"/>
        <v>641769814.75899887</v>
      </c>
      <c r="L107" s="125">
        <f t="shared" si="117"/>
        <v>641769814.75899887</v>
      </c>
      <c r="M107" s="125">
        <f t="shared" si="117"/>
        <v>638053790.09958684</v>
      </c>
      <c r="N107" s="125">
        <f t="shared" si="117"/>
        <v>638053790.09958684</v>
      </c>
      <c r="O107" s="125">
        <f t="shared" ref="O107:AK107" si="118">SUM(O103:O106)</f>
        <v>638053790.09958684</v>
      </c>
      <c r="P107" s="125">
        <f t="shared" si="118"/>
        <v>632628774.41148138</v>
      </c>
      <c r="Q107" s="125">
        <f t="shared" si="118"/>
        <v>630895433.70726526</v>
      </c>
      <c r="R107" s="125">
        <f t="shared" si="118"/>
        <v>630895433.70726526</v>
      </c>
      <c r="S107" s="125">
        <f t="shared" si="118"/>
        <v>627194018.55015802</v>
      </c>
      <c r="T107" s="125">
        <f t="shared" si="118"/>
        <v>627194018.55015802</v>
      </c>
      <c r="U107" s="125">
        <f t="shared" si="118"/>
        <v>627194018.55015802</v>
      </c>
      <c r="V107" s="125">
        <f t="shared" si="118"/>
        <v>621754391.26978087</v>
      </c>
      <c r="W107" s="125">
        <f t="shared" si="118"/>
        <v>621754391.26978087</v>
      </c>
      <c r="X107" s="125">
        <f t="shared" si="118"/>
        <v>621754391.26978087</v>
      </c>
      <c r="Y107" s="125">
        <f t="shared" si="118"/>
        <v>616314764.61039913</v>
      </c>
      <c r="Z107" s="125">
        <f t="shared" si="118"/>
        <v>616314764.61039913</v>
      </c>
      <c r="AA107" s="125">
        <f t="shared" si="118"/>
        <v>616314764.61039913</v>
      </c>
      <c r="AB107" s="125">
        <f t="shared" si="118"/>
        <v>609763132.46378171</v>
      </c>
      <c r="AC107" s="125">
        <f t="shared" si="118"/>
        <v>607650702.12880778</v>
      </c>
      <c r="AD107" s="125">
        <f t="shared" si="118"/>
        <v>607650702.12880778</v>
      </c>
      <c r="AE107" s="125">
        <f t="shared" si="118"/>
        <v>603211500.31716442</v>
      </c>
      <c r="AF107" s="125">
        <f t="shared" si="118"/>
        <v>603211500.31716442</v>
      </c>
      <c r="AG107" s="125">
        <f t="shared" si="118"/>
        <v>603211500.31716442</v>
      </c>
      <c r="AH107" s="125">
        <f t="shared" si="118"/>
        <v>596659868.17054701</v>
      </c>
      <c r="AI107" s="125">
        <f t="shared" si="118"/>
        <v>596659868.17054701</v>
      </c>
      <c r="AJ107" s="125">
        <f t="shared" si="118"/>
        <v>596659868.17054701</v>
      </c>
      <c r="AK107" s="125">
        <f t="shared" si="118"/>
        <v>590108236.02392972</v>
      </c>
      <c r="AM107" s="125">
        <f t="shared" ref="AM107:BA107" si="119">SUM(AM103:AM106)</f>
        <v>630895433.70726526</v>
      </c>
      <c r="AN107" s="125">
        <f t="shared" si="119"/>
        <v>-1777850.4746080476</v>
      </c>
      <c r="AO107" s="125">
        <f t="shared" si="119"/>
        <v>-1613332.9680025266</v>
      </c>
      <c r="AP107" s="125">
        <f t="shared" si="119"/>
        <v>-1454122.4777391192</v>
      </c>
      <c r="AQ107" s="125">
        <f t="shared" si="119"/>
        <v>-1289604.9711335986</v>
      </c>
      <c r="AR107" s="125">
        <f t="shared" si="119"/>
        <v>-1130394.4808701915</v>
      </c>
      <c r="AS107" s="125">
        <f t="shared" si="119"/>
        <v>-965876.9742646704</v>
      </c>
      <c r="AT107" s="125">
        <f t="shared" si="119"/>
        <v>-801359.46765914978</v>
      </c>
      <c r="AU107" s="125">
        <f t="shared" si="119"/>
        <v>-652763.01007996965</v>
      </c>
      <c r="AV107" s="125">
        <f t="shared" si="119"/>
        <v>-488245.50347444887</v>
      </c>
      <c r="AW107" s="125">
        <f t="shared" si="119"/>
        <v>-329035.01321104157</v>
      </c>
      <c r="AX107" s="125">
        <f t="shared" si="119"/>
        <v>-164517.50660552079</v>
      </c>
      <c r="AY107" s="125">
        <f t="shared" si="119"/>
        <v>-5307.016342113574</v>
      </c>
      <c r="AZ107" s="125">
        <f t="shared" si="119"/>
        <v>607650702.12880778</v>
      </c>
      <c r="BA107" s="125">
        <f t="shared" si="119"/>
        <v>620223023.84327495</v>
      </c>
    </row>
    <row r="108" spans="1:53" x14ac:dyDescent="0.15">
      <c r="G108" s="32"/>
      <c r="H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</row>
    <row r="109" spans="1:53" ht="9" thickBot="1" x14ac:dyDescent="0.2">
      <c r="A109" s="24" t="s">
        <v>78</v>
      </c>
      <c r="G109" s="125">
        <f t="shared" ref="G109:N109" si="120">SUM(G95,G100,G107)</f>
        <v>-689651094.0200007</v>
      </c>
      <c r="H109" s="125">
        <f t="shared" si="120"/>
        <v>-689693442.41750073</v>
      </c>
      <c r="I109" s="125">
        <f t="shared" si="120"/>
        <v>-689735790.81500077</v>
      </c>
      <c r="J109" s="125">
        <f t="shared" si="120"/>
        <v>-723668868.90815115</v>
      </c>
      <c r="K109" s="125">
        <f t="shared" si="120"/>
        <v>-723711217.20981717</v>
      </c>
      <c r="L109" s="125">
        <f t="shared" si="120"/>
        <v>-723753565.51148319</v>
      </c>
      <c r="M109" s="125">
        <f t="shared" si="120"/>
        <v>-742242191.93818867</v>
      </c>
      <c r="N109" s="125">
        <f t="shared" si="120"/>
        <v>-742284540.23985469</v>
      </c>
      <c r="O109" s="125">
        <f t="shared" ref="O109:AK109" si="121">SUM(O95,O100,O107)</f>
        <v>-742326888.54152071</v>
      </c>
      <c r="P109" s="125">
        <f t="shared" si="121"/>
        <v>-757528767.91574097</v>
      </c>
      <c r="Q109" s="125">
        <f t="shared" si="121"/>
        <v>-758003584.72310889</v>
      </c>
      <c r="R109" s="125">
        <f t="shared" si="121"/>
        <v>-758038607.93060887</v>
      </c>
      <c r="S109" s="125">
        <f t="shared" si="121"/>
        <v>-775977690.74867034</v>
      </c>
      <c r="T109" s="125">
        <f t="shared" si="121"/>
        <v>-776012714.28617048</v>
      </c>
      <c r="U109" s="125">
        <f t="shared" si="121"/>
        <v>-776047737.82367039</v>
      </c>
      <c r="V109" s="125">
        <f t="shared" si="121"/>
        <v>-792672984.2014873</v>
      </c>
      <c r="W109" s="125">
        <f t="shared" si="121"/>
        <v>-792708007.73898721</v>
      </c>
      <c r="X109" s="125">
        <f t="shared" si="121"/>
        <v>-792743031.27648711</v>
      </c>
      <c r="Y109" s="125">
        <f t="shared" si="121"/>
        <v>-810905119.27815115</v>
      </c>
      <c r="Z109" s="125">
        <f t="shared" si="121"/>
        <v>-810940142.81565106</v>
      </c>
      <c r="AA109" s="125">
        <f t="shared" si="121"/>
        <v>-810975166.3531512</v>
      </c>
      <c r="AB109" s="125">
        <f t="shared" si="121"/>
        <v>-814468028.8055681</v>
      </c>
      <c r="AC109" s="125">
        <f t="shared" si="121"/>
        <v>-815591589.7211566</v>
      </c>
      <c r="AD109" s="125">
        <f t="shared" si="121"/>
        <v>-815065127.24914408</v>
      </c>
      <c r="AE109" s="125">
        <f t="shared" si="121"/>
        <v>-822545623.04382992</v>
      </c>
      <c r="AF109" s="125">
        <f t="shared" si="121"/>
        <v>-822580646.58133006</v>
      </c>
      <c r="AG109" s="125">
        <f t="shared" si="121"/>
        <v>-822615670.11882997</v>
      </c>
      <c r="AH109" s="125">
        <f t="shared" si="121"/>
        <v>-827604505.44672394</v>
      </c>
      <c r="AI109" s="125">
        <f t="shared" si="121"/>
        <v>-827639528.98422408</v>
      </c>
      <c r="AJ109" s="125">
        <f t="shared" si="121"/>
        <v>-827674552.52172399</v>
      </c>
      <c r="AK109" s="125">
        <f t="shared" si="121"/>
        <v>-834968203.8867625</v>
      </c>
      <c r="AM109" s="125">
        <f t="shared" ref="AM109:BA109" si="122">SUM(AM95,AM100,AM107)</f>
        <v>-758003584.72310889</v>
      </c>
      <c r="AN109" s="125">
        <f t="shared" si="122"/>
        <v>-4404562.0261064004</v>
      </c>
      <c r="AO109" s="125">
        <f t="shared" si="122"/>
        <v>-3996975.6893622265</v>
      </c>
      <c r="AP109" s="125">
        <f t="shared" si="122"/>
        <v>-3602537.2989646383</v>
      </c>
      <c r="AQ109" s="125">
        <f t="shared" si="122"/>
        <v>-3194950.9622204644</v>
      </c>
      <c r="AR109" s="125">
        <f t="shared" si="122"/>
        <v>-2800512.5718228752</v>
      </c>
      <c r="AS109" s="125">
        <f t="shared" si="122"/>
        <v>-2392926.2350787027</v>
      </c>
      <c r="AT109" s="125">
        <f t="shared" si="122"/>
        <v>-1985339.8983345269</v>
      </c>
      <c r="AU109" s="125">
        <f t="shared" si="122"/>
        <v>-1617197.4006301116</v>
      </c>
      <c r="AV109" s="125">
        <f t="shared" si="122"/>
        <v>-1209611.0638859372</v>
      </c>
      <c r="AW109" s="125">
        <f t="shared" si="122"/>
        <v>-815172.67348834872</v>
      </c>
      <c r="AX109" s="125">
        <f t="shared" si="122"/>
        <v>-407586.33674417436</v>
      </c>
      <c r="AY109" s="125">
        <f t="shared" si="122"/>
        <v>-13147.946346586266</v>
      </c>
      <c r="AZ109" s="125">
        <f t="shared" si="122"/>
        <v>-815591589.7211566</v>
      </c>
      <c r="BA109" s="125">
        <f t="shared" si="122"/>
        <v>-784444104.82609379</v>
      </c>
    </row>
    <row r="110" spans="1:53" x14ac:dyDescent="0.15">
      <c r="G110" s="32"/>
      <c r="H110" s="32">
        <f t="shared" ref="H110:AK110" si="123">+H109-H10</f>
        <v>2.1641652584075928</v>
      </c>
      <c r="I110" s="32">
        <f t="shared" si="123"/>
        <v>2.068332314491272</v>
      </c>
      <c r="J110" s="32">
        <f t="shared" si="123"/>
        <v>0.81373381614685059</v>
      </c>
      <c r="K110" s="32">
        <f t="shared" si="123"/>
        <v>0.81373476982116699</v>
      </c>
      <c r="L110" s="32">
        <f t="shared" si="123"/>
        <v>0.81373584270477295</v>
      </c>
      <c r="M110" s="32">
        <f t="shared" si="123"/>
        <v>0.59490835666656494</v>
      </c>
      <c r="N110" s="32">
        <f t="shared" si="123"/>
        <v>0.59490931034088135</v>
      </c>
      <c r="O110" s="32">
        <f t="shared" si="123"/>
        <v>0.5949103832244873</v>
      </c>
      <c r="P110" s="32">
        <f t="shared" si="123"/>
        <v>0.22031903266906738</v>
      </c>
      <c r="Q110" s="32">
        <f t="shared" si="123"/>
        <v>0.22032010555267334</v>
      </c>
      <c r="R110" s="32">
        <f t="shared" si="123"/>
        <v>0.50782012939453125</v>
      </c>
      <c r="S110" s="32">
        <f t="shared" si="123"/>
        <v>0.69469666481018066</v>
      </c>
      <c r="T110" s="32">
        <f t="shared" si="123"/>
        <v>0.65219652652740479</v>
      </c>
      <c r="U110" s="32">
        <f t="shared" si="123"/>
        <v>0.60969662666320801</v>
      </c>
      <c r="V110" s="32">
        <f t="shared" si="123"/>
        <v>0.78447270393371582</v>
      </c>
      <c r="W110" s="32">
        <f t="shared" si="123"/>
        <v>0.74197280406951904</v>
      </c>
      <c r="X110" s="32">
        <f t="shared" si="123"/>
        <v>0.69947290420532227</v>
      </c>
      <c r="Y110" s="32">
        <f t="shared" si="123"/>
        <v>0.87424683570861816</v>
      </c>
      <c r="Z110" s="32">
        <f t="shared" si="123"/>
        <v>0.83174693584442139</v>
      </c>
      <c r="AA110" s="32">
        <f t="shared" si="123"/>
        <v>0.78924679756164551</v>
      </c>
      <c r="AB110" s="32">
        <f t="shared" si="123"/>
        <v>0.77354598045349121</v>
      </c>
      <c r="AC110" s="32">
        <f t="shared" si="123"/>
        <v>0.73104536533355713</v>
      </c>
      <c r="AD110" s="32">
        <f t="shared" si="123"/>
        <v>0.68854594230651855</v>
      </c>
      <c r="AE110" s="32">
        <f t="shared" si="123"/>
        <v>0.67281913757324219</v>
      </c>
      <c r="AF110" s="32">
        <f t="shared" si="123"/>
        <v>0.63031888008117676</v>
      </c>
      <c r="AG110" s="32">
        <f t="shared" si="123"/>
        <v>0.58781898021697998</v>
      </c>
      <c r="AH110" s="32">
        <f t="shared" si="123"/>
        <v>0.57209300994873047</v>
      </c>
      <c r="AI110" s="32">
        <f t="shared" si="123"/>
        <v>0.52959299087524414</v>
      </c>
      <c r="AJ110" s="32">
        <f t="shared" si="123"/>
        <v>0.48709309101104736</v>
      </c>
      <c r="AK110" s="32">
        <f t="shared" si="123"/>
        <v>0.4713674783706665</v>
      </c>
    </row>
    <row r="111" spans="1:53" x14ac:dyDescent="0.15">
      <c r="H111" s="32"/>
    </row>
    <row r="112" spans="1:53" x14ac:dyDescent="0.15">
      <c r="H112" s="32"/>
    </row>
    <row r="113" spans="1:37" x14ac:dyDescent="0.15">
      <c r="A113" s="124" t="s">
        <v>79</v>
      </c>
      <c r="H113" s="32"/>
    </row>
    <row r="114" spans="1:37" x14ac:dyDescent="0.15">
      <c r="A114" s="24" t="s">
        <v>33</v>
      </c>
      <c r="H114" s="128"/>
      <c r="I114" s="128"/>
      <c r="J114" s="128">
        <f>VLOOKUP($A114,'KU Provision'!$B$4:$E$76,J$1,FALSE)/4*1000</f>
        <v>54887.91</v>
      </c>
      <c r="M114" s="32">
        <f t="shared" ref="M114:M122" si="124">+J114</f>
        <v>54887.91</v>
      </c>
      <c r="P114" s="128">
        <f>VLOOKUP($A114,'KU Provision'!$B$4:$E$76,Q$1,FALSE)/4*1000</f>
        <v>39406.710000000028</v>
      </c>
      <c r="S114" s="32">
        <f t="shared" ref="S114:S122" si="125">+P114</f>
        <v>39406.710000000028</v>
      </c>
      <c r="V114" s="32">
        <f t="shared" ref="V114:V122" si="126">+S114</f>
        <v>39406.710000000028</v>
      </c>
      <c r="Y114" s="32">
        <f t="shared" ref="Y114:Y122" si="127">+V114</f>
        <v>39406.710000000028</v>
      </c>
      <c r="AB114" s="32">
        <f>VLOOKUP($A114,'KU Provision'!$B$4:$E$76,AD$1,FALSE)/4*1000</f>
        <v>31666.110000000008</v>
      </c>
      <c r="AC114" s="128"/>
      <c r="AE114" s="32">
        <f>+AB114</f>
        <v>31666.110000000008</v>
      </c>
      <c r="AH114" s="32">
        <f>+AE114</f>
        <v>31666.110000000008</v>
      </c>
      <c r="AI114" s="128"/>
      <c r="AK114" s="32">
        <f>+AH114</f>
        <v>31666.110000000008</v>
      </c>
    </row>
    <row r="115" spans="1:37" x14ac:dyDescent="0.15">
      <c r="A115" s="24" t="s">
        <v>34</v>
      </c>
      <c r="H115" s="128"/>
      <c r="I115" s="128"/>
      <c r="J115" s="128">
        <f>VLOOKUP($A115,'KU Provision'!$B$4:$E$76,J$1,FALSE)/4*1000</f>
        <v>1430918.9399999978</v>
      </c>
      <c r="M115" s="32">
        <f t="shared" si="124"/>
        <v>1430918.9399999978</v>
      </c>
      <c r="P115" s="128">
        <f>VLOOKUP($A115,'KU Provision'!$B$4:$E$76,Q$1,FALSE)/4*1000</f>
        <v>1027326.4799999993</v>
      </c>
      <c r="S115" s="128">
        <f t="shared" si="125"/>
        <v>1027326.4799999993</v>
      </c>
      <c r="V115" s="128">
        <f t="shared" si="126"/>
        <v>1027326.4799999993</v>
      </c>
      <c r="Y115" s="128">
        <f t="shared" si="127"/>
        <v>1027326.4799999993</v>
      </c>
      <c r="AB115" s="32">
        <f>VLOOKUP($A115,'KU Provision'!$B$4:$E$76,AD$1,FALSE)/4*1000</f>
        <v>825530.24999999977</v>
      </c>
      <c r="AC115" s="128"/>
      <c r="AE115" s="32">
        <f t="shared" ref="AE115:AE153" si="128">+AB115</f>
        <v>825530.24999999977</v>
      </c>
      <c r="AH115" s="32">
        <f t="shared" ref="AH115:AH153" si="129">+AE115</f>
        <v>825530.24999999977</v>
      </c>
      <c r="AI115" s="128"/>
      <c r="AK115" s="32">
        <f t="shared" ref="AK115:AK153" si="130">+AH115</f>
        <v>825530.24999999977</v>
      </c>
    </row>
    <row r="116" spans="1:37" x14ac:dyDescent="0.15">
      <c r="A116" s="24" t="s">
        <v>140</v>
      </c>
      <c r="H116" s="128"/>
      <c r="I116" s="128"/>
      <c r="J116" s="128">
        <f>VLOOKUP($A116,'KU Provision'!$B$4:$E$76,J$1,FALSE)/4*1000</f>
        <v>-56488.615034850474</v>
      </c>
      <c r="M116" s="32">
        <f t="shared" si="124"/>
        <v>-56488.615034850474</v>
      </c>
      <c r="P116" s="128">
        <f>VLOOKUP($A116,'KU Provision'!$B$4:$E$76,Q$1,FALSE)/4*1000</f>
        <v>-2333.582096947413</v>
      </c>
      <c r="S116" s="128">
        <f t="shared" si="125"/>
        <v>-2333.582096947413</v>
      </c>
      <c r="V116" s="128">
        <f t="shared" si="126"/>
        <v>-2333.582096947413</v>
      </c>
      <c r="Y116" s="128">
        <f t="shared" si="127"/>
        <v>-2333.582096947413</v>
      </c>
      <c r="AB116" s="32">
        <f>VLOOKUP($A116,'KU Provision'!$B$4:$E$76,AD$1,FALSE)/4*1000</f>
        <v>-81.791200948120633</v>
      </c>
      <c r="AC116" s="128"/>
      <c r="AE116" s="32">
        <f t="shared" si="128"/>
        <v>-81.791200948120633</v>
      </c>
      <c r="AH116" s="32">
        <f t="shared" si="129"/>
        <v>-81.791200948120633</v>
      </c>
      <c r="AI116" s="128"/>
      <c r="AK116" s="32">
        <f t="shared" si="130"/>
        <v>-81.791200948120633</v>
      </c>
    </row>
    <row r="117" spans="1:37" x14ac:dyDescent="0.15">
      <c r="A117" s="24" t="s">
        <v>35</v>
      </c>
      <c r="H117" s="128"/>
      <c r="I117" s="128"/>
      <c r="J117" s="128">
        <f>VLOOKUP($A117,'KU Provision'!$B$4:$E$76,J$1,FALSE)/4*1000</f>
        <v>95285.634999999733</v>
      </c>
      <c r="M117" s="32">
        <f t="shared" si="124"/>
        <v>95285.634999999733</v>
      </c>
      <c r="P117" s="128">
        <f>VLOOKUP($A117,'KU Provision'!$B$4:$E$76,Q$1,FALSE)/4*1000</f>
        <v>135226.51150234789</v>
      </c>
      <c r="S117" s="128">
        <f t="shared" si="125"/>
        <v>135226.51150234789</v>
      </c>
      <c r="V117" s="128">
        <f t="shared" si="126"/>
        <v>135226.51150234789</v>
      </c>
      <c r="Y117" s="128">
        <f t="shared" si="127"/>
        <v>135226.51150234789</v>
      </c>
      <c r="AB117" s="32">
        <f>VLOOKUP($A117,'KU Provision'!$B$4:$E$76,AD$1,FALSE)/4*1000</f>
        <v>82206.467488344511</v>
      </c>
      <c r="AC117" s="128"/>
      <c r="AE117" s="32">
        <f t="shared" si="128"/>
        <v>82206.467488344511</v>
      </c>
      <c r="AH117" s="32">
        <f t="shared" si="129"/>
        <v>82206.467488344511</v>
      </c>
      <c r="AI117" s="128"/>
      <c r="AK117" s="32">
        <f t="shared" si="130"/>
        <v>82206.467488344511</v>
      </c>
    </row>
    <row r="118" spans="1:37" x14ac:dyDescent="0.15">
      <c r="A118" s="24" t="s">
        <v>375</v>
      </c>
      <c r="H118" s="128"/>
      <c r="I118" s="128"/>
      <c r="J118" s="128">
        <f>VLOOKUP($A118,'KU Provision'!$B$4:$E$76,J$1,FALSE)/4*1000</f>
        <v>2013064.9559435996</v>
      </c>
      <c r="M118" s="32">
        <f t="shared" si="124"/>
        <v>2013064.9559435996</v>
      </c>
      <c r="P118" s="128">
        <f>VLOOKUP($A118,'KU Provision'!$B$4:$E$76,Q$1,FALSE)/4*1000</f>
        <v>-1694174.73767127</v>
      </c>
      <c r="S118" s="128">
        <f t="shared" si="125"/>
        <v>-1694174.73767127</v>
      </c>
      <c r="V118" s="128">
        <f t="shared" si="126"/>
        <v>-1694174.73767127</v>
      </c>
      <c r="Y118" s="128">
        <f t="shared" si="127"/>
        <v>-1694174.73767127</v>
      </c>
      <c r="AB118" s="32">
        <f>VLOOKUP($A118,'KU Provision'!$B$4:$E$76,AD$1,FALSE)/4*1000</f>
        <v>0</v>
      </c>
      <c r="AC118" s="128"/>
      <c r="AE118" s="32">
        <f t="shared" si="128"/>
        <v>0</v>
      </c>
      <c r="AH118" s="32">
        <f t="shared" si="129"/>
        <v>0</v>
      </c>
      <c r="AI118" s="128"/>
      <c r="AK118" s="32">
        <f t="shared" si="130"/>
        <v>0</v>
      </c>
    </row>
    <row r="119" spans="1:37" x14ac:dyDescent="0.15">
      <c r="A119" s="24" t="s">
        <v>699</v>
      </c>
      <c r="H119" s="128"/>
      <c r="I119" s="128"/>
      <c r="J119" s="128">
        <f>VLOOKUP($A119,'KU Provision'!$B$4:$E$76,J$1,FALSE)/4*1000</f>
        <v>0</v>
      </c>
      <c r="M119" s="32">
        <f t="shared" si="124"/>
        <v>0</v>
      </c>
      <c r="P119" s="128">
        <f>VLOOKUP($A119,'KU Provision'!$B$4:$E$76,Q$1,FALSE)/4*1000</f>
        <v>-365681.75</v>
      </c>
      <c r="S119" s="128">
        <f t="shared" si="125"/>
        <v>-365681.75</v>
      </c>
      <c r="V119" s="128">
        <f t="shared" si="126"/>
        <v>-365681.75</v>
      </c>
      <c r="Y119" s="128">
        <f t="shared" si="127"/>
        <v>-365681.75</v>
      </c>
      <c r="AB119" s="32">
        <f>VLOOKUP($A119,'KU Provision'!$B$4:$E$76,AD$1,FALSE)/4*1000</f>
        <v>156720.75</v>
      </c>
      <c r="AC119" s="128"/>
      <c r="AE119" s="32">
        <f t="shared" si="128"/>
        <v>156720.75</v>
      </c>
      <c r="AH119" s="32">
        <f t="shared" si="129"/>
        <v>156720.75</v>
      </c>
      <c r="AI119" s="128"/>
      <c r="AK119" s="32">
        <f t="shared" si="130"/>
        <v>156720.75</v>
      </c>
    </row>
    <row r="120" spans="1:37" x14ac:dyDescent="0.15">
      <c r="A120" s="24" t="s">
        <v>696</v>
      </c>
      <c r="H120" s="128"/>
      <c r="I120" s="128"/>
      <c r="J120" s="128">
        <f>VLOOKUP($A120,'KU Provision'!$B$4:$E$76,J$1,FALSE)/4*1000</f>
        <v>-1180818.6000000001</v>
      </c>
      <c r="M120" s="32">
        <f t="shared" si="124"/>
        <v>-1180818.6000000001</v>
      </c>
      <c r="P120" s="128">
        <f>VLOOKUP($A120,'KU Provision'!$B$4:$E$76,Q$1,FALSE)/4*1000</f>
        <v>157442.47999999981</v>
      </c>
      <c r="S120" s="128">
        <f t="shared" si="125"/>
        <v>157442.47999999981</v>
      </c>
      <c r="V120" s="128">
        <f t="shared" si="126"/>
        <v>157442.47999999981</v>
      </c>
      <c r="Y120" s="128">
        <f t="shared" si="127"/>
        <v>157442.47999999981</v>
      </c>
      <c r="AB120" s="32">
        <f>VLOOKUP($A120,'KU Provision'!$B$4:$E$76,AD$1,FALSE)/4*1000</f>
        <v>236163.72000000093</v>
      </c>
      <c r="AC120" s="128"/>
      <c r="AE120" s="32">
        <f t="shared" si="128"/>
        <v>236163.72000000093</v>
      </c>
      <c r="AH120" s="32">
        <f t="shared" si="129"/>
        <v>236163.72000000093</v>
      </c>
      <c r="AI120" s="128"/>
      <c r="AK120" s="32">
        <f t="shared" si="130"/>
        <v>236163.72000000093</v>
      </c>
    </row>
    <row r="121" spans="1:37" x14ac:dyDescent="0.15">
      <c r="A121" s="24" t="s">
        <v>139</v>
      </c>
      <c r="H121" s="128"/>
      <c r="I121" s="128"/>
      <c r="J121" s="128">
        <f>VLOOKUP($A121,'KU Provision'!$B$4:$E$76,J$1,FALSE)/4*1000</f>
        <v>1355890.6006743137</v>
      </c>
      <c r="M121" s="32">
        <f t="shared" si="124"/>
        <v>1355890.6006743137</v>
      </c>
      <c r="P121" s="128">
        <f>VLOOKUP($A121,'KU Provision'!$B$4:$E$76,Q$1,FALSE)/4*1000</f>
        <v>2444568.2930947086</v>
      </c>
      <c r="S121" s="128">
        <f t="shared" si="125"/>
        <v>2444568.2930947086</v>
      </c>
      <c r="V121" s="128">
        <f t="shared" si="126"/>
        <v>2444568.2930947086</v>
      </c>
      <c r="Y121" s="128">
        <f t="shared" si="127"/>
        <v>2444568.2930947086</v>
      </c>
      <c r="AB121" s="32">
        <f>VLOOKUP($A121,'KU Provision'!$B$4:$E$76,AD$1,FALSE)/4*1000</f>
        <v>2833100.0904424037</v>
      </c>
      <c r="AC121" s="128"/>
      <c r="AE121" s="32">
        <f t="shared" si="128"/>
        <v>2833100.0904424037</v>
      </c>
      <c r="AH121" s="32">
        <f t="shared" si="129"/>
        <v>2833100.0904424037</v>
      </c>
      <c r="AI121" s="128"/>
      <c r="AK121" s="32">
        <f t="shared" si="130"/>
        <v>2833100.0904424037</v>
      </c>
    </row>
    <row r="122" spans="1:37" x14ac:dyDescent="0.15">
      <c r="A122" s="24" t="s">
        <v>138</v>
      </c>
      <c r="H122" s="128"/>
      <c r="I122" s="128"/>
      <c r="J122" s="128">
        <f>VLOOKUP($A122,'KU Provision'!$B$4:$E$76,J$1,FALSE)/4*1000</f>
        <v>-11561067.574999999</v>
      </c>
      <c r="M122" s="32">
        <f t="shared" si="124"/>
        <v>-11561067.574999999</v>
      </c>
      <c r="P122" s="128">
        <f>VLOOKUP($A122,'KU Provision'!$B$4:$E$76,Q$1,FALSE)/4*1000</f>
        <v>-12335149.48</v>
      </c>
      <c r="S122" s="128">
        <f t="shared" si="125"/>
        <v>-12335149.48</v>
      </c>
      <c r="V122" s="128">
        <f t="shared" si="126"/>
        <v>-12335149.48</v>
      </c>
      <c r="Y122" s="128">
        <f t="shared" si="127"/>
        <v>-12335149.48</v>
      </c>
      <c r="AB122" s="32">
        <f>VLOOKUP($A122,'KU Provision'!$B$4:$E$76,AD$1,FALSE)/4*1000</f>
        <v>-12615077.462499999</v>
      </c>
      <c r="AC122" s="128"/>
      <c r="AE122" s="32">
        <f t="shared" si="128"/>
        <v>-12615077.462499999</v>
      </c>
      <c r="AH122" s="32">
        <f t="shared" si="129"/>
        <v>-12615077.462499999</v>
      </c>
      <c r="AI122" s="128"/>
      <c r="AK122" s="32">
        <f t="shared" si="130"/>
        <v>-12615077.462499999</v>
      </c>
    </row>
    <row r="123" spans="1:37" x14ac:dyDescent="0.15">
      <c r="A123" s="24" t="s">
        <v>37</v>
      </c>
      <c r="H123" s="128"/>
      <c r="I123" s="128"/>
      <c r="J123" s="128">
        <f>-99382806/4*3</f>
        <v>-74537104.5</v>
      </c>
      <c r="M123" s="128">
        <f>-99382803-J123</f>
        <v>-24845698.5</v>
      </c>
      <c r="P123" s="128">
        <f>-130739276/4</f>
        <v>-32684819</v>
      </c>
      <c r="S123" s="128">
        <f t="shared" ref="S123:S135" si="131">+P123</f>
        <v>-32684819</v>
      </c>
      <c r="V123" s="128">
        <f t="shared" ref="V123:V135" si="132">+S123</f>
        <v>-32684819</v>
      </c>
      <c r="Y123" s="128">
        <f t="shared" ref="Y123:Y135" si="133">+V123</f>
        <v>-32684819</v>
      </c>
      <c r="AB123" s="32">
        <v>0</v>
      </c>
      <c r="AC123" s="128"/>
      <c r="AE123" s="32">
        <f t="shared" si="128"/>
        <v>0</v>
      </c>
      <c r="AH123" s="32">
        <f t="shared" si="129"/>
        <v>0</v>
      </c>
      <c r="AI123" s="128"/>
      <c r="AK123" s="32">
        <f t="shared" si="130"/>
        <v>0</v>
      </c>
    </row>
    <row r="124" spans="1:37" x14ac:dyDescent="0.15">
      <c r="A124" s="24" t="s">
        <v>38</v>
      </c>
      <c r="H124" s="128"/>
      <c r="I124" s="128"/>
      <c r="J124" s="128">
        <f>VLOOKUP($A124,'KU Provision'!$B$4:$E$76,J$1,FALSE)/4*1000</f>
        <v>68733098.153196931</v>
      </c>
      <c r="M124" s="32">
        <f t="shared" ref="M124:M135" si="134">+J124</f>
        <v>68733098.153196931</v>
      </c>
      <c r="P124" s="128">
        <f>VLOOKUP($A124,'KU Provision'!$B$4:$E$76,Q$1,FALSE)/4*1000</f>
        <v>82792225.456709862</v>
      </c>
      <c r="S124" s="128">
        <f t="shared" si="131"/>
        <v>82792225.456709862</v>
      </c>
      <c r="V124" s="128">
        <f t="shared" si="132"/>
        <v>82792225.456709862</v>
      </c>
      <c r="Y124" s="128">
        <f t="shared" si="133"/>
        <v>82792225.456709862</v>
      </c>
      <c r="AB124" s="32">
        <f>VLOOKUP($A124,'KU Provision'!$B$4:$E$76,AD$1,FALSE)/4*1000</f>
        <v>92050377.332309753</v>
      </c>
      <c r="AC124" s="128"/>
      <c r="AE124" s="32">
        <f t="shared" si="128"/>
        <v>92050377.332309753</v>
      </c>
      <c r="AH124" s="32">
        <f t="shared" si="129"/>
        <v>92050377.332309753</v>
      </c>
      <c r="AI124" s="128"/>
      <c r="AK124" s="32">
        <f t="shared" si="130"/>
        <v>92050377.332309753</v>
      </c>
    </row>
    <row r="125" spans="1:37" x14ac:dyDescent="0.15">
      <c r="A125" s="24" t="s">
        <v>41</v>
      </c>
      <c r="H125" s="128"/>
      <c r="I125" s="128"/>
      <c r="J125" s="128">
        <f>VLOOKUP($A125,'KU Provision'!$B$4:$E$76,J$1,FALSE)/4*1000</f>
        <v>1500000</v>
      </c>
      <c r="M125" s="32">
        <f t="shared" si="134"/>
        <v>1500000</v>
      </c>
      <c r="P125" s="128">
        <f>VLOOKUP($A125,'KU Provision'!$B$4:$E$76,Q$1,FALSE)/4*1000</f>
        <v>1500000</v>
      </c>
      <c r="S125" s="128">
        <f t="shared" si="131"/>
        <v>1500000</v>
      </c>
      <c r="V125" s="128">
        <f t="shared" si="132"/>
        <v>1500000</v>
      </c>
      <c r="Y125" s="128">
        <f t="shared" si="133"/>
        <v>1500000</v>
      </c>
      <c r="AB125" s="32">
        <f>VLOOKUP($A125,'KU Provision'!$B$4:$E$76,AD$1,FALSE)/4*1000</f>
        <v>1500000</v>
      </c>
      <c r="AC125" s="128"/>
      <c r="AE125" s="32">
        <f t="shared" si="128"/>
        <v>1500000</v>
      </c>
      <c r="AH125" s="32">
        <f t="shared" si="129"/>
        <v>1500000</v>
      </c>
      <c r="AI125" s="128"/>
      <c r="AK125" s="32">
        <f t="shared" si="130"/>
        <v>1500000</v>
      </c>
    </row>
    <row r="126" spans="1:37" x14ac:dyDescent="0.15">
      <c r="A126" s="24" t="s">
        <v>42</v>
      </c>
      <c r="H126" s="128"/>
      <c r="I126" s="128"/>
      <c r="J126" s="128">
        <f>VLOOKUP($A126,'KU Provision'!$B$4:$E$76,J$1,FALSE)/4*1000</f>
        <v>1.0000000017384991E-2</v>
      </c>
      <c r="M126" s="32">
        <f t="shared" si="134"/>
        <v>1.0000000017384991E-2</v>
      </c>
      <c r="P126" s="128">
        <f>VLOOKUP($A126,'KU Provision'!$B$4:$E$76,Q$1,FALSE)/4*1000</f>
        <v>25610.010000000017</v>
      </c>
      <c r="S126" s="128">
        <f t="shared" si="131"/>
        <v>25610.010000000017</v>
      </c>
      <c r="V126" s="128">
        <f t="shared" si="132"/>
        <v>25610.010000000017</v>
      </c>
      <c r="Y126" s="128">
        <f t="shared" si="133"/>
        <v>25610.010000000017</v>
      </c>
      <c r="AB126" s="32">
        <f>VLOOKUP($A126,'KU Provision'!$B$4:$E$76,AD$1,FALSE)/4*1000</f>
        <v>14939.072500000002</v>
      </c>
      <c r="AC126" s="128"/>
      <c r="AE126" s="32">
        <f t="shared" si="128"/>
        <v>14939.072500000002</v>
      </c>
      <c r="AH126" s="32">
        <f t="shared" si="129"/>
        <v>14939.072500000002</v>
      </c>
      <c r="AI126" s="128"/>
      <c r="AK126" s="32">
        <f t="shared" si="130"/>
        <v>14939.072500000002</v>
      </c>
    </row>
    <row r="127" spans="1:37" x14ac:dyDescent="0.15">
      <c r="A127" s="24" t="s">
        <v>44</v>
      </c>
      <c r="H127" s="128"/>
      <c r="I127" s="128"/>
      <c r="J127" s="128">
        <f>VLOOKUP($A127,'KU Provision'!$B$4:$E$76,J$1,FALSE)/4*1000</f>
        <v>-6945332.0000000009</v>
      </c>
      <c r="M127" s="32">
        <f t="shared" si="134"/>
        <v>-6945332.0000000009</v>
      </c>
      <c r="P127" s="128">
        <f>VLOOKUP($A127,'KU Provision'!$B$4:$E$76,Q$1,FALSE)/4*1000</f>
        <v>-10891951.382500004</v>
      </c>
      <c r="S127" s="128">
        <f t="shared" si="131"/>
        <v>-10891951.382500004</v>
      </c>
      <c r="V127" s="128">
        <f t="shared" si="132"/>
        <v>-10891951.382500004</v>
      </c>
      <c r="Y127" s="128">
        <f t="shared" si="133"/>
        <v>-10891951.382500004</v>
      </c>
      <c r="AB127" s="32">
        <f>VLOOKUP($A127,'KU Provision'!$B$4:$E$76,AD$1,FALSE)/4*1000</f>
        <v>-5258534.95</v>
      </c>
      <c r="AC127" s="128"/>
      <c r="AE127" s="32">
        <f t="shared" si="128"/>
        <v>-5258534.95</v>
      </c>
      <c r="AH127" s="32">
        <f t="shared" si="129"/>
        <v>-5258534.95</v>
      </c>
      <c r="AI127" s="128"/>
      <c r="AK127" s="32">
        <f t="shared" si="130"/>
        <v>-5258534.95</v>
      </c>
    </row>
    <row r="128" spans="1:37" x14ac:dyDescent="0.15">
      <c r="A128" s="24" t="s">
        <v>46</v>
      </c>
      <c r="H128" s="128"/>
      <c r="I128" s="128"/>
      <c r="J128" s="128">
        <f>VLOOKUP($A128,'KU Provision'!$B$4:$E$76,J$1,FALSE)/4*1000</f>
        <v>381237.74500000011</v>
      </c>
      <c r="M128" s="32">
        <f t="shared" si="134"/>
        <v>381237.74500000011</v>
      </c>
      <c r="P128" s="128">
        <f>VLOOKUP($A128,'KU Provision'!$B$4:$E$76,Q$1,FALSE)/4*1000</f>
        <v>-260498.47500000003</v>
      </c>
      <c r="S128" s="128">
        <f t="shared" si="131"/>
        <v>-260498.47500000003</v>
      </c>
      <c r="V128" s="128">
        <f t="shared" si="132"/>
        <v>-260498.47500000003</v>
      </c>
      <c r="Y128" s="128">
        <f t="shared" si="133"/>
        <v>-260498.47500000003</v>
      </c>
      <c r="AB128" s="32">
        <f>VLOOKUP($A128,'KU Provision'!$B$4:$E$76,AD$1,FALSE)/4*1000</f>
        <v>0</v>
      </c>
      <c r="AC128" s="128"/>
      <c r="AE128" s="32">
        <f t="shared" si="128"/>
        <v>0</v>
      </c>
      <c r="AH128" s="32">
        <f t="shared" si="129"/>
        <v>0</v>
      </c>
      <c r="AI128" s="128"/>
      <c r="AK128" s="32">
        <f t="shared" si="130"/>
        <v>0</v>
      </c>
    </row>
    <row r="129" spans="1:37" x14ac:dyDescent="0.15">
      <c r="A129" s="24" t="s">
        <v>51</v>
      </c>
      <c r="H129" s="128"/>
      <c r="I129" s="128"/>
      <c r="J129" s="128">
        <f>VLOOKUP($A129,'KU Provision'!$B$4:$E$76,J$1,FALSE)/4*1000</f>
        <v>2227604.4922713609</v>
      </c>
      <c r="M129" s="32">
        <f t="shared" si="134"/>
        <v>2227604.4922713609</v>
      </c>
      <c r="P129" s="128">
        <f>VLOOKUP($A129,'KU Provision'!$B$4:$E$76,Q$1,FALSE)/4*1000</f>
        <v>-1624103.5795785943</v>
      </c>
      <c r="S129" s="128">
        <f t="shared" si="131"/>
        <v>-1624103.5795785943</v>
      </c>
      <c r="V129" s="128">
        <f t="shared" si="132"/>
        <v>-1624103.5795785943</v>
      </c>
      <c r="Y129" s="128">
        <f t="shared" si="133"/>
        <v>-1624103.5795785943</v>
      </c>
      <c r="AB129" s="32">
        <f>VLOOKUP($A129,'KU Provision'!$B$4:$E$76,AD$1,FALSE)/4*1000</f>
        <v>-182053.91059046588</v>
      </c>
      <c r="AC129" s="128"/>
      <c r="AE129" s="32">
        <f t="shared" si="128"/>
        <v>-182053.91059046588</v>
      </c>
      <c r="AH129" s="32">
        <f t="shared" si="129"/>
        <v>-182053.91059046588</v>
      </c>
      <c r="AI129" s="128"/>
      <c r="AK129" s="32">
        <f t="shared" si="130"/>
        <v>-182053.91059046588</v>
      </c>
    </row>
    <row r="130" spans="1:37" x14ac:dyDescent="0.15">
      <c r="A130" s="24" t="s">
        <v>52</v>
      </c>
      <c r="H130" s="128"/>
      <c r="I130" s="128"/>
      <c r="J130" s="128">
        <f>VLOOKUP($A130,'KU Provision'!$B$4:$E$76,J$1,FALSE)/4*1000</f>
        <v>-20487.721584789142</v>
      </c>
      <c r="M130" s="32">
        <f t="shared" si="134"/>
        <v>-20487.721584789142</v>
      </c>
      <c r="P130" s="128">
        <f>VLOOKUP($A130,'KU Provision'!$B$4:$E$76,Q$1,FALSE)/4*1000</f>
        <v>-146182.97097634512</v>
      </c>
      <c r="S130" s="128">
        <f t="shared" si="131"/>
        <v>-146182.97097634512</v>
      </c>
      <c r="V130" s="128">
        <f t="shared" si="132"/>
        <v>-146182.97097634512</v>
      </c>
      <c r="Y130" s="128">
        <f t="shared" si="133"/>
        <v>-146182.97097634512</v>
      </c>
      <c r="AB130" s="32">
        <f>VLOOKUP($A130,'KU Provision'!$B$4:$E$76,AD$1,FALSE)/4*1000</f>
        <v>126797.00500574199</v>
      </c>
      <c r="AC130" s="128"/>
      <c r="AE130" s="32">
        <f t="shared" si="128"/>
        <v>126797.00500574199</v>
      </c>
      <c r="AH130" s="32">
        <f t="shared" si="129"/>
        <v>126797.00500574199</v>
      </c>
      <c r="AI130" s="128"/>
      <c r="AK130" s="32">
        <f t="shared" si="130"/>
        <v>126797.00500574199</v>
      </c>
    </row>
    <row r="131" spans="1:37" x14ac:dyDescent="0.15">
      <c r="A131" s="24" t="s">
        <v>131</v>
      </c>
      <c r="H131" s="128"/>
      <c r="I131" s="128"/>
      <c r="J131" s="128">
        <f>VLOOKUP($A131,'KU Provision'!$B$4:$E$76,J$1,FALSE)/4*1000</f>
        <v>211764.24999999997</v>
      </c>
      <c r="M131" s="32">
        <f t="shared" si="134"/>
        <v>211764.24999999997</v>
      </c>
      <c r="P131" s="128">
        <f>VLOOKUP($A131,'KU Provision'!$B$4:$E$76,Q$1,FALSE)/4*1000</f>
        <v>144169.99999999898</v>
      </c>
      <c r="S131" s="128">
        <f t="shared" si="131"/>
        <v>144169.99999999898</v>
      </c>
      <c r="V131" s="128">
        <f t="shared" si="132"/>
        <v>144169.99999999898</v>
      </c>
      <c r="Y131" s="128">
        <f t="shared" si="133"/>
        <v>144169.99999999898</v>
      </c>
      <c r="AB131" s="32">
        <f>VLOOKUP($A131,'KU Provision'!$B$4:$E$76,AD$1,FALSE)/4*1000</f>
        <v>137637.50000000012</v>
      </c>
      <c r="AC131" s="128"/>
      <c r="AE131" s="32">
        <f t="shared" si="128"/>
        <v>137637.50000000012</v>
      </c>
      <c r="AH131" s="32">
        <f t="shared" si="129"/>
        <v>137637.50000000012</v>
      </c>
      <c r="AI131" s="128"/>
      <c r="AK131" s="32">
        <f t="shared" si="130"/>
        <v>137637.50000000012</v>
      </c>
    </row>
    <row r="132" spans="1:37" x14ac:dyDescent="0.15">
      <c r="A132" s="24" t="s">
        <v>132</v>
      </c>
      <c r="H132" s="128"/>
      <c r="I132" s="128"/>
      <c r="J132" s="128">
        <f>VLOOKUP($A132,'KU Provision'!$B$4:$E$76,J$1,FALSE)/4*1000</f>
        <v>-1346057.5</v>
      </c>
      <c r="M132" s="32">
        <f t="shared" si="134"/>
        <v>-1346057.5</v>
      </c>
      <c r="P132" s="128">
        <f>VLOOKUP($A132,'KU Provision'!$B$4:$E$76,Q$1,FALSE)/4*1000</f>
        <v>-1289766.25</v>
      </c>
      <c r="S132" s="128">
        <f t="shared" si="131"/>
        <v>-1289766.25</v>
      </c>
      <c r="V132" s="128">
        <f t="shared" si="132"/>
        <v>-1289766.25</v>
      </c>
      <c r="Y132" s="128">
        <f t="shared" si="133"/>
        <v>-1289766.25</v>
      </c>
      <c r="AB132" s="32">
        <f>VLOOKUP($A132,'KU Provision'!$B$4:$E$76,AD$1,FALSE)/4*1000</f>
        <v>-1312777</v>
      </c>
      <c r="AC132" s="128"/>
      <c r="AE132" s="32">
        <f t="shared" si="128"/>
        <v>-1312777</v>
      </c>
      <c r="AH132" s="32">
        <f t="shared" si="129"/>
        <v>-1312777</v>
      </c>
      <c r="AI132" s="128"/>
      <c r="AK132" s="32">
        <f t="shared" si="130"/>
        <v>-1312777</v>
      </c>
    </row>
    <row r="133" spans="1:37" x14ac:dyDescent="0.15">
      <c r="A133" s="24" t="s">
        <v>133</v>
      </c>
      <c r="H133" s="128"/>
      <c r="I133" s="128"/>
      <c r="J133" s="128">
        <f>VLOOKUP($A133,'KU Provision'!$B$4:$E$76,J$1,FALSE)/4*1000</f>
        <v>-36492.190815376947</v>
      </c>
      <c r="M133" s="32">
        <f t="shared" si="134"/>
        <v>-36492.190815376947</v>
      </c>
      <c r="P133" s="128">
        <f>VLOOKUP($A133,'KU Provision'!$B$4:$E$76,Q$1,FALSE)/4*1000</f>
        <v>-522712.9218883217</v>
      </c>
      <c r="S133" s="128">
        <f t="shared" si="131"/>
        <v>-522712.9218883217</v>
      </c>
      <c r="V133" s="128">
        <f t="shared" si="132"/>
        <v>-522712.9218883217</v>
      </c>
      <c r="Y133" s="128">
        <f t="shared" si="133"/>
        <v>-522712.9218883217</v>
      </c>
      <c r="AB133" s="32">
        <f>VLOOKUP($A133,'KU Provision'!$B$4:$E$76,AD$1,FALSE)/4*1000</f>
        <v>-723156.65041249897</v>
      </c>
      <c r="AC133" s="128"/>
      <c r="AE133" s="32">
        <f t="shared" si="128"/>
        <v>-723156.65041249897</v>
      </c>
      <c r="AH133" s="32">
        <f t="shared" si="129"/>
        <v>-723156.65041249897</v>
      </c>
      <c r="AI133" s="128"/>
      <c r="AK133" s="32">
        <f t="shared" si="130"/>
        <v>-723156.65041249897</v>
      </c>
    </row>
    <row r="134" spans="1:37" x14ac:dyDescent="0.15">
      <c r="A134" s="24" t="s">
        <v>134</v>
      </c>
      <c r="H134" s="128"/>
      <c r="I134" s="128"/>
      <c r="J134" s="128">
        <f>VLOOKUP($A134,'KU Provision'!$B$4:$E$76,J$1,FALSE)/4*1000</f>
        <v>0</v>
      </c>
      <c r="M134" s="32">
        <f t="shared" si="134"/>
        <v>0</v>
      </c>
      <c r="P134" s="128">
        <f>VLOOKUP($A134,'KU Provision'!$B$4:$E$76,Q$1,FALSE)/4*1000</f>
        <v>0</v>
      </c>
      <c r="S134" s="128">
        <f t="shared" si="131"/>
        <v>0</v>
      </c>
      <c r="V134" s="128">
        <f t="shared" si="132"/>
        <v>0</v>
      </c>
      <c r="Y134" s="128">
        <f t="shared" si="133"/>
        <v>0</v>
      </c>
      <c r="AB134" s="32">
        <f>VLOOKUP($A134,'KU Provision'!$B$4:$E$76,AD$1,FALSE)/4*1000</f>
        <v>0</v>
      </c>
      <c r="AC134" s="128"/>
      <c r="AE134" s="32">
        <f t="shared" si="128"/>
        <v>0</v>
      </c>
      <c r="AH134" s="32">
        <f t="shared" si="129"/>
        <v>0</v>
      </c>
      <c r="AI134" s="128"/>
      <c r="AK134" s="32">
        <f t="shared" si="130"/>
        <v>0</v>
      </c>
    </row>
    <row r="135" spans="1:37" x14ac:dyDescent="0.15">
      <c r="A135" s="24" t="s">
        <v>124</v>
      </c>
      <c r="H135" s="128"/>
      <c r="I135" s="128"/>
      <c r="J135" s="128">
        <f>VLOOKUP($A135,'KU Provision'!$B$4:$E$76,J$1,FALSE)/4*1000</f>
        <v>352231.95</v>
      </c>
      <c r="M135" s="32">
        <f t="shared" si="134"/>
        <v>352231.95</v>
      </c>
      <c r="P135" s="128">
        <f>VLOOKUP($A135,'KU Provision'!$B$4:$E$76,Q$1,FALSE)/4*1000</f>
        <v>117413.28499999999</v>
      </c>
      <c r="S135" s="128">
        <f t="shared" si="131"/>
        <v>117413.28499999999</v>
      </c>
      <c r="V135" s="128">
        <f t="shared" si="132"/>
        <v>117413.28499999999</v>
      </c>
      <c r="Y135" s="128">
        <f t="shared" si="133"/>
        <v>117413.28499999999</v>
      </c>
      <c r="AB135" s="32">
        <f>VLOOKUP($A135,'KU Provision'!$B$4:$E$76,AD$1,FALSE)/4*1000</f>
        <v>0</v>
      </c>
      <c r="AC135" s="128"/>
      <c r="AE135" s="32">
        <f t="shared" si="128"/>
        <v>0</v>
      </c>
      <c r="AH135" s="32">
        <f t="shared" si="129"/>
        <v>0</v>
      </c>
      <c r="AI135" s="128"/>
      <c r="AK135" s="32">
        <f t="shared" si="130"/>
        <v>0</v>
      </c>
    </row>
    <row r="136" spans="1:37" x14ac:dyDescent="0.15">
      <c r="A136" s="24" t="s">
        <v>122</v>
      </c>
      <c r="H136" s="128"/>
      <c r="I136" s="128"/>
      <c r="J136" s="128">
        <f>VLOOKUP($A136,'KU Provision'!$B$4:$E$76,J$1,FALSE)/4*1000</f>
        <v>597858.98032258044</v>
      </c>
      <c r="M136" s="32">
        <f>+J136</f>
        <v>597858.98032258044</v>
      </c>
      <c r="P136" s="128">
        <f>VLOOKUP($A136,'KU Provision'!$B$4:$E$76,Q$1,FALSE)/4*1000</f>
        <v>597858.9911290328</v>
      </c>
      <c r="S136" s="128">
        <f>+P136</f>
        <v>597858.9911290328</v>
      </c>
      <c r="V136" s="128">
        <f>+S136</f>
        <v>597858.9911290328</v>
      </c>
      <c r="Y136" s="128">
        <f>+V136</f>
        <v>597858.9911290328</v>
      </c>
      <c r="AB136" s="32">
        <f>VLOOKUP($A136,'KU Provision'!$B$4:$E$76,AD$1,FALSE)/4*1000</f>
        <v>599496.96096774284</v>
      </c>
      <c r="AC136" s="128"/>
      <c r="AE136" s="32">
        <f t="shared" si="128"/>
        <v>599496.96096774284</v>
      </c>
      <c r="AH136" s="32">
        <f t="shared" si="129"/>
        <v>599496.96096774284</v>
      </c>
      <c r="AI136" s="128"/>
      <c r="AK136" s="32">
        <f t="shared" si="130"/>
        <v>599496.96096774284</v>
      </c>
    </row>
    <row r="137" spans="1:37" x14ac:dyDescent="0.15">
      <c r="A137" s="24" t="s">
        <v>123</v>
      </c>
      <c r="H137" s="128"/>
      <c r="I137" s="128"/>
      <c r="J137" s="128">
        <f>VLOOKUP($A137,'KU Provision'!$B$4:$E$76,J$1,FALSE)/4*1000</f>
        <v>-358384.67499999935</v>
      </c>
      <c r="M137" s="32">
        <f>+J137</f>
        <v>-358384.67499999935</v>
      </c>
      <c r="P137" s="128">
        <f>VLOOKUP($A137,'KU Provision'!$B$4:$E$76,Q$1,FALSE)/4*1000</f>
        <v>-358344.04749999521</v>
      </c>
      <c r="S137" s="128">
        <f>+P137</f>
        <v>-358344.04749999521</v>
      </c>
      <c r="V137" s="128">
        <f>+S137</f>
        <v>-358344.04749999521</v>
      </c>
      <c r="Y137" s="128">
        <f>+V137</f>
        <v>-358344.04749999521</v>
      </c>
      <c r="AB137" s="32">
        <f>VLOOKUP($A137,'KU Provision'!$B$4:$E$76,AD$1,FALSE)/4*1000</f>
        <v>-359325.80999999662</v>
      </c>
      <c r="AC137" s="128"/>
      <c r="AE137" s="32">
        <f t="shared" si="128"/>
        <v>-359325.80999999662</v>
      </c>
      <c r="AH137" s="32">
        <f t="shared" si="129"/>
        <v>-359325.80999999662</v>
      </c>
      <c r="AI137" s="128"/>
      <c r="AK137" s="32">
        <f t="shared" si="130"/>
        <v>-359325.80999999662</v>
      </c>
    </row>
    <row r="138" spans="1:37" x14ac:dyDescent="0.15">
      <c r="A138" s="24" t="s">
        <v>59</v>
      </c>
      <c r="H138" s="128"/>
      <c r="I138" s="128"/>
      <c r="J138" s="128">
        <f>VLOOKUP($A138,'KU Provision'!$B$4:$E$76,J$1,FALSE)/4*1000</f>
        <v>2460296.7545230407</v>
      </c>
      <c r="M138" s="32">
        <f>+J138</f>
        <v>2460296.7545230407</v>
      </c>
      <c r="P138" s="128">
        <f>VLOOKUP($A138,'KU Provision'!$B$4:$E$76,Q$1,FALSE)/4*1000</f>
        <v>2637329.8565131077</v>
      </c>
      <c r="S138" s="128">
        <f>+P138</f>
        <v>2637329.8565131077</v>
      </c>
      <c r="V138" s="128">
        <f>+S138</f>
        <v>2637329.8565131077</v>
      </c>
      <c r="Y138" s="128">
        <f>+V138</f>
        <v>2637329.8565131077</v>
      </c>
      <c r="AB138" s="32">
        <f>VLOOKUP($A138,'KU Provision'!$B$4:$E$76,AD$1,FALSE)/4*1000</f>
        <v>1590992.6772505215</v>
      </c>
      <c r="AC138" s="128"/>
      <c r="AE138" s="32">
        <f t="shared" si="128"/>
        <v>1590992.6772505215</v>
      </c>
      <c r="AH138" s="32">
        <f t="shared" si="129"/>
        <v>1590992.6772505215</v>
      </c>
      <c r="AI138" s="128"/>
      <c r="AK138" s="32">
        <f t="shared" si="130"/>
        <v>1590992.6772505215</v>
      </c>
    </row>
    <row r="139" spans="1:37" x14ac:dyDescent="0.15">
      <c r="A139" s="24" t="s">
        <v>373</v>
      </c>
      <c r="H139" s="128"/>
      <c r="I139" s="128"/>
      <c r="J139" s="128">
        <f>VLOOKUP($A139,'KU Provision'!$B$4:$E$76,J$1,FALSE)/4*1000</f>
        <v>-175592.75</v>
      </c>
      <c r="M139" s="32">
        <f>+J139</f>
        <v>-175592.75</v>
      </c>
      <c r="P139" s="128">
        <f>VLOOKUP($A139,'KU Provision'!$B$4:$E$76,Q$1,FALSE)/4*1000</f>
        <v>-5275407</v>
      </c>
      <c r="S139" s="128">
        <f>+P139</f>
        <v>-5275407</v>
      </c>
      <c r="V139" s="128">
        <f>+S139</f>
        <v>-5275407</v>
      </c>
      <c r="Y139" s="128">
        <f>+V139</f>
        <v>-5275407</v>
      </c>
      <c r="AB139" s="32">
        <f>VLOOKUP($A139,'KU Provision'!$B$4:$E$76,AD$1,FALSE)/4*1000</f>
        <v>-149123.75</v>
      </c>
      <c r="AC139" s="128"/>
      <c r="AE139" s="32">
        <f t="shared" si="128"/>
        <v>-149123.75</v>
      </c>
      <c r="AH139" s="32">
        <f t="shared" si="129"/>
        <v>-149123.75</v>
      </c>
      <c r="AI139" s="128"/>
      <c r="AK139" s="32">
        <f t="shared" si="130"/>
        <v>-149123.75</v>
      </c>
    </row>
    <row r="140" spans="1:37" x14ac:dyDescent="0.15">
      <c r="A140" s="24" t="s">
        <v>62</v>
      </c>
      <c r="H140" s="128"/>
      <c r="I140" s="128"/>
      <c r="J140" s="128">
        <f>VLOOKUP($A140,'KU Provision'!$B$4:$E$76,J$1,FALSE)/4*1000</f>
        <v>0</v>
      </c>
      <c r="M140" s="32">
        <f t="shared" ref="M140:M148" si="135">+J140</f>
        <v>0</v>
      </c>
      <c r="P140" s="128">
        <f>VLOOKUP($A140,'KU Provision'!$B$4:$E$76,Q$1,FALSE)/4*1000</f>
        <v>0</v>
      </c>
      <c r="S140" s="128">
        <f t="shared" ref="S140:S148" si="136">+P140</f>
        <v>0</v>
      </c>
      <c r="V140" s="128">
        <f t="shared" ref="V140:V148" si="137">+S140</f>
        <v>0</v>
      </c>
      <c r="Y140" s="128">
        <f t="shared" ref="Y140:Y148" si="138">+V140</f>
        <v>0</v>
      </c>
      <c r="AB140" s="32">
        <f>VLOOKUP($A140,'KU Provision'!$B$4:$E$76,AD$1,FALSE)/4*1000</f>
        <v>0</v>
      </c>
      <c r="AC140" s="128"/>
      <c r="AE140" s="32">
        <f t="shared" si="128"/>
        <v>0</v>
      </c>
      <c r="AH140" s="32">
        <f t="shared" si="129"/>
        <v>0</v>
      </c>
      <c r="AI140" s="128"/>
      <c r="AK140" s="32">
        <f t="shared" si="130"/>
        <v>0</v>
      </c>
    </row>
    <row r="141" spans="1:37" x14ac:dyDescent="0.15">
      <c r="A141" s="24" t="s">
        <v>126</v>
      </c>
      <c r="H141" s="128"/>
      <c r="I141" s="128"/>
      <c r="J141" s="128">
        <f>VLOOKUP($A141,'KU Provision'!$B$4:$E$76,J$1,FALSE)/4*1000</f>
        <v>1634429.6850000001</v>
      </c>
      <c r="M141" s="32">
        <f t="shared" si="135"/>
        <v>1634429.6850000001</v>
      </c>
      <c r="P141" s="128">
        <f>VLOOKUP($A141,'KU Provision'!$B$4:$E$76,Q$1,FALSE)/4*1000</f>
        <v>0</v>
      </c>
      <c r="S141" s="128">
        <f t="shared" si="136"/>
        <v>0</v>
      </c>
      <c r="V141" s="128">
        <f t="shared" si="137"/>
        <v>0</v>
      </c>
      <c r="Y141" s="128">
        <f t="shared" si="138"/>
        <v>0</v>
      </c>
      <c r="AB141" s="32">
        <f>VLOOKUP($A141,'KU Provision'!$B$4:$E$76,AD$1,FALSE)/4*1000</f>
        <v>0</v>
      </c>
      <c r="AC141" s="128"/>
      <c r="AE141" s="32">
        <f t="shared" si="128"/>
        <v>0</v>
      </c>
      <c r="AH141" s="32">
        <f t="shared" si="129"/>
        <v>0</v>
      </c>
      <c r="AI141" s="128"/>
      <c r="AK141" s="32">
        <f t="shared" si="130"/>
        <v>0</v>
      </c>
    </row>
    <row r="142" spans="1:37" x14ac:dyDescent="0.15">
      <c r="A142" s="24" t="s">
        <v>125</v>
      </c>
      <c r="H142" s="128"/>
      <c r="I142" s="128"/>
      <c r="J142" s="128">
        <f>VLOOKUP($A142,'KU Provision'!$B$4:$E$76,J$1,FALSE)/4*1000</f>
        <v>0</v>
      </c>
      <c r="M142" s="32">
        <f t="shared" si="135"/>
        <v>0</v>
      </c>
      <c r="P142" s="128">
        <f>VLOOKUP($A142,'KU Provision'!$B$4:$E$76,Q$1,FALSE)/4*1000</f>
        <v>0</v>
      </c>
      <c r="S142" s="128">
        <f t="shared" si="136"/>
        <v>0</v>
      </c>
      <c r="V142" s="128">
        <f t="shared" si="137"/>
        <v>0</v>
      </c>
      <c r="Y142" s="128">
        <f t="shared" si="138"/>
        <v>0</v>
      </c>
      <c r="AB142" s="32">
        <f>VLOOKUP($A142,'KU Provision'!$B$4:$E$76,AD$1,FALSE)/4*1000</f>
        <v>0</v>
      </c>
      <c r="AC142" s="128"/>
      <c r="AE142" s="32">
        <f t="shared" si="128"/>
        <v>0</v>
      </c>
      <c r="AH142" s="32">
        <f t="shared" si="129"/>
        <v>0</v>
      </c>
      <c r="AI142" s="128"/>
      <c r="AK142" s="32">
        <f t="shared" si="130"/>
        <v>0</v>
      </c>
    </row>
    <row r="143" spans="1:37" x14ac:dyDescent="0.15">
      <c r="A143" s="24" t="s">
        <v>128</v>
      </c>
      <c r="H143" s="128"/>
      <c r="I143" s="128"/>
      <c r="J143" s="128">
        <f>VLOOKUP($A143,'KU Provision'!$B$4:$E$76,J$1,FALSE)/4*1000</f>
        <v>-6972.9718207570559</v>
      </c>
      <c r="M143" s="32">
        <f t="shared" si="135"/>
        <v>-6972.9718207570559</v>
      </c>
      <c r="P143" s="128">
        <f>VLOOKUP($A143,'KU Provision'!$B$4:$E$76,Q$1,FALSE)/4*1000</f>
        <v>3131.4781889948499</v>
      </c>
      <c r="S143" s="128">
        <f t="shared" si="136"/>
        <v>3131.4781889948499</v>
      </c>
      <c r="V143" s="128">
        <f t="shared" si="137"/>
        <v>3131.4781889948499</v>
      </c>
      <c r="Y143" s="128">
        <f t="shared" si="138"/>
        <v>3131.4781889948499</v>
      </c>
      <c r="AB143" s="32">
        <f>VLOOKUP($A143,'KU Provision'!$B$4:$E$76,AD$1,FALSE)/4*1000</f>
        <v>1574.8416574643902</v>
      </c>
      <c r="AC143" s="128"/>
      <c r="AE143" s="32">
        <f t="shared" si="128"/>
        <v>1574.8416574643902</v>
      </c>
      <c r="AH143" s="32">
        <f t="shared" si="129"/>
        <v>1574.8416574643902</v>
      </c>
      <c r="AI143" s="128"/>
      <c r="AK143" s="32">
        <f t="shared" si="130"/>
        <v>1574.8416574643902</v>
      </c>
    </row>
    <row r="144" spans="1:37" x14ac:dyDescent="0.15">
      <c r="A144" s="24" t="s">
        <v>412</v>
      </c>
      <c r="H144" s="128"/>
      <c r="I144" s="128"/>
      <c r="J144" s="128">
        <f>VLOOKUP($A144,'KU Provision'!$B$4:$E$76,J$1,FALSE)/4*1000</f>
        <v>-824902.75327056751</v>
      </c>
      <c r="M144" s="32">
        <f>+J144</f>
        <v>-824902.75327056751</v>
      </c>
      <c r="P144" s="128">
        <f>VLOOKUP($A144,'KU Provision'!$B$4:$E$76,Q$1,FALSE)/4*1000</f>
        <v>-1872183.1396596343</v>
      </c>
      <c r="S144" s="128">
        <f>+P144</f>
        <v>-1872183.1396596343</v>
      </c>
      <c r="V144" s="128">
        <f>+S144</f>
        <v>-1872183.1396596343</v>
      </c>
      <c r="Y144" s="128">
        <f>+V144</f>
        <v>-1872183.1396596343</v>
      </c>
      <c r="AB144" s="32">
        <f>VLOOKUP($A144,'KU Provision'!$B$4:$E$76,AD$1,FALSE)/4*1000</f>
        <v>-2603570.3682858087</v>
      </c>
      <c r="AC144" s="128"/>
      <c r="AE144" s="32">
        <f>+AB144</f>
        <v>-2603570.3682858087</v>
      </c>
      <c r="AH144" s="32">
        <f>+AE144</f>
        <v>-2603570.3682858087</v>
      </c>
      <c r="AI144" s="128"/>
      <c r="AK144" s="32">
        <f>+AH144</f>
        <v>-2603570.3682858087</v>
      </c>
    </row>
    <row r="145" spans="1:37" x14ac:dyDescent="0.15">
      <c r="A145" s="24" t="s">
        <v>127</v>
      </c>
      <c r="H145" s="128"/>
      <c r="I145" s="128"/>
      <c r="J145" s="128">
        <f>VLOOKUP($A145,'KU Provision'!$B$4:$E$76,J$1,FALSE)/4*1000</f>
        <v>78704.834999999948</v>
      </c>
      <c r="M145" s="32">
        <f t="shared" si="135"/>
        <v>78704.834999999948</v>
      </c>
      <c r="P145" s="128">
        <f>VLOOKUP($A145,'KU Provision'!$B$4:$E$76,Q$1,FALSE)/4*1000</f>
        <v>78637.680000000153</v>
      </c>
      <c r="S145" s="128">
        <f t="shared" si="136"/>
        <v>78637.680000000153</v>
      </c>
      <c r="V145" s="128">
        <f t="shared" si="137"/>
        <v>78637.680000000153</v>
      </c>
      <c r="Y145" s="128">
        <f t="shared" si="138"/>
        <v>78637.680000000153</v>
      </c>
      <c r="AB145" s="32">
        <f>VLOOKUP($A145,'KU Provision'!$B$4:$E$76,AD$1,FALSE)/4*1000</f>
        <v>78637.680000000066</v>
      </c>
      <c r="AC145" s="128"/>
      <c r="AE145" s="32">
        <f t="shared" si="128"/>
        <v>78637.680000000066</v>
      </c>
      <c r="AH145" s="32">
        <f t="shared" si="129"/>
        <v>78637.680000000066</v>
      </c>
      <c r="AI145" s="128"/>
      <c r="AK145" s="32">
        <f t="shared" si="130"/>
        <v>78637.680000000066</v>
      </c>
    </row>
    <row r="146" spans="1:37" x14ac:dyDescent="0.15">
      <c r="A146" s="24" t="s">
        <v>130</v>
      </c>
      <c r="H146" s="128"/>
      <c r="I146" s="128"/>
      <c r="J146" s="128">
        <f>VLOOKUP($A146,'KU Provision'!$B$4:$E$76,J$1,FALSE)/4*1000</f>
        <v>-166577.72000000047</v>
      </c>
      <c r="M146" s="32">
        <f t="shared" si="135"/>
        <v>-166577.72000000047</v>
      </c>
      <c r="P146" s="128">
        <f>VLOOKUP($A146,'KU Provision'!$B$4:$E$76,Q$1,FALSE)/4*1000</f>
        <v>-194799.87860965388</v>
      </c>
      <c r="S146" s="128">
        <f t="shared" si="136"/>
        <v>-194799.87860965388</v>
      </c>
      <c r="V146" s="128">
        <f t="shared" si="137"/>
        <v>-194799.87860965388</v>
      </c>
      <c r="Y146" s="128">
        <f t="shared" si="138"/>
        <v>-194799.87860965388</v>
      </c>
      <c r="AB146" s="32">
        <f>VLOOKUP($A146,'KU Provision'!$B$4:$E$76,AD$1,FALSE)/4*1000</f>
        <v>-200115.67666448082</v>
      </c>
      <c r="AC146" s="128"/>
      <c r="AE146" s="32">
        <f t="shared" si="128"/>
        <v>-200115.67666448082</v>
      </c>
      <c r="AH146" s="32">
        <f t="shared" si="129"/>
        <v>-200115.67666448082</v>
      </c>
      <c r="AI146" s="128"/>
      <c r="AK146" s="32">
        <f t="shared" si="130"/>
        <v>-200115.67666448082</v>
      </c>
    </row>
    <row r="147" spans="1:37" x14ac:dyDescent="0.15">
      <c r="A147" s="24" t="s">
        <v>129</v>
      </c>
      <c r="H147" s="128"/>
      <c r="I147" s="128"/>
      <c r="J147" s="128">
        <f>VLOOKUP($A147,'KU Provision'!$B$4:$E$76,J$1,FALSE)/4*1000</f>
        <v>12240.079999999922</v>
      </c>
      <c r="M147" s="32">
        <f t="shared" si="135"/>
        <v>12240.079999999922</v>
      </c>
      <c r="P147" s="128">
        <f>VLOOKUP($A147,'KU Provision'!$B$4:$E$76,Q$1,FALSE)/4*1000</f>
        <v>-39085.440000000039</v>
      </c>
      <c r="S147" s="128">
        <f t="shared" si="136"/>
        <v>-39085.440000000039</v>
      </c>
      <c r="V147" s="128">
        <f t="shared" si="137"/>
        <v>-39085.440000000039</v>
      </c>
      <c r="Y147" s="128">
        <f t="shared" si="138"/>
        <v>-39085.440000000039</v>
      </c>
      <c r="AB147" s="32">
        <f>VLOOKUP($A147,'KU Provision'!$B$4:$E$76,AD$1,FALSE)/4*1000</f>
        <v>-37065.269999999997</v>
      </c>
      <c r="AC147" s="128"/>
      <c r="AE147" s="32">
        <f t="shared" si="128"/>
        <v>-37065.269999999997</v>
      </c>
      <c r="AH147" s="32">
        <f t="shared" si="129"/>
        <v>-37065.269999999997</v>
      </c>
      <c r="AI147" s="128"/>
      <c r="AK147" s="32">
        <f t="shared" si="130"/>
        <v>-37065.269999999997</v>
      </c>
    </row>
    <row r="148" spans="1:37" x14ac:dyDescent="0.15">
      <c r="A148" s="24" t="s">
        <v>65</v>
      </c>
      <c r="H148" s="128"/>
      <c r="I148" s="128"/>
      <c r="J148" s="128">
        <f>VLOOKUP($A148,'KU Provision'!$B$4:$E$76,J$1,FALSE)/4*1000</f>
        <v>-339331.78231726697</v>
      </c>
      <c r="M148" s="32">
        <f t="shared" si="135"/>
        <v>-339331.78231726697</v>
      </c>
      <c r="P148" s="128">
        <f>VLOOKUP($A148,'KU Provision'!$B$4:$E$76,Q$1,FALSE)/4*1000</f>
        <v>214417.28796588382</v>
      </c>
      <c r="S148" s="128">
        <f t="shared" si="136"/>
        <v>214417.28796588382</v>
      </c>
      <c r="V148" s="128">
        <f t="shared" si="137"/>
        <v>214417.28796588382</v>
      </c>
      <c r="Y148" s="128">
        <f t="shared" si="138"/>
        <v>214417.28796588382</v>
      </c>
      <c r="AB148" s="32">
        <f>VLOOKUP($A148,'KU Provision'!$B$4:$E$76,AD$1,FALSE)/4*1000</f>
        <v>386856.5140077353</v>
      </c>
      <c r="AC148" s="128"/>
      <c r="AE148" s="32">
        <f t="shared" si="128"/>
        <v>386856.5140077353</v>
      </c>
      <c r="AH148" s="32">
        <f t="shared" si="129"/>
        <v>386856.5140077353</v>
      </c>
      <c r="AI148" s="128"/>
      <c r="AK148" s="32">
        <f t="shared" si="130"/>
        <v>386856.5140077353</v>
      </c>
    </row>
    <row r="149" spans="1:37" x14ac:dyDescent="0.15">
      <c r="A149" s="24" t="s">
        <v>141</v>
      </c>
      <c r="H149" s="128"/>
      <c r="I149" s="128"/>
      <c r="J149" s="128">
        <f>VLOOKUP($A149,'KU Provision'!$B$4:$E$76,J$1,FALSE)/4*1000</f>
        <v>0</v>
      </c>
      <c r="M149" s="32">
        <f>+J149</f>
        <v>0</v>
      </c>
      <c r="P149" s="128">
        <f>VLOOKUP($A149,'KU Provision'!$B$4:$E$76,Q$1,FALSE)/4*1000</f>
        <v>0</v>
      </c>
      <c r="S149" s="128">
        <f>+P149</f>
        <v>0</v>
      </c>
      <c r="V149" s="128">
        <f>+S149</f>
        <v>0</v>
      </c>
      <c r="Y149" s="128">
        <f>+V149</f>
        <v>0</v>
      </c>
      <c r="AB149" s="32">
        <f>VLOOKUP($A149,'KU Provision'!$B$4:$E$76,AD$1,FALSE)/4*1000</f>
        <v>0</v>
      </c>
      <c r="AC149" s="128"/>
      <c r="AE149" s="32">
        <f t="shared" si="128"/>
        <v>0</v>
      </c>
      <c r="AH149" s="32">
        <f t="shared" si="129"/>
        <v>0</v>
      </c>
      <c r="AI149" s="128"/>
      <c r="AK149" s="32">
        <f t="shared" si="130"/>
        <v>0</v>
      </c>
    </row>
    <row r="150" spans="1:37" x14ac:dyDescent="0.15">
      <c r="A150" s="24" t="s">
        <v>70</v>
      </c>
      <c r="H150" s="128"/>
      <c r="I150" s="128"/>
      <c r="J150" s="128">
        <f>VLOOKUP($A150,'KU Provision'!$B$4:$E$76,J$1,FALSE)/4*1000</f>
        <v>-7500000</v>
      </c>
      <c r="M150" s="32">
        <f>+J150</f>
        <v>-7500000</v>
      </c>
      <c r="P150" s="128">
        <f>VLOOKUP($A150,'KU Provision'!$B$4:$E$76,Q$1,FALSE)/4*1000</f>
        <v>-7500000</v>
      </c>
      <c r="S150" s="128">
        <f>+P150</f>
        <v>-7500000</v>
      </c>
      <c r="V150" s="128">
        <f>+S150</f>
        <v>-7500000</v>
      </c>
      <c r="Y150" s="128">
        <f>+V150</f>
        <v>-7500000</v>
      </c>
      <c r="AB150" s="32">
        <f>VLOOKUP($A150,'KU Provision'!$B$4:$E$76,AD$1,FALSE)/4*1000</f>
        <v>-7500000</v>
      </c>
      <c r="AC150" s="128"/>
      <c r="AE150" s="32">
        <f t="shared" si="128"/>
        <v>-7500000</v>
      </c>
      <c r="AH150" s="32">
        <f t="shared" si="129"/>
        <v>-7500000</v>
      </c>
      <c r="AI150" s="128"/>
      <c r="AK150" s="32">
        <f t="shared" si="130"/>
        <v>-7500000</v>
      </c>
    </row>
    <row r="151" spans="1:37" x14ac:dyDescent="0.15">
      <c r="A151" s="24" t="s">
        <v>119</v>
      </c>
      <c r="H151" s="128"/>
      <c r="I151" s="128"/>
      <c r="J151" s="128">
        <f>VLOOKUP($A151,'KU Provision'!$B$4:$E$76,J$1,FALSE)/4*1000</f>
        <v>0</v>
      </c>
      <c r="M151" s="32">
        <f>+J151</f>
        <v>0</v>
      </c>
      <c r="P151" s="128">
        <f>VLOOKUP($A151,'KU Provision'!$B$4:$E$76,Q$1,FALSE)/4*1000</f>
        <v>0</v>
      </c>
      <c r="S151" s="128">
        <f>+P151</f>
        <v>0</v>
      </c>
      <c r="V151" s="128">
        <f>+S151</f>
        <v>0</v>
      </c>
      <c r="Y151" s="128">
        <f>+V151</f>
        <v>0</v>
      </c>
      <c r="AB151" s="32">
        <f>VLOOKUP($A151,'KU Provision'!$B$4:$E$76,AD$1,FALSE)/4*1000</f>
        <v>0</v>
      </c>
      <c r="AC151" s="128"/>
      <c r="AE151" s="32">
        <f t="shared" si="128"/>
        <v>0</v>
      </c>
      <c r="AH151" s="32">
        <f t="shared" si="129"/>
        <v>0</v>
      </c>
      <c r="AI151" s="128"/>
      <c r="AK151" s="32">
        <f t="shared" si="130"/>
        <v>0</v>
      </c>
    </row>
    <row r="152" spans="1:37" x14ac:dyDescent="0.15">
      <c r="A152" s="24" t="s">
        <v>135</v>
      </c>
      <c r="H152" s="128"/>
      <c r="I152" s="128"/>
      <c r="J152" s="128">
        <f>VLOOKUP($A152,'KU Provision'!$B$4:$E$76,J$1,FALSE)/4*1000</f>
        <v>-242250.005</v>
      </c>
      <c r="M152" s="32">
        <f>+J152</f>
        <v>-242250.005</v>
      </c>
      <c r="P152" s="128">
        <f>VLOOKUP($A152,'KU Provision'!$B$4:$E$76,Q$1,FALSE)/4*1000</f>
        <v>14781.253124999934</v>
      </c>
      <c r="S152" s="128">
        <f>+P152</f>
        <v>14781.253124999934</v>
      </c>
      <c r="V152" s="128">
        <f>+S152</f>
        <v>14781.253124999934</v>
      </c>
      <c r="Y152" s="128">
        <f>+V152</f>
        <v>14781.253124999934</v>
      </c>
      <c r="AB152" s="32">
        <f>VLOOKUP($A152,'KU Provision'!$B$4:$E$76,AD$1,FALSE)/4*1000</f>
        <v>13468.751874999976</v>
      </c>
      <c r="AC152" s="128"/>
      <c r="AE152" s="32">
        <f t="shared" si="128"/>
        <v>13468.751874999976</v>
      </c>
      <c r="AH152" s="32">
        <f t="shared" si="129"/>
        <v>13468.751874999976</v>
      </c>
      <c r="AI152" s="128"/>
      <c r="AK152" s="32">
        <f t="shared" si="130"/>
        <v>13468.751874999976</v>
      </c>
    </row>
    <row r="153" spans="1:37" x14ac:dyDescent="0.15">
      <c r="A153" s="24" t="s">
        <v>68</v>
      </c>
      <c r="H153" s="128"/>
      <c r="I153" s="128"/>
      <c r="J153" s="129">
        <f>VLOOKUP($A153,'KU Provision'!$B$4:$E$76,J$1,FALSE)/4*1000-'UIGET-KU'!D124/4*1000+'Income Tax Detail - Monthly'!J39*1000-J123</f>
        <v>-95048933.076851368</v>
      </c>
      <c r="M153" s="129">
        <f>VLOOKUP($A153,'KU Provision'!$B$4:$E$76,J$1,FALSE)/4*1000-'UIGET-KU'!D124/4*1000+'Income Tax Detail - Monthly'!M39*1000-M123</f>
        <v>-72882548.566851377</v>
      </c>
      <c r="P153" s="129">
        <f>VLOOKUP($A153,'KU Provision'!$B$4:$E$76,Q$1,FALSE)/4*1000+VLOOKUP($A123,'KU Provision'!$B$4:$E$76,Q$1,FALSE)/4*1000-P123</f>
        <v>-77618256.205382928</v>
      </c>
      <c r="S153" s="128">
        <f>+P153</f>
        <v>-77618256.205382928</v>
      </c>
      <c r="V153" s="128">
        <f>+S153</f>
        <v>-77618256.205382928</v>
      </c>
      <c r="Y153" s="128">
        <f>+V153</f>
        <v>-77618256.205382928</v>
      </c>
      <c r="AB153" s="32">
        <f>VLOOKUP($A153,'KU Provision'!$B$4:$E$76,AD$1,FALSE)/4*1000+VLOOKUP($A123,'KU Provision'!$B$4:$E$76,AD$1,FALSE)/4*1000</f>
        <v>-82008827.258942708</v>
      </c>
      <c r="AC153" s="128"/>
      <c r="AE153" s="32">
        <f t="shared" si="128"/>
        <v>-82008827.258942708</v>
      </c>
      <c r="AH153" s="32">
        <f t="shared" si="129"/>
        <v>-82008827.258942708</v>
      </c>
      <c r="AI153" s="128"/>
      <c r="AK153" s="32">
        <f t="shared" si="130"/>
        <v>-82008827.258942708</v>
      </c>
    </row>
    <row r="154" spans="1:37" x14ac:dyDescent="0.15">
      <c r="A154" s="24" t="s">
        <v>146</v>
      </c>
      <c r="H154" s="130">
        <f>SUM('Income Tax Detail - Monthly'!H44:H45)*1000</f>
        <v>0</v>
      </c>
      <c r="I154" s="130">
        <f>SUM('Income Tax Detail - Monthly'!I44:I45)*1000</f>
        <v>0</v>
      </c>
      <c r="J154" s="130">
        <f>SUM('Income Tax Detail - Monthly'!J44:J45)*1000</f>
        <v>-24352599.25</v>
      </c>
      <c r="K154" s="130">
        <f>SUM('Income Tax Detail - Monthly'!K44:K45)*1000</f>
        <v>0</v>
      </c>
      <c r="L154" s="130">
        <f>SUM('Income Tax Detail - Monthly'!L44:L45)*1000</f>
        <v>0</v>
      </c>
      <c r="M154" s="130">
        <f>SUM('Income Tax Detail - Monthly'!M44:M45)*1000</f>
        <v>-18352599.75</v>
      </c>
      <c r="N154" s="130">
        <f>SUM('Income Tax Detail - Monthly'!N44:N45)*1000</f>
        <v>0</v>
      </c>
      <c r="O154" s="130">
        <f>SUM('Income Tax Detail - Monthly'!O44:O45)*1000</f>
        <v>0</v>
      </c>
      <c r="P154" s="130">
        <f>SUM('Income Tax Detail - Monthly'!P44:P45)*1000</f>
        <v>0</v>
      </c>
      <c r="Q154" s="130">
        <f>SUM('Income Tax Detail - Monthly'!Q44:Q45)*1000</f>
        <v>0</v>
      </c>
      <c r="R154" s="130">
        <f>SUM('Income Tax Detail - Monthly'!R44:R45)*1000</f>
        <v>0</v>
      </c>
      <c r="S154" s="130">
        <f>SUM('Income Tax Detail - Monthly'!S44:S45)*1000</f>
        <v>0</v>
      </c>
      <c r="T154" s="130">
        <f>SUM('Income Tax Detail - Monthly'!T44:T45)*1000</f>
        <v>0</v>
      </c>
      <c r="U154" s="130">
        <f>SUM('Income Tax Detail - Monthly'!U44:U45)*1000</f>
        <v>0</v>
      </c>
      <c r="V154" s="130">
        <f>SUM('Income Tax Detail - Monthly'!V44:V45)*1000</f>
        <v>0</v>
      </c>
      <c r="W154" s="130">
        <f>SUM('Income Tax Detail - Monthly'!W44:W45)*1000</f>
        <v>0</v>
      </c>
      <c r="X154" s="130">
        <f>SUM('Income Tax Detail - Monthly'!X44:X45)*1000</f>
        <v>0</v>
      </c>
      <c r="Y154" s="130">
        <f>SUM('Income Tax Detail - Monthly'!Y44:Y45)*1000</f>
        <v>0</v>
      </c>
      <c r="Z154" s="130">
        <f>SUM('Income Tax Detail - Monthly'!Z44:Z45)*1000</f>
        <v>0</v>
      </c>
      <c r="AA154" s="130">
        <f>SUM('Income Tax Detail - Monthly'!AA44:AA45)*1000</f>
        <v>0</v>
      </c>
      <c r="AB154" s="130">
        <f>SUM('Income Tax Detail - Monthly'!AB44:AB45)*1000</f>
        <v>0</v>
      </c>
      <c r="AC154" s="130">
        <f>SUM('Income Tax Detail - Monthly'!AC44:AC45)*1000</f>
        <v>0</v>
      </c>
      <c r="AD154" s="130">
        <f>SUM('Income Tax Detail - Monthly'!AD44:AD45)*1000</f>
        <v>0</v>
      </c>
      <c r="AE154" s="130">
        <f>SUM('Income Tax Detail - Monthly'!AE44:AE45)*1000</f>
        <v>0</v>
      </c>
      <c r="AF154" s="130">
        <f>SUM('Income Tax Detail - Monthly'!AF44:AF45)*1000</f>
        <v>0</v>
      </c>
      <c r="AG154" s="130">
        <f>SUM('Income Tax Detail - Monthly'!AG44:AG45)*1000</f>
        <v>0</v>
      </c>
      <c r="AH154" s="130">
        <f>SUM('Income Tax Detail - Monthly'!AH44:AH45)*1000</f>
        <v>0</v>
      </c>
      <c r="AI154" s="130">
        <f>SUM('Income Tax Detail - Monthly'!AI44:AI45)*1000</f>
        <v>0</v>
      </c>
      <c r="AJ154" s="130">
        <f>SUM('Income Tax Detail - Monthly'!AJ44:AJ45)*1000</f>
        <v>0</v>
      </c>
      <c r="AK154" s="130">
        <f>SUM('Income Tax Detail - Monthly'!AK44:AK45)*1000</f>
        <v>0</v>
      </c>
    </row>
    <row r="155" spans="1:37" x14ac:dyDescent="0.15">
      <c r="H155" s="32">
        <f t="shared" ref="H155:AK155" si="139">SUM(H114:H154)</f>
        <v>0</v>
      </c>
      <c r="I155" s="32">
        <f t="shared" si="139"/>
        <v>0</v>
      </c>
      <c r="J155" s="32">
        <f t="shared" si="139"/>
        <v>-141559878.70976317</v>
      </c>
      <c r="K155" s="32">
        <f t="shared" si="139"/>
        <v>0</v>
      </c>
      <c r="L155" s="32">
        <f t="shared" si="139"/>
        <v>0</v>
      </c>
      <c r="M155" s="32">
        <f t="shared" si="139"/>
        <v>-63702088.699763164</v>
      </c>
      <c r="N155" s="32">
        <f t="shared" si="139"/>
        <v>0</v>
      </c>
      <c r="O155" s="32">
        <f t="shared" si="139"/>
        <v>0</v>
      </c>
      <c r="P155" s="32">
        <f t="shared" si="139"/>
        <v>-62745904.067634761</v>
      </c>
      <c r="Q155" s="32">
        <f t="shared" si="139"/>
        <v>0</v>
      </c>
      <c r="R155" s="32">
        <f t="shared" si="139"/>
        <v>0</v>
      </c>
      <c r="S155" s="32">
        <f t="shared" si="139"/>
        <v>-62745904.067634761</v>
      </c>
      <c r="T155" s="32">
        <f t="shared" si="139"/>
        <v>0</v>
      </c>
      <c r="U155" s="32">
        <f t="shared" si="139"/>
        <v>0</v>
      </c>
      <c r="V155" s="32">
        <f t="shared" si="139"/>
        <v>-62745904.067634761</v>
      </c>
      <c r="W155" s="32">
        <f t="shared" si="139"/>
        <v>0</v>
      </c>
      <c r="X155" s="32">
        <f t="shared" si="139"/>
        <v>0</v>
      </c>
      <c r="Y155" s="32">
        <f t="shared" si="139"/>
        <v>-62745904.067634761</v>
      </c>
      <c r="Z155" s="32">
        <f t="shared" si="139"/>
        <v>0</v>
      </c>
      <c r="AA155" s="32">
        <f t="shared" si="139"/>
        <v>0</v>
      </c>
      <c r="AB155" s="32">
        <f t="shared" si="139"/>
        <v>-12283544.175092191</v>
      </c>
      <c r="AC155" s="32">
        <f t="shared" si="139"/>
        <v>0</v>
      </c>
      <c r="AD155" s="32">
        <f t="shared" si="139"/>
        <v>0</v>
      </c>
      <c r="AE155" s="32">
        <f t="shared" si="139"/>
        <v>-12283544.175092191</v>
      </c>
      <c r="AF155" s="32">
        <f t="shared" si="139"/>
        <v>0</v>
      </c>
      <c r="AG155" s="32">
        <f t="shared" si="139"/>
        <v>0</v>
      </c>
      <c r="AH155" s="32">
        <f t="shared" si="139"/>
        <v>-12283544.175092191</v>
      </c>
      <c r="AI155" s="32">
        <f t="shared" si="139"/>
        <v>0</v>
      </c>
      <c r="AJ155" s="32">
        <f t="shared" si="139"/>
        <v>0</v>
      </c>
      <c r="AK155" s="32">
        <f t="shared" si="139"/>
        <v>-12283544.175092191</v>
      </c>
    </row>
    <row r="156" spans="1:37" x14ac:dyDescent="0.15">
      <c r="A156" s="24" t="s">
        <v>82</v>
      </c>
      <c r="H156" s="130">
        <f t="shared" ref="H156:M156" si="140">-H210</f>
        <v>0</v>
      </c>
      <c r="I156" s="130">
        <f t="shared" si="140"/>
        <v>0</v>
      </c>
      <c r="J156" s="130">
        <f>-J210</f>
        <v>2616931.1496668654</v>
      </c>
      <c r="K156" s="130">
        <f t="shared" si="140"/>
        <v>0</v>
      </c>
      <c r="L156" s="130">
        <f t="shared" si="140"/>
        <v>0</v>
      </c>
      <c r="M156" s="130">
        <f t="shared" si="140"/>
        <v>2553900.5022396496</v>
      </c>
      <c r="N156" s="130">
        <f t="shared" ref="N156:AF156" si="141">-N210</f>
        <v>0</v>
      </c>
      <c r="O156" s="130">
        <f t="shared" si="141"/>
        <v>0</v>
      </c>
      <c r="P156" s="130">
        <f t="shared" si="141"/>
        <v>2881971.0750512211</v>
      </c>
      <c r="Q156" s="130">
        <f t="shared" si="141"/>
        <v>0</v>
      </c>
      <c r="R156" s="130">
        <f t="shared" si="141"/>
        <v>0</v>
      </c>
      <c r="S156" s="130">
        <f t="shared" si="141"/>
        <v>2879153.3706532209</v>
      </c>
      <c r="T156" s="130">
        <f t="shared" si="141"/>
        <v>0</v>
      </c>
      <c r="U156" s="130">
        <f t="shared" si="141"/>
        <v>0</v>
      </c>
      <c r="V156" s="130">
        <f t="shared" si="141"/>
        <v>2877745.3606532211</v>
      </c>
      <c r="W156" s="130">
        <f t="shared" si="141"/>
        <v>0</v>
      </c>
      <c r="X156" s="130">
        <f t="shared" si="141"/>
        <v>0</v>
      </c>
      <c r="Y156" s="130">
        <f t="shared" si="141"/>
        <v>2877745.3606532211</v>
      </c>
      <c r="Z156" s="130">
        <f t="shared" si="141"/>
        <v>0</v>
      </c>
      <c r="AA156" s="130">
        <f t="shared" si="141"/>
        <v>0</v>
      </c>
      <c r="AB156" s="130">
        <f t="shared" si="141"/>
        <v>1815253.9060730818</v>
      </c>
      <c r="AC156" s="130">
        <f t="shared" si="141"/>
        <v>0</v>
      </c>
      <c r="AD156" s="130">
        <f t="shared" si="141"/>
        <v>0</v>
      </c>
      <c r="AE156" s="130">
        <f t="shared" si="141"/>
        <v>1815253.9060730818</v>
      </c>
      <c r="AF156" s="130">
        <f t="shared" si="141"/>
        <v>0</v>
      </c>
      <c r="AG156" s="130">
        <f>-AG210</f>
        <v>0</v>
      </c>
      <c r="AH156" s="130">
        <f>-AH210</f>
        <v>1815253.9060730818</v>
      </c>
      <c r="AI156" s="130">
        <f>-AI210</f>
        <v>0</v>
      </c>
      <c r="AJ156" s="130">
        <f>-AJ210</f>
        <v>0</v>
      </c>
      <c r="AK156" s="130">
        <f>-AK210</f>
        <v>1815253.9060730818</v>
      </c>
    </row>
    <row r="157" spans="1:37" x14ac:dyDescent="0.15">
      <c r="H157" s="32">
        <f>SUM(H155:H156)</f>
        <v>0</v>
      </c>
      <c r="I157" s="32">
        <f>SUM(I155:I156)</f>
        <v>0</v>
      </c>
      <c r="J157" s="32">
        <f>SUM(J155:J156)</f>
        <v>-138942947.56009629</v>
      </c>
      <c r="K157" s="32">
        <f t="shared" ref="K157:AF157" si="142">SUM(K155:K156)</f>
        <v>0</v>
      </c>
      <c r="L157" s="32">
        <f t="shared" si="142"/>
        <v>0</v>
      </c>
      <c r="M157" s="32">
        <f t="shared" si="142"/>
        <v>-61148188.197523512</v>
      </c>
      <c r="N157" s="32">
        <f t="shared" si="142"/>
        <v>0</v>
      </c>
      <c r="O157" s="32">
        <f t="shared" si="142"/>
        <v>0</v>
      </c>
      <c r="P157" s="32">
        <f t="shared" si="142"/>
        <v>-59863932.992583543</v>
      </c>
      <c r="Q157" s="32">
        <f t="shared" si="142"/>
        <v>0</v>
      </c>
      <c r="R157" s="32">
        <f t="shared" si="142"/>
        <v>0</v>
      </c>
      <c r="S157" s="32">
        <f t="shared" si="142"/>
        <v>-59866750.696981542</v>
      </c>
      <c r="T157" s="32">
        <f t="shared" si="142"/>
        <v>0</v>
      </c>
      <c r="U157" s="32">
        <f t="shared" si="142"/>
        <v>0</v>
      </c>
      <c r="V157" s="32">
        <f t="shared" si="142"/>
        <v>-59868158.70698154</v>
      </c>
      <c r="W157" s="32">
        <f t="shared" si="142"/>
        <v>0</v>
      </c>
      <c r="X157" s="32">
        <f t="shared" si="142"/>
        <v>0</v>
      </c>
      <c r="Y157" s="32">
        <f t="shared" si="142"/>
        <v>-59868158.70698154</v>
      </c>
      <c r="Z157" s="32">
        <f t="shared" si="142"/>
        <v>0</v>
      </c>
      <c r="AA157" s="32">
        <f t="shared" si="142"/>
        <v>0</v>
      </c>
      <c r="AB157" s="32">
        <f t="shared" si="142"/>
        <v>-10468290.269019108</v>
      </c>
      <c r="AC157" s="32">
        <f t="shared" si="142"/>
        <v>0</v>
      </c>
      <c r="AD157" s="32">
        <f t="shared" si="142"/>
        <v>0</v>
      </c>
      <c r="AE157" s="32">
        <f t="shared" si="142"/>
        <v>-10468290.269019108</v>
      </c>
      <c r="AF157" s="32">
        <f t="shared" si="142"/>
        <v>0</v>
      </c>
      <c r="AG157" s="32">
        <f>SUM(AG155:AG156)</f>
        <v>0</v>
      </c>
      <c r="AH157" s="32">
        <f>SUM(AH155:AH156)</f>
        <v>-10468290.269019108</v>
      </c>
      <c r="AI157" s="32">
        <f>SUM(AI155:AI156)</f>
        <v>0</v>
      </c>
      <c r="AJ157" s="32">
        <f>SUM(AJ155:AJ156)</f>
        <v>0</v>
      </c>
      <c r="AK157" s="32">
        <f>SUM(AK155:AK156)</f>
        <v>-10468290.269019108</v>
      </c>
    </row>
    <row r="158" spans="1:37" x14ac:dyDescent="0.15">
      <c r="H158" s="131">
        <v>0.21</v>
      </c>
      <c r="I158" s="131">
        <v>0.21</v>
      </c>
      <c r="J158" s="131">
        <v>0.21</v>
      </c>
      <c r="K158" s="131">
        <v>0.21</v>
      </c>
      <c r="L158" s="131">
        <v>0.21</v>
      </c>
      <c r="M158" s="131">
        <v>0.21</v>
      </c>
      <c r="N158" s="131">
        <v>0.21</v>
      </c>
      <c r="O158" s="131">
        <v>0.21</v>
      </c>
      <c r="P158" s="131">
        <v>0.21</v>
      </c>
      <c r="Q158" s="131">
        <v>0.21</v>
      </c>
      <c r="R158" s="131">
        <v>0.21</v>
      </c>
      <c r="S158" s="131">
        <v>0.21</v>
      </c>
      <c r="T158" s="131">
        <v>0.21</v>
      </c>
      <c r="U158" s="131">
        <v>0.21</v>
      </c>
      <c r="V158" s="131">
        <v>0.21</v>
      </c>
      <c r="W158" s="131">
        <v>0.21</v>
      </c>
      <c r="X158" s="131">
        <v>0.21</v>
      </c>
      <c r="Y158" s="131">
        <v>0.21</v>
      </c>
      <c r="Z158" s="131">
        <v>0.21</v>
      </c>
      <c r="AA158" s="131">
        <v>0.21</v>
      </c>
      <c r="AB158" s="131">
        <v>0.21</v>
      </c>
      <c r="AC158" s="131">
        <v>0.21</v>
      </c>
      <c r="AD158" s="131">
        <v>0.21</v>
      </c>
      <c r="AE158" s="131">
        <v>0.21</v>
      </c>
      <c r="AF158" s="131">
        <v>0.21</v>
      </c>
      <c r="AG158" s="131">
        <v>0.21</v>
      </c>
      <c r="AH158" s="131">
        <v>0.21</v>
      </c>
      <c r="AI158" s="131">
        <v>0.21</v>
      </c>
      <c r="AJ158" s="131">
        <v>0.21</v>
      </c>
      <c r="AK158" s="131">
        <v>0.21</v>
      </c>
    </row>
    <row r="159" spans="1:37" x14ac:dyDescent="0.15">
      <c r="H159" s="32">
        <f>+H157*H158</f>
        <v>0</v>
      </c>
      <c r="I159" s="32">
        <f>+I157*I158</f>
        <v>0</v>
      </c>
      <c r="J159" s="32">
        <f t="shared" ref="J159:AF159" si="143">+J157*J158</f>
        <v>-29178018.98762022</v>
      </c>
      <c r="K159" s="32">
        <f t="shared" si="143"/>
        <v>0</v>
      </c>
      <c r="L159" s="32">
        <f t="shared" si="143"/>
        <v>0</v>
      </c>
      <c r="M159" s="32">
        <f t="shared" si="143"/>
        <v>-12841119.521479936</v>
      </c>
      <c r="N159" s="32">
        <f t="shared" si="143"/>
        <v>0</v>
      </c>
      <c r="O159" s="32">
        <f t="shared" si="143"/>
        <v>0</v>
      </c>
      <c r="P159" s="32">
        <f t="shared" si="143"/>
        <v>-12571425.928442543</v>
      </c>
      <c r="Q159" s="32">
        <f t="shared" si="143"/>
        <v>0</v>
      </c>
      <c r="R159" s="32">
        <f t="shared" si="143"/>
        <v>0</v>
      </c>
      <c r="S159" s="32">
        <f t="shared" si="143"/>
        <v>-12572017.646366123</v>
      </c>
      <c r="T159" s="32">
        <f t="shared" si="143"/>
        <v>0</v>
      </c>
      <c r="U159" s="32">
        <f t="shared" si="143"/>
        <v>0</v>
      </c>
      <c r="V159" s="32">
        <f t="shared" si="143"/>
        <v>-12572313.328466123</v>
      </c>
      <c r="W159" s="32">
        <f t="shared" si="143"/>
        <v>0</v>
      </c>
      <c r="X159" s="32">
        <f t="shared" si="143"/>
        <v>0</v>
      </c>
      <c r="Y159" s="32">
        <f t="shared" si="143"/>
        <v>-12572313.328466123</v>
      </c>
      <c r="Z159" s="32">
        <f t="shared" si="143"/>
        <v>0</v>
      </c>
      <c r="AA159" s="32">
        <f t="shared" si="143"/>
        <v>0</v>
      </c>
      <c r="AB159" s="32">
        <f t="shared" si="143"/>
        <v>-2198340.9564940128</v>
      </c>
      <c r="AC159" s="32">
        <f t="shared" si="143"/>
        <v>0</v>
      </c>
      <c r="AD159" s="32">
        <f t="shared" si="143"/>
        <v>0</v>
      </c>
      <c r="AE159" s="32">
        <f t="shared" si="143"/>
        <v>-2198340.9564940128</v>
      </c>
      <c r="AF159" s="32">
        <f t="shared" si="143"/>
        <v>0</v>
      </c>
      <c r="AG159" s="32">
        <f>+AG157*AG158</f>
        <v>0</v>
      </c>
      <c r="AH159" s="32">
        <f>+AH157*AH158</f>
        <v>-2198340.9564940128</v>
      </c>
      <c r="AI159" s="32">
        <f>+AI157*AI158</f>
        <v>0</v>
      </c>
      <c r="AJ159" s="32">
        <f>+AJ157*AJ158</f>
        <v>0</v>
      </c>
      <c r="AK159" s="32">
        <f>+AK157*AK158</f>
        <v>-2198340.9564940128</v>
      </c>
    </row>
    <row r="160" spans="1:37" x14ac:dyDescent="0.15">
      <c r="A160" s="24" t="s">
        <v>97</v>
      </c>
      <c r="H160" s="32"/>
      <c r="I160" s="32">
        <f>-'KU Provision'!B104/4*1000</f>
        <v>0</v>
      </c>
      <c r="J160" s="32">
        <f>-'Income Tax Detail - Monthly'!J74*1000-'Income Tax Detail - Monthly'!J75*1000-13236-3</f>
        <v>226079.572426673</v>
      </c>
      <c r="K160" s="32">
        <f>-'Income Tax Detail - Monthly'!K74*1000-'Income Tax Detail - Monthly'!K75*1000</f>
        <v>0</v>
      </c>
      <c r="L160" s="32">
        <f>-'Income Tax Detail - Monthly'!L74*1000-'Income Tax Detail - Monthly'!L75*1000</f>
        <v>0</v>
      </c>
      <c r="M160" s="32">
        <f>-'Income Tax Detail - Monthly'!M74*1000-'Income Tax Detail - Monthly'!M75*1000</f>
        <v>-580634.86797429505</v>
      </c>
      <c r="N160" s="32">
        <f>-'Income Tax Detail - Monthly'!N74*1000-'Income Tax Detail - Monthly'!N75*1000</f>
        <v>0</v>
      </c>
      <c r="O160" s="32">
        <f>-'Income Tax Detail - Monthly'!O74*1000-'Income Tax Detail - Monthly'!O75*1000</f>
        <v>0</v>
      </c>
      <c r="P160" s="32">
        <f>-'Income Tax Detail - Monthly'!P74*1000-'Income Tax Detail - Monthly'!P75*1000</f>
        <v>1891375.6144963799</v>
      </c>
      <c r="Q160" s="32">
        <f>-'Income Tax Detail - Monthly'!Q74*1000-'Income Tax Detail - Monthly'!Q75*1000</f>
        <v>0</v>
      </c>
      <c r="R160" s="32">
        <f>-'Income Tax Detail - Monthly'!R74*1000-'Income Tax Detail - Monthly'!R75*1000</f>
        <v>0</v>
      </c>
      <c r="S160" s="32">
        <f>-'Income Tax Detail - Monthly'!S74*1000-'Income Tax Detail - Monthly'!S75*1000</f>
        <v>-1283191.5299712</v>
      </c>
      <c r="T160" s="32">
        <f>-'Income Tax Detail - Monthly'!T74*1000-'Income Tax Detail - Monthly'!T75*1000</f>
        <v>0</v>
      </c>
      <c r="U160" s="32">
        <f>-'Income Tax Detail - Monthly'!U74*1000-'Income Tax Detail - Monthly'!U75*1000</f>
        <v>0</v>
      </c>
      <c r="V160" s="32">
        <f>-'Income Tax Detail - Monthly'!V74*1000-'Income Tax Detail - Monthly'!V75*1000</f>
        <v>464328.84713009099</v>
      </c>
      <c r="W160" s="32">
        <f>-'Income Tax Detail - Monthly'!W74*1000-'Income Tax Detail - Monthly'!W75*1000</f>
        <v>0</v>
      </c>
      <c r="X160" s="32">
        <f>-'Income Tax Detail - Monthly'!X74*1000-'Income Tax Detail - Monthly'!X75*1000</f>
        <v>0</v>
      </c>
      <c r="Y160" s="32">
        <f>-'Income Tax Detail - Monthly'!Y74*1000-'Income Tax Detail - Monthly'!Y75*1000</f>
        <v>-1072512.93165526</v>
      </c>
      <c r="Z160" s="32">
        <f>-'Income Tax Detail - Monthly'!Z74*1000-'Income Tax Detail - Monthly'!Z75*1000</f>
        <v>0</v>
      </c>
      <c r="AA160" s="32">
        <f>-'Income Tax Detail - Monthly'!AA74*1000-'Income Tax Detail - Monthly'!AA75*1000</f>
        <v>0</v>
      </c>
      <c r="AB160" s="32">
        <f>-'Income Tax Detail - Monthly'!AB74*1000-'Income Tax Detail - Monthly'!AB75*1000</f>
        <v>2452861.6247357097</v>
      </c>
      <c r="AC160" s="32">
        <f>-'Income Tax Detail - Monthly'!AC74*1000-'Income Tax Detail - Monthly'!AC75*1000</f>
        <v>-561486.00951267802</v>
      </c>
      <c r="AD160" s="32">
        <f>-'Income Tax Detail - Monthly'!AD74*1000-'Income Tax Detail - Monthly'!AD75*1000</f>
        <v>561486.00951267802</v>
      </c>
      <c r="AE160" s="32">
        <f>-'Income Tax Detail - Monthly'!AE74*1000-'Income Tax Detail - Monthly'!AE75*1000</f>
        <v>-2061823.0861084298</v>
      </c>
      <c r="AF160" s="32">
        <f>-'Income Tax Detail - Monthly'!AF74*1000-'Income Tax Detail - Monthly'!AF75*1000</f>
        <v>0</v>
      </c>
      <c r="AG160" s="32">
        <f>-'Income Tax Detail - Monthly'!AG74*1000-'Income Tax Detail - Monthly'!AG75*1000</f>
        <v>0</v>
      </c>
      <c r="AH160" s="32">
        <f>-'Income Tax Detail - Monthly'!AH74*1000-'Income Tax Detail - Monthly'!AH75*1000</f>
        <v>956888.74925835896</v>
      </c>
      <c r="AI160" s="32">
        <f>-'Income Tax Detail - Monthly'!AI74*1000-'Income Tax Detail - Monthly'!AI75*1000</f>
        <v>0</v>
      </c>
      <c r="AJ160" s="32">
        <f>-'Income Tax Detail - Monthly'!AJ74*1000-'Income Tax Detail - Monthly'!AJ75*1000</f>
        <v>0</v>
      </c>
      <c r="AK160" s="32">
        <f>-'Income Tax Detail - Monthly'!AK74*1000-'Income Tax Detail - Monthly'!AK75*1000</f>
        <v>-1347927.28788563</v>
      </c>
    </row>
    <row r="161" spans="1:37" x14ac:dyDescent="0.15">
      <c r="A161" s="24" t="s">
        <v>322</v>
      </c>
      <c r="H161" s="32"/>
      <c r="I161" s="32">
        <f>-'KU Provision'!B105/4*1000</f>
        <v>0</v>
      </c>
      <c r="J161" s="32">
        <f>-'KU Provision'!C105/4*1000+-'KU Provision'!C107/4*1000</f>
        <v>-1390853.5</v>
      </c>
      <c r="M161" s="32">
        <f>+J161</f>
        <v>-1390853.5</v>
      </c>
      <c r="P161" s="32">
        <f>-'KU Provision'!D105/4*1000</f>
        <v>0</v>
      </c>
      <c r="S161" s="32">
        <f>+P161</f>
        <v>0</v>
      </c>
      <c r="V161" s="32">
        <f>+S161</f>
        <v>0</v>
      </c>
      <c r="Y161" s="32">
        <f>+V161</f>
        <v>0</v>
      </c>
      <c r="AC161" s="32">
        <f>-'KU Provision'!E105/4*1000</f>
        <v>0</v>
      </c>
      <c r="AF161" s="32">
        <f>+AC161</f>
        <v>0</v>
      </c>
      <c r="AI161" s="32">
        <f>+AF161</f>
        <v>0</v>
      </c>
    </row>
    <row r="162" spans="1:37" x14ac:dyDescent="0.15">
      <c r="A162" s="24" t="s">
        <v>83</v>
      </c>
      <c r="H162" s="32"/>
      <c r="I162" s="32">
        <f>-'KU Provision'!B108/4*1000+I208*0.21</f>
        <v>0</v>
      </c>
      <c r="J162" s="32">
        <f>+'Reg Asset and Liab 2018-2020'!K64</f>
        <v>2337707.3402110985</v>
      </c>
      <c r="M162" s="32">
        <f>+'Reg Asset and Liab 2018-2020'!N64</f>
        <v>2618395.9635685878</v>
      </c>
      <c r="N162" s="32">
        <f>+'Reg Asset and Liab 2018-2020'!O64</f>
        <v>0</v>
      </c>
      <c r="O162" s="32">
        <f>+'Reg Asset and Liab 2018-2020'!P64</f>
        <v>0</v>
      </c>
      <c r="P162" s="32">
        <f>+'Reg Asset and Liab 2018-2020'!Q64-592</f>
        <v>3809647.0420500007</v>
      </c>
      <c r="Q162" s="32">
        <f>+'Reg Asset and Liab 2018-2020'!R64</f>
        <v>1300872.1985141668</v>
      </c>
      <c r="R162" s="32">
        <f>+'Reg Asset and Liab 2018-2020'!S64</f>
        <v>0</v>
      </c>
      <c r="S162" s="32">
        <f>+'Reg Asset and Liab 2018-2020'!T64</f>
        <v>2516676.843535834</v>
      </c>
      <c r="T162" s="32">
        <f>+'Reg Asset and Liab 2018-2020'!U64</f>
        <v>0</v>
      </c>
      <c r="U162" s="32">
        <f>+'Reg Asset and Liab 2018-2020'!V64</f>
        <v>0</v>
      </c>
      <c r="V162" s="32">
        <f>+'Reg Asset and Liab 2018-2020'!W64+296</f>
        <v>3821501.0420500007</v>
      </c>
      <c r="W162" s="32">
        <f>+'Reg Asset and Liab 2018-2020'!X64</f>
        <v>0</v>
      </c>
      <c r="X162" s="32">
        <f>+'Reg Asset and Liab 2018-2020'!Y64</f>
        <v>0</v>
      </c>
      <c r="Y162" s="32">
        <f>+'Reg Asset and Liab 2018-2020'!Z64+296</f>
        <v>3821500.5759928524</v>
      </c>
      <c r="Z162" s="32">
        <f>+'Reg Asset and Liab 2018-2020'!AA64</f>
        <v>0</v>
      </c>
      <c r="AA162" s="32">
        <f>+'Reg Asset and Liab 2018-2020'!AB64</f>
        <v>0</v>
      </c>
      <c r="AB162" s="32">
        <f>+'Reg Asset and Liab 2018-2020'!AC64</f>
        <v>4640893.2295313766</v>
      </c>
      <c r="AC162" s="32">
        <f>+'Reg Asset and Liab 2018-2020'!AD64</f>
        <v>1585378.9663979176</v>
      </c>
      <c r="AD162" s="32">
        <f>+'Reg Asset and Liab 2018-2020'!AE64</f>
        <v>0</v>
      </c>
      <c r="AE162" s="32">
        <f>+'Reg Asset and Liab 2018-2020'!AF64</f>
        <v>3055514.2631334588</v>
      </c>
      <c r="AF162" s="32">
        <f>+'Reg Asset and Liab 2018-2020'!AG64</f>
        <v>0</v>
      </c>
      <c r="AG162" s="32">
        <f>+'Reg Asset and Liab 2018-2020'!AH64</f>
        <v>0</v>
      </c>
      <c r="AH162" s="32">
        <f>+'Reg Asset and Liab 2018-2020'!AI64</f>
        <v>4640893.2295313766</v>
      </c>
      <c r="AI162" s="32">
        <f>+'Reg Asset and Liab 2018-2020'!AJ64</f>
        <v>0</v>
      </c>
      <c r="AJ162" s="32">
        <f>+'Reg Asset and Liab 2018-2020'!AK64</f>
        <v>0</v>
      </c>
      <c r="AK162" s="32">
        <f>+'Reg Asset and Liab 2018-2020'!AL64</f>
        <v>4640893.2295313766</v>
      </c>
    </row>
    <row r="163" spans="1:37" x14ac:dyDescent="0.15">
      <c r="A163" s="24" t="s">
        <v>84</v>
      </c>
      <c r="H163" s="130">
        <f>-'Income Tax Detail - Monthly'!H65*1000-8144</f>
        <v>-42348.397499999897</v>
      </c>
      <c r="I163" s="130">
        <f>-'Income Tax Detail - Monthly'!I65*1000-8144</f>
        <v>-42348.397499999897</v>
      </c>
      <c r="J163" s="130">
        <f>-'Income Tax Detail - Monthly'!J65*1000+8144*2</f>
        <v>-24489.147499999897</v>
      </c>
      <c r="K163" s="130">
        <f>-'Income Tax Detail - Monthly'!K65*1000-8143.904166</f>
        <v>-42348.301665999898</v>
      </c>
      <c r="L163" s="130">
        <f>-'Income Tax Detail - Monthly'!L65*1000-8143.904166</f>
        <v>-42348.301665999898</v>
      </c>
      <c r="M163" s="130">
        <f>-'Income Tax Detail - Monthly'!M65*1000+8143.904166*2</f>
        <v>-24489.339167999897</v>
      </c>
      <c r="N163" s="130">
        <f>-'Income Tax Detail - Monthly'!N65*1000-8143.904166</f>
        <v>-42348.301665999898</v>
      </c>
      <c r="O163" s="130">
        <f>-'Income Tax Detail - Monthly'!O65*1000-8143.904166</f>
        <v>-42348.301665999898</v>
      </c>
      <c r="P163" s="130">
        <f>-'Income Tax Detail - Monthly'!P65*1000+8143.904166*2</f>
        <v>-24489.339167999897</v>
      </c>
      <c r="Q163" s="130">
        <f>-'Income Tax Detail - Monthly'!Q65*1000-8143.904166</f>
        <v>-42348.301665999898</v>
      </c>
      <c r="R163" s="130">
        <f>-'Income Tax Detail - Monthly'!R65*1000-6735</f>
        <v>-35023.207499999997</v>
      </c>
      <c r="S163" s="130">
        <f>-'Income Tax Detail - Monthly'!S65*1000+6735+8144</f>
        <v>-19981.957499999997</v>
      </c>
      <c r="T163" s="130">
        <f>-'Income Tax Detail - Monthly'!T65*1000-6735.33</f>
        <v>-35023.537499999999</v>
      </c>
      <c r="U163" s="130">
        <f>-'Income Tax Detail - Monthly'!U65*1000-6735.33</f>
        <v>-35023.537499999999</v>
      </c>
      <c r="V163" s="130">
        <f>-'Income Tax Detail - Monthly'!V65*1000+6735.33*2</f>
        <v>-21390.297499999997</v>
      </c>
      <c r="W163" s="130">
        <f>-'Income Tax Detail - Monthly'!W65*1000-6735.33</f>
        <v>-35023.537499999999</v>
      </c>
      <c r="X163" s="130">
        <f>-'Income Tax Detail - Monthly'!X65*1000-6735.33</f>
        <v>-35023.537499999999</v>
      </c>
      <c r="Y163" s="130">
        <f>-'Income Tax Detail - Monthly'!Y65*1000+6735.33*2</f>
        <v>-21390.297499999997</v>
      </c>
      <c r="Z163" s="130">
        <f>-'Income Tax Detail - Monthly'!Z65*1000-6735.33</f>
        <v>-35023.537499999999</v>
      </c>
      <c r="AA163" s="130">
        <f>-'Income Tax Detail - Monthly'!AA65*1000-6735.33</f>
        <v>-35023.537499999999</v>
      </c>
      <c r="AB163" s="130">
        <f>-'Income Tax Detail - Monthly'!AB65*1000+6735.33*2</f>
        <v>-21390.297499999997</v>
      </c>
      <c r="AC163" s="130">
        <f>-'Income Tax Detail - Monthly'!AC65*1000-6735.33</f>
        <v>-35023.537499999999</v>
      </c>
      <c r="AD163" s="130">
        <f>-'Income Tax Detail - Monthly'!AD65*1000-6735.33</f>
        <v>-35023.537499999999</v>
      </c>
      <c r="AE163" s="130">
        <f>-'Income Tax Detail - Monthly'!AE65*1000+6735.33*2</f>
        <v>-21390.297499999997</v>
      </c>
      <c r="AF163" s="130">
        <f>-'Income Tax Detail - Monthly'!AF65*1000-6735.33</f>
        <v>-35023.537499999999</v>
      </c>
      <c r="AG163" s="130">
        <f>-'Income Tax Detail - Monthly'!AG65*1000-6735.33</f>
        <v>-35023.537499999999</v>
      </c>
      <c r="AH163" s="130">
        <f>-'Income Tax Detail - Monthly'!AH65*1000+6735.33*2</f>
        <v>-21390.297499999997</v>
      </c>
      <c r="AI163" s="130">
        <f>-'Income Tax Detail - Monthly'!AI65*1000-6735.33</f>
        <v>-35023.537499999999</v>
      </c>
      <c r="AJ163" s="130">
        <f>-'Income Tax Detail - Monthly'!AJ65*1000-6735.33</f>
        <v>-35023.537499999999</v>
      </c>
      <c r="AK163" s="130">
        <f>-'Income Tax Detail - Monthly'!AK65*1000+6735.33*2</f>
        <v>-21390.297499999997</v>
      </c>
    </row>
    <row r="164" spans="1:37" x14ac:dyDescent="0.15">
      <c r="H164" s="32">
        <f>SUM(H159:H163)</f>
        <v>-42348.397499999897</v>
      </c>
      <c r="I164" s="32">
        <f>SUM(I159:I163)</f>
        <v>-42348.397499999897</v>
      </c>
      <c r="J164" s="32">
        <f>SUM(J159:J163)</f>
        <v>-28029574.72248245</v>
      </c>
      <c r="K164" s="32">
        <f t="shared" ref="K164:AF164" si="144">SUM(K159:K163)</f>
        <v>-42348.301665999898</v>
      </c>
      <c r="L164" s="32">
        <f t="shared" si="144"/>
        <v>-42348.301665999898</v>
      </c>
      <c r="M164" s="32">
        <f t="shared" si="144"/>
        <v>-12218701.265053643</v>
      </c>
      <c r="N164" s="32">
        <f t="shared" si="144"/>
        <v>-42348.301665999898</v>
      </c>
      <c r="O164" s="32">
        <f t="shared" si="144"/>
        <v>-42348.301665999898</v>
      </c>
      <c r="P164" s="32">
        <f t="shared" si="144"/>
        <v>-6894892.611064163</v>
      </c>
      <c r="Q164" s="32">
        <f t="shared" si="144"/>
        <v>1258523.8968481668</v>
      </c>
      <c r="R164" s="32">
        <f t="shared" si="144"/>
        <v>-35023.207499999997</v>
      </c>
      <c r="S164" s="32">
        <f t="shared" si="144"/>
        <v>-11358514.290301491</v>
      </c>
      <c r="T164" s="32">
        <f t="shared" si="144"/>
        <v>-35023.537499999999</v>
      </c>
      <c r="U164" s="32">
        <f t="shared" si="144"/>
        <v>-35023.537499999999</v>
      </c>
      <c r="V164" s="32">
        <f t="shared" si="144"/>
        <v>-8307873.7367860312</v>
      </c>
      <c r="W164" s="32">
        <f t="shared" si="144"/>
        <v>-35023.537499999999</v>
      </c>
      <c r="X164" s="32">
        <f t="shared" si="144"/>
        <v>-35023.537499999999</v>
      </c>
      <c r="Y164" s="32">
        <f t="shared" si="144"/>
        <v>-9844715.9816285297</v>
      </c>
      <c r="Z164" s="32">
        <f t="shared" si="144"/>
        <v>-35023.537499999999</v>
      </c>
      <c r="AA164" s="32">
        <f t="shared" si="144"/>
        <v>-35023.537499999999</v>
      </c>
      <c r="AB164" s="32">
        <f t="shared" si="144"/>
        <v>4874023.6002730737</v>
      </c>
      <c r="AC164" s="32">
        <f t="shared" si="144"/>
        <v>988869.4193852396</v>
      </c>
      <c r="AD164" s="32">
        <f t="shared" si="144"/>
        <v>526462.47201267804</v>
      </c>
      <c r="AE164" s="32">
        <f t="shared" si="144"/>
        <v>-1226040.0769689835</v>
      </c>
      <c r="AF164" s="32">
        <f t="shared" si="144"/>
        <v>-35023.537499999999</v>
      </c>
      <c r="AG164" s="32">
        <f>SUM(AG159:AG163)</f>
        <v>-35023.537499999999</v>
      </c>
      <c r="AH164" s="32">
        <f>SUM(AH159:AH163)</f>
        <v>3378050.7247957229</v>
      </c>
      <c r="AI164" s="32">
        <f>SUM(AI159:AI163)</f>
        <v>-35023.537499999999</v>
      </c>
      <c r="AJ164" s="32">
        <f>SUM(AJ159:AJ163)</f>
        <v>-35023.537499999999</v>
      </c>
      <c r="AK164" s="32">
        <f>SUM(AK159:AK163)</f>
        <v>1073234.6876517336</v>
      </c>
    </row>
    <row r="165" spans="1:37" x14ac:dyDescent="0.15">
      <c r="H165" s="32"/>
      <c r="J165" s="132"/>
    </row>
    <row r="166" spans="1:37" x14ac:dyDescent="0.15">
      <c r="A166" s="24" t="s">
        <v>33</v>
      </c>
      <c r="H166" s="128">
        <f t="shared" ref="H166:AK166" si="145">+H114</f>
        <v>0</v>
      </c>
      <c r="I166" s="128">
        <f t="shared" si="145"/>
        <v>0</v>
      </c>
      <c r="J166" s="128">
        <f t="shared" si="145"/>
        <v>54887.91</v>
      </c>
      <c r="K166" s="128">
        <f t="shared" si="145"/>
        <v>0</v>
      </c>
      <c r="L166" s="128">
        <f t="shared" si="145"/>
        <v>0</v>
      </c>
      <c r="M166" s="128">
        <f t="shared" si="145"/>
        <v>54887.91</v>
      </c>
      <c r="N166" s="128">
        <f t="shared" si="145"/>
        <v>0</v>
      </c>
      <c r="O166" s="128">
        <f t="shared" si="145"/>
        <v>0</v>
      </c>
      <c r="P166" s="128">
        <f t="shared" si="145"/>
        <v>39406.710000000028</v>
      </c>
      <c r="Q166" s="128">
        <f t="shared" si="145"/>
        <v>0</v>
      </c>
      <c r="R166" s="128">
        <f t="shared" si="145"/>
        <v>0</v>
      </c>
      <c r="S166" s="128">
        <f t="shared" si="145"/>
        <v>39406.710000000028</v>
      </c>
      <c r="T166" s="128">
        <f t="shared" si="145"/>
        <v>0</v>
      </c>
      <c r="U166" s="128">
        <f t="shared" si="145"/>
        <v>0</v>
      </c>
      <c r="V166" s="128">
        <f t="shared" si="145"/>
        <v>39406.710000000028</v>
      </c>
      <c r="W166" s="128">
        <f t="shared" si="145"/>
        <v>0</v>
      </c>
      <c r="X166" s="128">
        <f t="shared" si="145"/>
        <v>0</v>
      </c>
      <c r="Y166" s="128">
        <f t="shared" si="145"/>
        <v>39406.710000000028</v>
      </c>
      <c r="Z166" s="128">
        <f t="shared" si="145"/>
        <v>0</v>
      </c>
      <c r="AA166" s="128">
        <f t="shared" si="145"/>
        <v>0</v>
      </c>
      <c r="AB166" s="128">
        <f t="shared" si="145"/>
        <v>31666.110000000008</v>
      </c>
      <c r="AC166" s="128">
        <f t="shared" si="145"/>
        <v>0</v>
      </c>
      <c r="AD166" s="128">
        <f t="shared" si="145"/>
        <v>0</v>
      </c>
      <c r="AE166" s="128">
        <f t="shared" si="145"/>
        <v>31666.110000000008</v>
      </c>
      <c r="AF166" s="128">
        <f t="shared" si="145"/>
        <v>0</v>
      </c>
      <c r="AG166" s="128">
        <f t="shared" si="145"/>
        <v>0</v>
      </c>
      <c r="AH166" s="128">
        <f t="shared" si="145"/>
        <v>31666.110000000008</v>
      </c>
      <c r="AI166" s="128">
        <f t="shared" si="145"/>
        <v>0</v>
      </c>
      <c r="AJ166" s="128">
        <f t="shared" si="145"/>
        <v>0</v>
      </c>
      <c r="AK166" s="128">
        <f t="shared" si="145"/>
        <v>31666.110000000008</v>
      </c>
    </row>
    <row r="167" spans="1:37" x14ac:dyDescent="0.15">
      <c r="A167" s="24" t="s">
        <v>34</v>
      </c>
      <c r="H167" s="128">
        <f t="shared" ref="H167:AK167" si="146">+H115</f>
        <v>0</v>
      </c>
      <c r="I167" s="128">
        <f t="shared" si="146"/>
        <v>0</v>
      </c>
      <c r="J167" s="128">
        <f t="shared" si="146"/>
        <v>1430918.9399999978</v>
      </c>
      <c r="K167" s="128">
        <f t="shared" si="146"/>
        <v>0</v>
      </c>
      <c r="L167" s="128">
        <f t="shared" si="146"/>
        <v>0</v>
      </c>
      <c r="M167" s="128">
        <f t="shared" si="146"/>
        <v>1430918.9399999978</v>
      </c>
      <c r="N167" s="128">
        <f t="shared" si="146"/>
        <v>0</v>
      </c>
      <c r="O167" s="128">
        <f t="shared" si="146"/>
        <v>0</v>
      </c>
      <c r="P167" s="128">
        <f t="shared" si="146"/>
        <v>1027326.4799999993</v>
      </c>
      <c r="Q167" s="128">
        <f t="shared" si="146"/>
        <v>0</v>
      </c>
      <c r="R167" s="128">
        <f t="shared" si="146"/>
        <v>0</v>
      </c>
      <c r="S167" s="128">
        <f t="shared" si="146"/>
        <v>1027326.4799999993</v>
      </c>
      <c r="T167" s="128">
        <f t="shared" si="146"/>
        <v>0</v>
      </c>
      <c r="U167" s="128">
        <f t="shared" si="146"/>
        <v>0</v>
      </c>
      <c r="V167" s="128">
        <f t="shared" si="146"/>
        <v>1027326.4799999993</v>
      </c>
      <c r="W167" s="128">
        <f t="shared" si="146"/>
        <v>0</v>
      </c>
      <c r="X167" s="128">
        <f t="shared" si="146"/>
        <v>0</v>
      </c>
      <c r="Y167" s="128">
        <f t="shared" si="146"/>
        <v>1027326.4799999993</v>
      </c>
      <c r="Z167" s="128">
        <f t="shared" si="146"/>
        <v>0</v>
      </c>
      <c r="AA167" s="128">
        <f t="shared" si="146"/>
        <v>0</v>
      </c>
      <c r="AB167" s="128">
        <f t="shared" si="146"/>
        <v>825530.24999999977</v>
      </c>
      <c r="AC167" s="128">
        <f t="shared" si="146"/>
        <v>0</v>
      </c>
      <c r="AD167" s="128">
        <f t="shared" si="146"/>
        <v>0</v>
      </c>
      <c r="AE167" s="128">
        <f t="shared" si="146"/>
        <v>825530.24999999977</v>
      </c>
      <c r="AF167" s="128">
        <f t="shared" si="146"/>
        <v>0</v>
      </c>
      <c r="AG167" s="128">
        <f t="shared" si="146"/>
        <v>0</v>
      </c>
      <c r="AH167" s="128">
        <f t="shared" si="146"/>
        <v>825530.24999999977</v>
      </c>
      <c r="AI167" s="128">
        <f t="shared" si="146"/>
        <v>0</v>
      </c>
      <c r="AJ167" s="128">
        <f t="shared" si="146"/>
        <v>0</v>
      </c>
      <c r="AK167" s="128">
        <f t="shared" si="146"/>
        <v>825530.24999999977</v>
      </c>
    </row>
    <row r="168" spans="1:37" x14ac:dyDescent="0.15">
      <c r="A168" s="24" t="s">
        <v>140</v>
      </c>
      <c r="H168" s="128">
        <f t="shared" ref="H168:AK168" si="147">+H116</f>
        <v>0</v>
      </c>
      <c r="I168" s="128">
        <f t="shared" si="147"/>
        <v>0</v>
      </c>
      <c r="J168" s="128">
        <f t="shared" si="147"/>
        <v>-56488.615034850474</v>
      </c>
      <c r="K168" s="128">
        <f t="shared" si="147"/>
        <v>0</v>
      </c>
      <c r="L168" s="128">
        <f t="shared" si="147"/>
        <v>0</v>
      </c>
      <c r="M168" s="128">
        <f t="shared" si="147"/>
        <v>-56488.615034850474</v>
      </c>
      <c r="N168" s="128">
        <f t="shared" si="147"/>
        <v>0</v>
      </c>
      <c r="O168" s="128">
        <f t="shared" si="147"/>
        <v>0</v>
      </c>
      <c r="P168" s="128">
        <f t="shared" si="147"/>
        <v>-2333.582096947413</v>
      </c>
      <c r="Q168" s="128">
        <f t="shared" si="147"/>
        <v>0</v>
      </c>
      <c r="R168" s="128">
        <f t="shared" si="147"/>
        <v>0</v>
      </c>
      <c r="S168" s="128">
        <f t="shared" si="147"/>
        <v>-2333.582096947413</v>
      </c>
      <c r="T168" s="128">
        <f t="shared" si="147"/>
        <v>0</v>
      </c>
      <c r="U168" s="128">
        <f t="shared" si="147"/>
        <v>0</v>
      </c>
      <c r="V168" s="128">
        <f t="shared" si="147"/>
        <v>-2333.582096947413</v>
      </c>
      <c r="W168" s="128">
        <f t="shared" si="147"/>
        <v>0</v>
      </c>
      <c r="X168" s="128">
        <f t="shared" si="147"/>
        <v>0</v>
      </c>
      <c r="Y168" s="128">
        <f t="shared" si="147"/>
        <v>-2333.582096947413</v>
      </c>
      <c r="Z168" s="128">
        <f t="shared" si="147"/>
        <v>0</v>
      </c>
      <c r="AA168" s="128">
        <f t="shared" si="147"/>
        <v>0</v>
      </c>
      <c r="AB168" s="128">
        <f t="shared" si="147"/>
        <v>-81.791200948120633</v>
      </c>
      <c r="AC168" s="128">
        <f t="shared" si="147"/>
        <v>0</v>
      </c>
      <c r="AD168" s="128">
        <f t="shared" si="147"/>
        <v>0</v>
      </c>
      <c r="AE168" s="128">
        <f t="shared" si="147"/>
        <v>-81.791200948120633</v>
      </c>
      <c r="AF168" s="128">
        <f t="shared" si="147"/>
        <v>0</v>
      </c>
      <c r="AG168" s="128">
        <f t="shared" si="147"/>
        <v>0</v>
      </c>
      <c r="AH168" s="128">
        <f t="shared" si="147"/>
        <v>-81.791200948120633</v>
      </c>
      <c r="AI168" s="128">
        <f t="shared" si="147"/>
        <v>0</v>
      </c>
      <c r="AJ168" s="128">
        <f t="shared" si="147"/>
        <v>0</v>
      </c>
      <c r="AK168" s="128">
        <f t="shared" si="147"/>
        <v>-81.791200948120633</v>
      </c>
    </row>
    <row r="169" spans="1:37" x14ac:dyDescent="0.15">
      <c r="A169" s="24" t="s">
        <v>35</v>
      </c>
      <c r="H169" s="128">
        <f t="shared" ref="H169:AK169" si="148">+H117</f>
        <v>0</v>
      </c>
      <c r="I169" s="128">
        <f t="shared" si="148"/>
        <v>0</v>
      </c>
      <c r="J169" s="128">
        <f t="shared" si="148"/>
        <v>95285.634999999733</v>
      </c>
      <c r="K169" s="128">
        <f t="shared" si="148"/>
        <v>0</v>
      </c>
      <c r="L169" s="128">
        <f t="shared" si="148"/>
        <v>0</v>
      </c>
      <c r="M169" s="128">
        <f t="shared" si="148"/>
        <v>95285.634999999733</v>
      </c>
      <c r="N169" s="128">
        <f t="shared" si="148"/>
        <v>0</v>
      </c>
      <c r="O169" s="128">
        <f t="shared" si="148"/>
        <v>0</v>
      </c>
      <c r="P169" s="128">
        <f t="shared" si="148"/>
        <v>135226.51150234789</v>
      </c>
      <c r="Q169" s="128">
        <f t="shared" si="148"/>
        <v>0</v>
      </c>
      <c r="R169" s="128">
        <f t="shared" si="148"/>
        <v>0</v>
      </c>
      <c r="S169" s="128">
        <f t="shared" si="148"/>
        <v>135226.51150234789</v>
      </c>
      <c r="T169" s="128">
        <f t="shared" si="148"/>
        <v>0</v>
      </c>
      <c r="U169" s="128">
        <f t="shared" si="148"/>
        <v>0</v>
      </c>
      <c r="V169" s="128">
        <f t="shared" si="148"/>
        <v>135226.51150234789</v>
      </c>
      <c r="W169" s="128">
        <f t="shared" si="148"/>
        <v>0</v>
      </c>
      <c r="X169" s="128">
        <f t="shared" si="148"/>
        <v>0</v>
      </c>
      <c r="Y169" s="128">
        <f t="shared" si="148"/>
        <v>135226.51150234789</v>
      </c>
      <c r="Z169" s="128">
        <f t="shared" si="148"/>
        <v>0</v>
      </c>
      <c r="AA169" s="128">
        <f t="shared" si="148"/>
        <v>0</v>
      </c>
      <c r="AB169" s="128">
        <f t="shared" si="148"/>
        <v>82206.467488344511</v>
      </c>
      <c r="AC169" s="128">
        <f t="shared" si="148"/>
        <v>0</v>
      </c>
      <c r="AD169" s="128">
        <f t="shared" si="148"/>
        <v>0</v>
      </c>
      <c r="AE169" s="128">
        <f t="shared" si="148"/>
        <v>82206.467488344511</v>
      </c>
      <c r="AF169" s="128">
        <f t="shared" si="148"/>
        <v>0</v>
      </c>
      <c r="AG169" s="128">
        <f t="shared" si="148"/>
        <v>0</v>
      </c>
      <c r="AH169" s="128">
        <f t="shared" si="148"/>
        <v>82206.467488344511</v>
      </c>
      <c r="AI169" s="128">
        <f t="shared" si="148"/>
        <v>0</v>
      </c>
      <c r="AJ169" s="128">
        <f t="shared" si="148"/>
        <v>0</v>
      </c>
      <c r="AK169" s="128">
        <f t="shared" si="148"/>
        <v>82206.467488344511</v>
      </c>
    </row>
    <row r="170" spans="1:37" x14ac:dyDescent="0.15">
      <c r="A170" s="24" t="s">
        <v>375</v>
      </c>
      <c r="H170" s="128"/>
      <c r="I170" s="128"/>
      <c r="J170" s="128">
        <f>+J118</f>
        <v>2013064.9559435996</v>
      </c>
      <c r="K170" s="128"/>
      <c r="L170" s="128"/>
      <c r="M170" s="128">
        <f>+M118</f>
        <v>2013064.9559435996</v>
      </c>
      <c r="N170" s="128"/>
      <c r="O170" s="128"/>
      <c r="P170" s="128">
        <f>+P118</f>
        <v>-1694174.73767127</v>
      </c>
      <c r="Q170" s="128"/>
      <c r="R170" s="128"/>
      <c r="S170" s="128">
        <f>+S118</f>
        <v>-1694174.73767127</v>
      </c>
      <c r="T170" s="128"/>
      <c r="U170" s="128"/>
      <c r="V170" s="128">
        <f>+V118</f>
        <v>-1694174.73767127</v>
      </c>
      <c r="W170" s="128"/>
      <c r="X170" s="128"/>
      <c r="Y170" s="128">
        <f t="shared" ref="Y170:AK170" si="149">+Y118</f>
        <v>-1694174.73767127</v>
      </c>
      <c r="Z170" s="128">
        <f t="shared" si="149"/>
        <v>0</v>
      </c>
      <c r="AA170" s="128">
        <f t="shared" si="149"/>
        <v>0</v>
      </c>
      <c r="AB170" s="128">
        <f t="shared" si="149"/>
        <v>0</v>
      </c>
      <c r="AC170" s="128">
        <f t="shared" si="149"/>
        <v>0</v>
      </c>
      <c r="AD170" s="128">
        <f t="shared" si="149"/>
        <v>0</v>
      </c>
      <c r="AE170" s="128">
        <f t="shared" si="149"/>
        <v>0</v>
      </c>
      <c r="AF170" s="128">
        <f t="shared" si="149"/>
        <v>0</v>
      </c>
      <c r="AG170" s="128">
        <f t="shared" si="149"/>
        <v>0</v>
      </c>
      <c r="AH170" s="128">
        <f t="shared" si="149"/>
        <v>0</v>
      </c>
      <c r="AI170" s="128">
        <f t="shared" si="149"/>
        <v>0</v>
      </c>
      <c r="AJ170" s="128">
        <f t="shared" si="149"/>
        <v>0</v>
      </c>
      <c r="AK170" s="128">
        <f t="shared" si="149"/>
        <v>0</v>
      </c>
    </row>
    <row r="171" spans="1:37" x14ac:dyDescent="0.15">
      <c r="A171" s="24" t="s">
        <v>699</v>
      </c>
      <c r="H171" s="128"/>
      <c r="I171" s="128"/>
      <c r="J171" s="128">
        <f>+J119</f>
        <v>0</v>
      </c>
      <c r="K171" s="128"/>
      <c r="L171" s="128"/>
      <c r="M171" s="128">
        <f>+M119</f>
        <v>0</v>
      </c>
      <c r="N171" s="128"/>
      <c r="O171" s="128"/>
      <c r="P171" s="128">
        <f>+P119</f>
        <v>-365681.75</v>
      </c>
      <c r="Q171" s="128"/>
      <c r="R171" s="128"/>
      <c r="S171" s="128">
        <f>+S119</f>
        <v>-365681.75</v>
      </c>
      <c r="T171" s="128"/>
      <c r="U171" s="128"/>
      <c r="V171" s="128">
        <f>+V119</f>
        <v>-365681.75</v>
      </c>
      <c r="W171" s="128"/>
      <c r="X171" s="128"/>
      <c r="Y171" s="128">
        <f t="shared" ref="Y171:AK171" si="150">+Y119</f>
        <v>-365681.75</v>
      </c>
      <c r="Z171" s="128">
        <f t="shared" si="150"/>
        <v>0</v>
      </c>
      <c r="AA171" s="128">
        <f t="shared" si="150"/>
        <v>0</v>
      </c>
      <c r="AB171" s="128">
        <f t="shared" si="150"/>
        <v>156720.75</v>
      </c>
      <c r="AC171" s="128">
        <f t="shared" si="150"/>
        <v>0</v>
      </c>
      <c r="AD171" s="128">
        <f t="shared" si="150"/>
        <v>0</v>
      </c>
      <c r="AE171" s="128">
        <f t="shared" si="150"/>
        <v>156720.75</v>
      </c>
      <c r="AF171" s="128">
        <f t="shared" si="150"/>
        <v>0</v>
      </c>
      <c r="AG171" s="128">
        <f t="shared" si="150"/>
        <v>0</v>
      </c>
      <c r="AH171" s="128">
        <f t="shared" si="150"/>
        <v>156720.75</v>
      </c>
      <c r="AI171" s="128">
        <f t="shared" si="150"/>
        <v>0</v>
      </c>
      <c r="AJ171" s="128">
        <f t="shared" si="150"/>
        <v>0</v>
      </c>
      <c r="AK171" s="128">
        <f t="shared" si="150"/>
        <v>156720.75</v>
      </c>
    </row>
    <row r="172" spans="1:37" x14ac:dyDescent="0.15">
      <c r="A172" s="24" t="s">
        <v>696</v>
      </c>
      <c r="H172" s="128"/>
      <c r="I172" s="128"/>
      <c r="J172" s="128">
        <f>+J120</f>
        <v>-1180818.6000000001</v>
      </c>
      <c r="K172" s="128"/>
      <c r="L172" s="128"/>
      <c r="M172" s="128">
        <f>+M120</f>
        <v>-1180818.6000000001</v>
      </c>
      <c r="N172" s="128"/>
      <c r="O172" s="128"/>
      <c r="P172" s="128">
        <f>+P120</f>
        <v>157442.47999999981</v>
      </c>
      <c r="Q172" s="128"/>
      <c r="R172" s="128"/>
      <c r="S172" s="128">
        <f>+S120</f>
        <v>157442.47999999981</v>
      </c>
      <c r="T172" s="128"/>
      <c r="U172" s="128"/>
      <c r="V172" s="128">
        <f>+V120</f>
        <v>157442.47999999981</v>
      </c>
      <c r="W172" s="128"/>
      <c r="X172" s="128"/>
      <c r="Y172" s="128">
        <f t="shared" ref="Y172:AK172" si="151">+Y120</f>
        <v>157442.47999999981</v>
      </c>
      <c r="Z172" s="128">
        <f t="shared" si="151"/>
        <v>0</v>
      </c>
      <c r="AA172" s="128">
        <f t="shared" si="151"/>
        <v>0</v>
      </c>
      <c r="AB172" s="128">
        <f t="shared" si="151"/>
        <v>236163.72000000093</v>
      </c>
      <c r="AC172" s="128">
        <f t="shared" si="151"/>
        <v>0</v>
      </c>
      <c r="AD172" s="128">
        <f t="shared" si="151"/>
        <v>0</v>
      </c>
      <c r="AE172" s="128">
        <f t="shared" si="151"/>
        <v>236163.72000000093</v>
      </c>
      <c r="AF172" s="128">
        <f t="shared" si="151"/>
        <v>0</v>
      </c>
      <c r="AG172" s="128">
        <f t="shared" si="151"/>
        <v>0</v>
      </c>
      <c r="AH172" s="128">
        <f t="shared" si="151"/>
        <v>236163.72000000093</v>
      </c>
      <c r="AI172" s="128">
        <f t="shared" si="151"/>
        <v>0</v>
      </c>
      <c r="AJ172" s="128">
        <f t="shared" si="151"/>
        <v>0</v>
      </c>
      <c r="AK172" s="128">
        <f t="shared" si="151"/>
        <v>236163.72000000093</v>
      </c>
    </row>
    <row r="173" spans="1:37" x14ac:dyDescent="0.15">
      <c r="A173" s="24" t="s">
        <v>139</v>
      </c>
      <c r="H173" s="128">
        <f>+H121</f>
        <v>0</v>
      </c>
      <c r="I173" s="128">
        <f>+I121</f>
        <v>0</v>
      </c>
      <c r="J173" s="128">
        <f>+J121</f>
        <v>1355890.6006743137</v>
      </c>
      <c r="K173" s="128">
        <f>+K121</f>
        <v>0</v>
      </c>
      <c r="L173" s="128">
        <f>+L121</f>
        <v>0</v>
      </c>
      <c r="M173" s="128">
        <f>+M121</f>
        <v>1355890.6006743137</v>
      </c>
      <c r="N173" s="128">
        <f>+N121</f>
        <v>0</v>
      </c>
      <c r="O173" s="128">
        <f>+O121</f>
        <v>0</v>
      </c>
      <c r="P173" s="128">
        <f>+P121</f>
        <v>2444568.2930947086</v>
      </c>
      <c r="Q173" s="128">
        <f>+Q121</f>
        <v>0</v>
      </c>
      <c r="R173" s="128">
        <f>+R121</f>
        <v>0</v>
      </c>
      <c r="S173" s="128">
        <f>+S121</f>
        <v>2444568.2930947086</v>
      </c>
      <c r="T173" s="128">
        <f>+T121</f>
        <v>0</v>
      </c>
      <c r="U173" s="128">
        <f>+U121</f>
        <v>0</v>
      </c>
      <c r="V173" s="128">
        <f>+V121</f>
        <v>2444568.2930947086</v>
      </c>
      <c r="W173" s="128">
        <f>+W121</f>
        <v>0</v>
      </c>
      <c r="X173" s="128">
        <f>+X121</f>
        <v>0</v>
      </c>
      <c r="Y173" s="128">
        <f t="shared" ref="Y173:AK173" si="152">+Y121</f>
        <v>2444568.2930947086</v>
      </c>
      <c r="Z173" s="128">
        <f t="shared" si="152"/>
        <v>0</v>
      </c>
      <c r="AA173" s="128">
        <f t="shared" si="152"/>
        <v>0</v>
      </c>
      <c r="AB173" s="128">
        <f t="shared" si="152"/>
        <v>2833100.0904424037</v>
      </c>
      <c r="AC173" s="128">
        <f t="shared" si="152"/>
        <v>0</v>
      </c>
      <c r="AD173" s="128">
        <f t="shared" si="152"/>
        <v>0</v>
      </c>
      <c r="AE173" s="128">
        <f t="shared" si="152"/>
        <v>2833100.0904424037</v>
      </c>
      <c r="AF173" s="128">
        <f t="shared" si="152"/>
        <v>0</v>
      </c>
      <c r="AG173" s="128">
        <f t="shared" si="152"/>
        <v>0</v>
      </c>
      <c r="AH173" s="128">
        <f t="shared" si="152"/>
        <v>2833100.0904424037</v>
      </c>
      <c r="AI173" s="128">
        <f t="shared" si="152"/>
        <v>0</v>
      </c>
      <c r="AJ173" s="128">
        <f t="shared" si="152"/>
        <v>0</v>
      </c>
      <c r="AK173" s="128">
        <f t="shared" si="152"/>
        <v>2833100.0904424037</v>
      </c>
    </row>
    <row r="174" spans="1:37" x14ac:dyDescent="0.15">
      <c r="A174" s="24" t="s">
        <v>138</v>
      </c>
      <c r="H174" s="128">
        <f>+H122</f>
        <v>0</v>
      </c>
      <c r="I174" s="128">
        <f>+I122</f>
        <v>0</v>
      </c>
      <c r="J174" s="128">
        <f>+J122</f>
        <v>-11561067.574999999</v>
      </c>
      <c r="K174" s="128">
        <f>+K122</f>
        <v>0</v>
      </c>
      <c r="L174" s="128">
        <f>+L122</f>
        <v>0</v>
      </c>
      <c r="M174" s="128">
        <f>+M122</f>
        <v>-11561067.574999999</v>
      </c>
      <c r="N174" s="128">
        <f>+N122</f>
        <v>0</v>
      </c>
      <c r="O174" s="128">
        <f>+O122</f>
        <v>0</v>
      </c>
      <c r="P174" s="128">
        <f>+P122</f>
        <v>-12335149.48</v>
      </c>
      <c r="Q174" s="128">
        <f>+Q122</f>
        <v>0</v>
      </c>
      <c r="R174" s="128">
        <f>+R122</f>
        <v>0</v>
      </c>
      <c r="S174" s="128">
        <f>+S122</f>
        <v>-12335149.48</v>
      </c>
      <c r="T174" s="128">
        <f>+T122</f>
        <v>0</v>
      </c>
      <c r="U174" s="128">
        <f>+U122</f>
        <v>0</v>
      </c>
      <c r="V174" s="128">
        <f>+V122</f>
        <v>-12335149.48</v>
      </c>
      <c r="W174" s="128">
        <f>+W122</f>
        <v>0</v>
      </c>
      <c r="X174" s="128">
        <f>+X122</f>
        <v>0</v>
      </c>
      <c r="Y174" s="128">
        <f t="shared" ref="Y174:AK174" si="153">+Y122</f>
        <v>-12335149.48</v>
      </c>
      <c r="Z174" s="128">
        <f t="shared" si="153"/>
        <v>0</v>
      </c>
      <c r="AA174" s="128">
        <f t="shared" si="153"/>
        <v>0</v>
      </c>
      <c r="AB174" s="128">
        <f t="shared" si="153"/>
        <v>-12615077.462499999</v>
      </c>
      <c r="AC174" s="128">
        <f t="shared" si="153"/>
        <v>0</v>
      </c>
      <c r="AD174" s="128">
        <f t="shared" si="153"/>
        <v>0</v>
      </c>
      <c r="AE174" s="128">
        <f t="shared" si="153"/>
        <v>-12615077.462499999</v>
      </c>
      <c r="AF174" s="128">
        <f t="shared" si="153"/>
        <v>0</v>
      </c>
      <c r="AG174" s="128">
        <f t="shared" si="153"/>
        <v>0</v>
      </c>
      <c r="AH174" s="128">
        <f t="shared" si="153"/>
        <v>-12615077.462499999</v>
      </c>
      <c r="AI174" s="128">
        <f t="shared" si="153"/>
        <v>0</v>
      </c>
      <c r="AJ174" s="128">
        <f t="shared" si="153"/>
        <v>0</v>
      </c>
      <c r="AK174" s="128">
        <f t="shared" si="153"/>
        <v>-12615077.462499999</v>
      </c>
    </row>
    <row r="175" spans="1:37" x14ac:dyDescent="0.15">
      <c r="A175" s="24" t="s">
        <v>38</v>
      </c>
      <c r="H175" s="128">
        <f t="shared" ref="H175:AK175" si="154">+H124</f>
        <v>0</v>
      </c>
      <c r="I175" s="128">
        <f t="shared" si="154"/>
        <v>0</v>
      </c>
      <c r="J175" s="128">
        <f t="shared" si="154"/>
        <v>68733098.153196931</v>
      </c>
      <c r="K175" s="128">
        <f t="shared" si="154"/>
        <v>0</v>
      </c>
      <c r="L175" s="128">
        <f t="shared" si="154"/>
        <v>0</v>
      </c>
      <c r="M175" s="128">
        <f t="shared" si="154"/>
        <v>68733098.153196931</v>
      </c>
      <c r="N175" s="128">
        <f t="shared" si="154"/>
        <v>0</v>
      </c>
      <c r="O175" s="128">
        <f t="shared" si="154"/>
        <v>0</v>
      </c>
      <c r="P175" s="128">
        <f t="shared" si="154"/>
        <v>82792225.456709862</v>
      </c>
      <c r="Q175" s="128">
        <f t="shared" si="154"/>
        <v>0</v>
      </c>
      <c r="R175" s="128">
        <f t="shared" si="154"/>
        <v>0</v>
      </c>
      <c r="S175" s="128">
        <f t="shared" si="154"/>
        <v>82792225.456709862</v>
      </c>
      <c r="T175" s="128">
        <f t="shared" si="154"/>
        <v>0</v>
      </c>
      <c r="U175" s="128">
        <f t="shared" si="154"/>
        <v>0</v>
      </c>
      <c r="V175" s="128">
        <f t="shared" si="154"/>
        <v>82792225.456709862</v>
      </c>
      <c r="W175" s="128">
        <f t="shared" si="154"/>
        <v>0</v>
      </c>
      <c r="X175" s="128">
        <f t="shared" si="154"/>
        <v>0</v>
      </c>
      <c r="Y175" s="128">
        <f t="shared" si="154"/>
        <v>82792225.456709862</v>
      </c>
      <c r="Z175" s="128">
        <f t="shared" si="154"/>
        <v>0</v>
      </c>
      <c r="AA175" s="128">
        <f t="shared" si="154"/>
        <v>0</v>
      </c>
      <c r="AB175" s="128">
        <f t="shared" si="154"/>
        <v>92050377.332309753</v>
      </c>
      <c r="AC175" s="128">
        <f t="shared" si="154"/>
        <v>0</v>
      </c>
      <c r="AD175" s="128">
        <f t="shared" si="154"/>
        <v>0</v>
      </c>
      <c r="AE175" s="128">
        <f t="shared" si="154"/>
        <v>92050377.332309753</v>
      </c>
      <c r="AF175" s="128">
        <f t="shared" si="154"/>
        <v>0</v>
      </c>
      <c r="AG175" s="128">
        <f t="shared" si="154"/>
        <v>0</v>
      </c>
      <c r="AH175" s="128">
        <f t="shared" si="154"/>
        <v>92050377.332309753</v>
      </c>
      <c r="AI175" s="128">
        <f t="shared" si="154"/>
        <v>0</v>
      </c>
      <c r="AJ175" s="128">
        <f t="shared" si="154"/>
        <v>0</v>
      </c>
      <c r="AK175" s="128">
        <f t="shared" si="154"/>
        <v>92050377.332309753</v>
      </c>
    </row>
    <row r="176" spans="1:37" x14ac:dyDescent="0.15">
      <c r="A176" s="24" t="s">
        <v>41</v>
      </c>
      <c r="H176" s="128">
        <f t="shared" ref="H176:AK176" si="155">+H125</f>
        <v>0</v>
      </c>
      <c r="I176" s="128">
        <f t="shared" si="155"/>
        <v>0</v>
      </c>
      <c r="J176" s="128">
        <f t="shared" si="155"/>
        <v>1500000</v>
      </c>
      <c r="K176" s="128">
        <f t="shared" si="155"/>
        <v>0</v>
      </c>
      <c r="L176" s="128">
        <f t="shared" si="155"/>
        <v>0</v>
      </c>
      <c r="M176" s="128">
        <f t="shared" si="155"/>
        <v>1500000</v>
      </c>
      <c r="N176" s="128">
        <f t="shared" si="155"/>
        <v>0</v>
      </c>
      <c r="O176" s="128">
        <f t="shared" si="155"/>
        <v>0</v>
      </c>
      <c r="P176" s="128">
        <f t="shared" si="155"/>
        <v>1500000</v>
      </c>
      <c r="Q176" s="128">
        <f t="shared" si="155"/>
        <v>0</v>
      </c>
      <c r="R176" s="128">
        <f t="shared" si="155"/>
        <v>0</v>
      </c>
      <c r="S176" s="128">
        <f t="shared" si="155"/>
        <v>1500000</v>
      </c>
      <c r="T176" s="128">
        <f t="shared" si="155"/>
        <v>0</v>
      </c>
      <c r="U176" s="128">
        <f t="shared" si="155"/>
        <v>0</v>
      </c>
      <c r="V176" s="128">
        <f t="shared" si="155"/>
        <v>1500000</v>
      </c>
      <c r="W176" s="128">
        <f t="shared" si="155"/>
        <v>0</v>
      </c>
      <c r="X176" s="128">
        <f t="shared" si="155"/>
        <v>0</v>
      </c>
      <c r="Y176" s="128">
        <f t="shared" si="155"/>
        <v>1500000</v>
      </c>
      <c r="Z176" s="128">
        <f t="shared" si="155"/>
        <v>0</v>
      </c>
      <c r="AA176" s="128">
        <f t="shared" si="155"/>
        <v>0</v>
      </c>
      <c r="AB176" s="128">
        <f t="shared" si="155"/>
        <v>1500000</v>
      </c>
      <c r="AC176" s="128">
        <f t="shared" si="155"/>
        <v>0</v>
      </c>
      <c r="AD176" s="128">
        <f t="shared" si="155"/>
        <v>0</v>
      </c>
      <c r="AE176" s="128">
        <f t="shared" si="155"/>
        <v>1500000</v>
      </c>
      <c r="AF176" s="128">
        <f t="shared" si="155"/>
        <v>0</v>
      </c>
      <c r="AG176" s="128">
        <f t="shared" si="155"/>
        <v>0</v>
      </c>
      <c r="AH176" s="128">
        <f t="shared" si="155"/>
        <v>1500000</v>
      </c>
      <c r="AI176" s="128">
        <f t="shared" si="155"/>
        <v>0</v>
      </c>
      <c r="AJ176" s="128">
        <f t="shared" si="155"/>
        <v>0</v>
      </c>
      <c r="AK176" s="128">
        <f t="shared" si="155"/>
        <v>1500000</v>
      </c>
    </row>
    <row r="177" spans="1:37" x14ac:dyDescent="0.15">
      <c r="A177" s="24" t="s">
        <v>42</v>
      </c>
      <c r="H177" s="128">
        <f t="shared" ref="H177:AK177" si="156">+H126</f>
        <v>0</v>
      </c>
      <c r="I177" s="128">
        <f t="shared" si="156"/>
        <v>0</v>
      </c>
      <c r="J177" s="128">
        <f t="shared" si="156"/>
        <v>1.0000000017384991E-2</v>
      </c>
      <c r="K177" s="128">
        <f t="shared" si="156"/>
        <v>0</v>
      </c>
      <c r="L177" s="128">
        <f t="shared" si="156"/>
        <v>0</v>
      </c>
      <c r="M177" s="128">
        <f t="shared" si="156"/>
        <v>1.0000000017384991E-2</v>
      </c>
      <c r="N177" s="128">
        <f t="shared" si="156"/>
        <v>0</v>
      </c>
      <c r="O177" s="128">
        <f t="shared" si="156"/>
        <v>0</v>
      </c>
      <c r="P177" s="128">
        <f t="shared" si="156"/>
        <v>25610.010000000017</v>
      </c>
      <c r="Q177" s="128">
        <f t="shared" si="156"/>
        <v>0</v>
      </c>
      <c r="R177" s="128">
        <f t="shared" si="156"/>
        <v>0</v>
      </c>
      <c r="S177" s="128">
        <f t="shared" si="156"/>
        <v>25610.010000000017</v>
      </c>
      <c r="T177" s="128">
        <f t="shared" si="156"/>
        <v>0</v>
      </c>
      <c r="U177" s="128">
        <f t="shared" si="156"/>
        <v>0</v>
      </c>
      <c r="V177" s="128">
        <f t="shared" si="156"/>
        <v>25610.010000000017</v>
      </c>
      <c r="W177" s="128">
        <f t="shared" si="156"/>
        <v>0</v>
      </c>
      <c r="X177" s="128">
        <f t="shared" si="156"/>
        <v>0</v>
      </c>
      <c r="Y177" s="128">
        <f t="shared" si="156"/>
        <v>25610.010000000017</v>
      </c>
      <c r="Z177" s="128">
        <f t="shared" si="156"/>
        <v>0</v>
      </c>
      <c r="AA177" s="128">
        <f t="shared" si="156"/>
        <v>0</v>
      </c>
      <c r="AB177" s="128">
        <f t="shared" si="156"/>
        <v>14939.072500000002</v>
      </c>
      <c r="AC177" s="128">
        <f t="shared" si="156"/>
        <v>0</v>
      </c>
      <c r="AD177" s="128">
        <f t="shared" si="156"/>
        <v>0</v>
      </c>
      <c r="AE177" s="128">
        <f t="shared" si="156"/>
        <v>14939.072500000002</v>
      </c>
      <c r="AF177" s="128">
        <f t="shared" si="156"/>
        <v>0</v>
      </c>
      <c r="AG177" s="128">
        <f t="shared" si="156"/>
        <v>0</v>
      </c>
      <c r="AH177" s="128">
        <f t="shared" si="156"/>
        <v>14939.072500000002</v>
      </c>
      <c r="AI177" s="128">
        <f t="shared" si="156"/>
        <v>0</v>
      </c>
      <c r="AJ177" s="128">
        <f t="shared" si="156"/>
        <v>0</v>
      </c>
      <c r="AK177" s="128">
        <f t="shared" si="156"/>
        <v>14939.072500000002</v>
      </c>
    </row>
    <row r="178" spans="1:37" x14ac:dyDescent="0.15">
      <c r="A178" s="24" t="s">
        <v>44</v>
      </c>
      <c r="H178" s="128">
        <f t="shared" ref="H178:AK178" si="157">+H127</f>
        <v>0</v>
      </c>
      <c r="I178" s="128">
        <f t="shared" si="157"/>
        <v>0</v>
      </c>
      <c r="J178" s="128">
        <f t="shared" si="157"/>
        <v>-6945332.0000000009</v>
      </c>
      <c r="K178" s="128">
        <f t="shared" si="157"/>
        <v>0</v>
      </c>
      <c r="L178" s="128">
        <f t="shared" si="157"/>
        <v>0</v>
      </c>
      <c r="M178" s="128">
        <f t="shared" si="157"/>
        <v>-6945332.0000000009</v>
      </c>
      <c r="N178" s="128">
        <f t="shared" si="157"/>
        <v>0</v>
      </c>
      <c r="O178" s="128">
        <f t="shared" si="157"/>
        <v>0</v>
      </c>
      <c r="P178" s="128">
        <f t="shared" si="157"/>
        <v>-10891951.382500004</v>
      </c>
      <c r="Q178" s="128">
        <f t="shared" si="157"/>
        <v>0</v>
      </c>
      <c r="R178" s="128">
        <f t="shared" si="157"/>
        <v>0</v>
      </c>
      <c r="S178" s="128">
        <f t="shared" si="157"/>
        <v>-10891951.382500004</v>
      </c>
      <c r="T178" s="128">
        <f t="shared" si="157"/>
        <v>0</v>
      </c>
      <c r="U178" s="128">
        <f t="shared" si="157"/>
        <v>0</v>
      </c>
      <c r="V178" s="128">
        <f t="shared" si="157"/>
        <v>-10891951.382500004</v>
      </c>
      <c r="W178" s="128">
        <f t="shared" si="157"/>
        <v>0</v>
      </c>
      <c r="X178" s="128">
        <f t="shared" si="157"/>
        <v>0</v>
      </c>
      <c r="Y178" s="128">
        <f t="shared" si="157"/>
        <v>-10891951.382500004</v>
      </c>
      <c r="Z178" s="128">
        <f t="shared" si="157"/>
        <v>0</v>
      </c>
      <c r="AA178" s="128">
        <f t="shared" si="157"/>
        <v>0</v>
      </c>
      <c r="AB178" s="128">
        <f t="shared" si="157"/>
        <v>-5258534.95</v>
      </c>
      <c r="AC178" s="128">
        <f t="shared" si="157"/>
        <v>0</v>
      </c>
      <c r="AD178" s="128">
        <f t="shared" si="157"/>
        <v>0</v>
      </c>
      <c r="AE178" s="128">
        <f t="shared" si="157"/>
        <v>-5258534.95</v>
      </c>
      <c r="AF178" s="128">
        <f t="shared" si="157"/>
        <v>0</v>
      </c>
      <c r="AG178" s="128">
        <f t="shared" si="157"/>
        <v>0</v>
      </c>
      <c r="AH178" s="128">
        <f t="shared" si="157"/>
        <v>-5258534.95</v>
      </c>
      <c r="AI178" s="128">
        <f t="shared" si="157"/>
        <v>0</v>
      </c>
      <c r="AJ178" s="128">
        <f t="shared" si="157"/>
        <v>0</v>
      </c>
      <c r="AK178" s="128">
        <f t="shared" si="157"/>
        <v>-5258534.95</v>
      </c>
    </row>
    <row r="179" spans="1:37" x14ac:dyDescent="0.15">
      <c r="A179" s="24" t="s">
        <v>46</v>
      </c>
      <c r="H179" s="128">
        <f t="shared" ref="H179:AK179" si="158">+H128</f>
        <v>0</v>
      </c>
      <c r="I179" s="128">
        <f t="shared" si="158"/>
        <v>0</v>
      </c>
      <c r="J179" s="128">
        <f t="shared" si="158"/>
        <v>381237.74500000011</v>
      </c>
      <c r="K179" s="128">
        <f t="shared" si="158"/>
        <v>0</v>
      </c>
      <c r="L179" s="128">
        <f t="shared" si="158"/>
        <v>0</v>
      </c>
      <c r="M179" s="128">
        <f t="shared" si="158"/>
        <v>381237.74500000011</v>
      </c>
      <c r="N179" s="128">
        <f t="shared" si="158"/>
        <v>0</v>
      </c>
      <c r="O179" s="128">
        <f t="shared" si="158"/>
        <v>0</v>
      </c>
      <c r="P179" s="128">
        <f t="shared" si="158"/>
        <v>-260498.47500000003</v>
      </c>
      <c r="Q179" s="128">
        <f t="shared" si="158"/>
        <v>0</v>
      </c>
      <c r="R179" s="128">
        <f t="shared" si="158"/>
        <v>0</v>
      </c>
      <c r="S179" s="128">
        <f t="shared" si="158"/>
        <v>-260498.47500000003</v>
      </c>
      <c r="T179" s="128">
        <f t="shared" si="158"/>
        <v>0</v>
      </c>
      <c r="U179" s="128">
        <f t="shared" si="158"/>
        <v>0</v>
      </c>
      <c r="V179" s="128">
        <f t="shared" si="158"/>
        <v>-260498.47500000003</v>
      </c>
      <c r="W179" s="128">
        <f t="shared" si="158"/>
        <v>0</v>
      </c>
      <c r="X179" s="128">
        <f t="shared" si="158"/>
        <v>0</v>
      </c>
      <c r="Y179" s="128">
        <f t="shared" si="158"/>
        <v>-260498.47500000003</v>
      </c>
      <c r="Z179" s="128">
        <f t="shared" si="158"/>
        <v>0</v>
      </c>
      <c r="AA179" s="128">
        <f t="shared" si="158"/>
        <v>0</v>
      </c>
      <c r="AB179" s="128">
        <f t="shared" si="158"/>
        <v>0</v>
      </c>
      <c r="AC179" s="128">
        <f t="shared" si="158"/>
        <v>0</v>
      </c>
      <c r="AD179" s="128">
        <f t="shared" si="158"/>
        <v>0</v>
      </c>
      <c r="AE179" s="128">
        <f t="shared" si="158"/>
        <v>0</v>
      </c>
      <c r="AF179" s="128">
        <f t="shared" si="158"/>
        <v>0</v>
      </c>
      <c r="AG179" s="128">
        <f t="shared" si="158"/>
        <v>0</v>
      </c>
      <c r="AH179" s="128">
        <f t="shared" si="158"/>
        <v>0</v>
      </c>
      <c r="AI179" s="128">
        <f t="shared" si="158"/>
        <v>0</v>
      </c>
      <c r="AJ179" s="128">
        <f t="shared" si="158"/>
        <v>0</v>
      </c>
      <c r="AK179" s="128">
        <f t="shared" si="158"/>
        <v>0</v>
      </c>
    </row>
    <row r="180" spans="1:37" x14ac:dyDescent="0.15">
      <c r="A180" s="24" t="s">
        <v>51</v>
      </c>
      <c r="H180" s="128">
        <f t="shared" ref="H180:AK180" si="159">+H129</f>
        <v>0</v>
      </c>
      <c r="I180" s="128">
        <f t="shared" si="159"/>
        <v>0</v>
      </c>
      <c r="J180" s="128">
        <f t="shared" si="159"/>
        <v>2227604.4922713609</v>
      </c>
      <c r="K180" s="128">
        <f t="shared" si="159"/>
        <v>0</v>
      </c>
      <c r="L180" s="128">
        <f t="shared" si="159"/>
        <v>0</v>
      </c>
      <c r="M180" s="128">
        <f t="shared" si="159"/>
        <v>2227604.4922713609</v>
      </c>
      <c r="N180" s="128">
        <f t="shared" si="159"/>
        <v>0</v>
      </c>
      <c r="O180" s="128">
        <f t="shared" si="159"/>
        <v>0</v>
      </c>
      <c r="P180" s="128">
        <f t="shared" si="159"/>
        <v>-1624103.5795785943</v>
      </c>
      <c r="Q180" s="128">
        <f t="shared" si="159"/>
        <v>0</v>
      </c>
      <c r="R180" s="128">
        <f t="shared" si="159"/>
        <v>0</v>
      </c>
      <c r="S180" s="128">
        <f t="shared" si="159"/>
        <v>-1624103.5795785943</v>
      </c>
      <c r="T180" s="128">
        <f t="shared" si="159"/>
        <v>0</v>
      </c>
      <c r="U180" s="128">
        <f t="shared" si="159"/>
        <v>0</v>
      </c>
      <c r="V180" s="128">
        <f t="shared" si="159"/>
        <v>-1624103.5795785943</v>
      </c>
      <c r="W180" s="128">
        <f t="shared" si="159"/>
        <v>0</v>
      </c>
      <c r="X180" s="128">
        <f t="shared" si="159"/>
        <v>0</v>
      </c>
      <c r="Y180" s="128">
        <f t="shared" si="159"/>
        <v>-1624103.5795785943</v>
      </c>
      <c r="Z180" s="128">
        <f t="shared" si="159"/>
        <v>0</v>
      </c>
      <c r="AA180" s="128">
        <f t="shared" si="159"/>
        <v>0</v>
      </c>
      <c r="AB180" s="128">
        <f t="shared" si="159"/>
        <v>-182053.91059046588</v>
      </c>
      <c r="AC180" s="128">
        <f t="shared" si="159"/>
        <v>0</v>
      </c>
      <c r="AD180" s="128">
        <f t="shared" si="159"/>
        <v>0</v>
      </c>
      <c r="AE180" s="128">
        <f t="shared" si="159"/>
        <v>-182053.91059046588</v>
      </c>
      <c r="AF180" s="128">
        <f t="shared" si="159"/>
        <v>0</v>
      </c>
      <c r="AG180" s="128">
        <f t="shared" si="159"/>
        <v>0</v>
      </c>
      <c r="AH180" s="128">
        <f t="shared" si="159"/>
        <v>-182053.91059046588</v>
      </c>
      <c r="AI180" s="128">
        <f t="shared" si="159"/>
        <v>0</v>
      </c>
      <c r="AJ180" s="128">
        <f t="shared" si="159"/>
        <v>0</v>
      </c>
      <c r="AK180" s="128">
        <f t="shared" si="159"/>
        <v>-182053.91059046588</v>
      </c>
    </row>
    <row r="181" spans="1:37" x14ac:dyDescent="0.15">
      <c r="A181" s="24" t="s">
        <v>52</v>
      </c>
      <c r="H181" s="128">
        <f t="shared" ref="H181:AK181" si="160">+H130</f>
        <v>0</v>
      </c>
      <c r="I181" s="128">
        <f t="shared" si="160"/>
        <v>0</v>
      </c>
      <c r="J181" s="128">
        <f t="shared" si="160"/>
        <v>-20487.721584789142</v>
      </c>
      <c r="K181" s="128">
        <f t="shared" si="160"/>
        <v>0</v>
      </c>
      <c r="L181" s="128">
        <f t="shared" si="160"/>
        <v>0</v>
      </c>
      <c r="M181" s="128">
        <f t="shared" si="160"/>
        <v>-20487.721584789142</v>
      </c>
      <c r="N181" s="128">
        <f t="shared" si="160"/>
        <v>0</v>
      </c>
      <c r="O181" s="128">
        <f t="shared" si="160"/>
        <v>0</v>
      </c>
      <c r="P181" s="128">
        <f t="shared" si="160"/>
        <v>-146182.97097634512</v>
      </c>
      <c r="Q181" s="128">
        <f t="shared" si="160"/>
        <v>0</v>
      </c>
      <c r="R181" s="128">
        <f t="shared" si="160"/>
        <v>0</v>
      </c>
      <c r="S181" s="128">
        <f t="shared" si="160"/>
        <v>-146182.97097634512</v>
      </c>
      <c r="T181" s="128">
        <f t="shared" si="160"/>
        <v>0</v>
      </c>
      <c r="U181" s="128">
        <f t="shared" si="160"/>
        <v>0</v>
      </c>
      <c r="V181" s="128">
        <f t="shared" si="160"/>
        <v>-146182.97097634512</v>
      </c>
      <c r="W181" s="128">
        <f t="shared" si="160"/>
        <v>0</v>
      </c>
      <c r="X181" s="128">
        <f t="shared" si="160"/>
        <v>0</v>
      </c>
      <c r="Y181" s="128">
        <f t="shared" si="160"/>
        <v>-146182.97097634512</v>
      </c>
      <c r="Z181" s="128">
        <f t="shared" si="160"/>
        <v>0</v>
      </c>
      <c r="AA181" s="128">
        <f t="shared" si="160"/>
        <v>0</v>
      </c>
      <c r="AB181" s="128">
        <f t="shared" si="160"/>
        <v>126797.00500574199</v>
      </c>
      <c r="AC181" s="128">
        <f t="shared" si="160"/>
        <v>0</v>
      </c>
      <c r="AD181" s="128">
        <f t="shared" si="160"/>
        <v>0</v>
      </c>
      <c r="AE181" s="128">
        <f t="shared" si="160"/>
        <v>126797.00500574199</v>
      </c>
      <c r="AF181" s="128">
        <f t="shared" si="160"/>
        <v>0</v>
      </c>
      <c r="AG181" s="128">
        <f t="shared" si="160"/>
        <v>0</v>
      </c>
      <c r="AH181" s="128">
        <f t="shared" si="160"/>
        <v>126797.00500574199</v>
      </c>
      <c r="AI181" s="128">
        <f t="shared" si="160"/>
        <v>0</v>
      </c>
      <c r="AJ181" s="128">
        <f t="shared" si="160"/>
        <v>0</v>
      </c>
      <c r="AK181" s="128">
        <f t="shared" si="160"/>
        <v>126797.00500574199</v>
      </c>
    </row>
    <row r="182" spans="1:37" x14ac:dyDescent="0.15">
      <c r="A182" s="24" t="s">
        <v>131</v>
      </c>
      <c r="H182" s="128">
        <f t="shared" ref="H182:AK182" si="161">+H131</f>
        <v>0</v>
      </c>
      <c r="I182" s="128">
        <f t="shared" si="161"/>
        <v>0</v>
      </c>
      <c r="J182" s="128">
        <f t="shared" si="161"/>
        <v>211764.24999999997</v>
      </c>
      <c r="K182" s="128">
        <f t="shared" si="161"/>
        <v>0</v>
      </c>
      <c r="L182" s="128">
        <f t="shared" si="161"/>
        <v>0</v>
      </c>
      <c r="M182" s="128">
        <f t="shared" si="161"/>
        <v>211764.24999999997</v>
      </c>
      <c r="N182" s="128">
        <f t="shared" si="161"/>
        <v>0</v>
      </c>
      <c r="O182" s="128">
        <f t="shared" si="161"/>
        <v>0</v>
      </c>
      <c r="P182" s="128">
        <f t="shared" si="161"/>
        <v>144169.99999999898</v>
      </c>
      <c r="Q182" s="128">
        <f t="shared" si="161"/>
        <v>0</v>
      </c>
      <c r="R182" s="128">
        <f t="shared" si="161"/>
        <v>0</v>
      </c>
      <c r="S182" s="128">
        <f t="shared" si="161"/>
        <v>144169.99999999898</v>
      </c>
      <c r="T182" s="128">
        <f t="shared" si="161"/>
        <v>0</v>
      </c>
      <c r="U182" s="128">
        <f t="shared" si="161"/>
        <v>0</v>
      </c>
      <c r="V182" s="128">
        <f t="shared" si="161"/>
        <v>144169.99999999898</v>
      </c>
      <c r="W182" s="128">
        <f t="shared" si="161"/>
        <v>0</v>
      </c>
      <c r="X182" s="128">
        <f t="shared" si="161"/>
        <v>0</v>
      </c>
      <c r="Y182" s="128">
        <f t="shared" si="161"/>
        <v>144169.99999999898</v>
      </c>
      <c r="Z182" s="128">
        <f t="shared" si="161"/>
        <v>0</v>
      </c>
      <c r="AA182" s="128">
        <f t="shared" si="161"/>
        <v>0</v>
      </c>
      <c r="AB182" s="128">
        <f t="shared" si="161"/>
        <v>137637.50000000012</v>
      </c>
      <c r="AC182" s="128">
        <f t="shared" si="161"/>
        <v>0</v>
      </c>
      <c r="AD182" s="128">
        <f t="shared" si="161"/>
        <v>0</v>
      </c>
      <c r="AE182" s="128">
        <f t="shared" si="161"/>
        <v>137637.50000000012</v>
      </c>
      <c r="AF182" s="128">
        <f t="shared" si="161"/>
        <v>0</v>
      </c>
      <c r="AG182" s="128">
        <f t="shared" si="161"/>
        <v>0</v>
      </c>
      <c r="AH182" s="128">
        <f t="shared" si="161"/>
        <v>137637.50000000012</v>
      </c>
      <c r="AI182" s="128">
        <f t="shared" si="161"/>
        <v>0</v>
      </c>
      <c r="AJ182" s="128">
        <f t="shared" si="161"/>
        <v>0</v>
      </c>
      <c r="AK182" s="128">
        <f t="shared" si="161"/>
        <v>137637.50000000012</v>
      </c>
    </row>
    <row r="183" spans="1:37" x14ac:dyDescent="0.15">
      <c r="A183" s="24" t="s">
        <v>132</v>
      </c>
      <c r="H183" s="128">
        <f t="shared" ref="H183:AK183" si="162">+H132</f>
        <v>0</v>
      </c>
      <c r="I183" s="128">
        <f t="shared" si="162"/>
        <v>0</v>
      </c>
      <c r="J183" s="128">
        <f t="shared" si="162"/>
        <v>-1346057.5</v>
      </c>
      <c r="K183" s="128">
        <f t="shared" si="162"/>
        <v>0</v>
      </c>
      <c r="L183" s="128">
        <f t="shared" si="162"/>
        <v>0</v>
      </c>
      <c r="M183" s="128">
        <f t="shared" si="162"/>
        <v>-1346057.5</v>
      </c>
      <c r="N183" s="128">
        <f t="shared" si="162"/>
        <v>0</v>
      </c>
      <c r="O183" s="128">
        <f t="shared" si="162"/>
        <v>0</v>
      </c>
      <c r="P183" s="128">
        <f t="shared" si="162"/>
        <v>-1289766.25</v>
      </c>
      <c r="Q183" s="128">
        <f t="shared" si="162"/>
        <v>0</v>
      </c>
      <c r="R183" s="128">
        <f t="shared" si="162"/>
        <v>0</v>
      </c>
      <c r="S183" s="128">
        <f t="shared" si="162"/>
        <v>-1289766.25</v>
      </c>
      <c r="T183" s="128">
        <f t="shared" si="162"/>
        <v>0</v>
      </c>
      <c r="U183" s="128">
        <f t="shared" si="162"/>
        <v>0</v>
      </c>
      <c r="V183" s="128">
        <f t="shared" si="162"/>
        <v>-1289766.25</v>
      </c>
      <c r="W183" s="128">
        <f t="shared" si="162"/>
        <v>0</v>
      </c>
      <c r="X183" s="128">
        <f t="shared" si="162"/>
        <v>0</v>
      </c>
      <c r="Y183" s="128">
        <f t="shared" si="162"/>
        <v>-1289766.25</v>
      </c>
      <c r="Z183" s="128">
        <f t="shared" si="162"/>
        <v>0</v>
      </c>
      <c r="AA183" s="128">
        <f t="shared" si="162"/>
        <v>0</v>
      </c>
      <c r="AB183" s="128">
        <f t="shared" si="162"/>
        <v>-1312777</v>
      </c>
      <c r="AC183" s="128">
        <f t="shared" si="162"/>
        <v>0</v>
      </c>
      <c r="AD183" s="128">
        <f t="shared" si="162"/>
        <v>0</v>
      </c>
      <c r="AE183" s="128">
        <f t="shared" si="162"/>
        <v>-1312777</v>
      </c>
      <c r="AF183" s="128">
        <f t="shared" si="162"/>
        <v>0</v>
      </c>
      <c r="AG183" s="128">
        <f t="shared" si="162"/>
        <v>0</v>
      </c>
      <c r="AH183" s="128">
        <f t="shared" si="162"/>
        <v>-1312777</v>
      </c>
      <c r="AI183" s="128">
        <f t="shared" si="162"/>
        <v>0</v>
      </c>
      <c r="AJ183" s="128">
        <f t="shared" si="162"/>
        <v>0</v>
      </c>
      <c r="AK183" s="128">
        <f t="shared" si="162"/>
        <v>-1312777</v>
      </c>
    </row>
    <row r="184" spans="1:37" x14ac:dyDescent="0.15">
      <c r="A184" s="24" t="s">
        <v>133</v>
      </c>
      <c r="H184" s="128">
        <f t="shared" ref="H184:AK184" si="163">+H133</f>
        <v>0</v>
      </c>
      <c r="I184" s="128">
        <f t="shared" si="163"/>
        <v>0</v>
      </c>
      <c r="J184" s="128">
        <f t="shared" si="163"/>
        <v>-36492.190815376947</v>
      </c>
      <c r="K184" s="128">
        <f t="shared" si="163"/>
        <v>0</v>
      </c>
      <c r="L184" s="128">
        <f t="shared" si="163"/>
        <v>0</v>
      </c>
      <c r="M184" s="128">
        <f t="shared" si="163"/>
        <v>-36492.190815376947</v>
      </c>
      <c r="N184" s="128">
        <f t="shared" si="163"/>
        <v>0</v>
      </c>
      <c r="O184" s="128">
        <f t="shared" si="163"/>
        <v>0</v>
      </c>
      <c r="P184" s="128">
        <f t="shared" si="163"/>
        <v>-522712.9218883217</v>
      </c>
      <c r="Q184" s="128">
        <f t="shared" si="163"/>
        <v>0</v>
      </c>
      <c r="R184" s="128">
        <f t="shared" si="163"/>
        <v>0</v>
      </c>
      <c r="S184" s="128">
        <f t="shared" si="163"/>
        <v>-522712.9218883217</v>
      </c>
      <c r="T184" s="128">
        <f t="shared" si="163"/>
        <v>0</v>
      </c>
      <c r="U184" s="128">
        <f t="shared" si="163"/>
        <v>0</v>
      </c>
      <c r="V184" s="128">
        <f t="shared" si="163"/>
        <v>-522712.9218883217</v>
      </c>
      <c r="W184" s="128">
        <f t="shared" si="163"/>
        <v>0</v>
      </c>
      <c r="X184" s="128">
        <f t="shared" si="163"/>
        <v>0</v>
      </c>
      <c r="Y184" s="128">
        <f t="shared" si="163"/>
        <v>-522712.9218883217</v>
      </c>
      <c r="Z184" s="128">
        <f t="shared" si="163"/>
        <v>0</v>
      </c>
      <c r="AA184" s="128">
        <f t="shared" si="163"/>
        <v>0</v>
      </c>
      <c r="AB184" s="128">
        <f t="shared" si="163"/>
        <v>-723156.65041249897</v>
      </c>
      <c r="AC184" s="128">
        <f t="shared" si="163"/>
        <v>0</v>
      </c>
      <c r="AD184" s="128">
        <f t="shared" si="163"/>
        <v>0</v>
      </c>
      <c r="AE184" s="128">
        <f t="shared" si="163"/>
        <v>-723156.65041249897</v>
      </c>
      <c r="AF184" s="128">
        <f t="shared" si="163"/>
        <v>0</v>
      </c>
      <c r="AG184" s="128">
        <f t="shared" si="163"/>
        <v>0</v>
      </c>
      <c r="AH184" s="128">
        <f t="shared" si="163"/>
        <v>-723156.65041249897</v>
      </c>
      <c r="AI184" s="128">
        <f t="shared" si="163"/>
        <v>0</v>
      </c>
      <c r="AJ184" s="128">
        <f t="shared" si="163"/>
        <v>0</v>
      </c>
      <c r="AK184" s="128">
        <f t="shared" si="163"/>
        <v>-723156.65041249897</v>
      </c>
    </row>
    <row r="185" spans="1:37" x14ac:dyDescent="0.15">
      <c r="A185" s="24" t="s">
        <v>134</v>
      </c>
      <c r="H185" s="128">
        <f t="shared" ref="H185:AK185" si="164">+H134</f>
        <v>0</v>
      </c>
      <c r="I185" s="128">
        <f t="shared" si="164"/>
        <v>0</v>
      </c>
      <c r="J185" s="128">
        <f t="shared" si="164"/>
        <v>0</v>
      </c>
      <c r="K185" s="128">
        <f t="shared" si="164"/>
        <v>0</v>
      </c>
      <c r="L185" s="128">
        <f t="shared" si="164"/>
        <v>0</v>
      </c>
      <c r="M185" s="128">
        <f t="shared" si="164"/>
        <v>0</v>
      </c>
      <c r="N185" s="128">
        <f t="shared" si="164"/>
        <v>0</v>
      </c>
      <c r="O185" s="128">
        <f t="shared" si="164"/>
        <v>0</v>
      </c>
      <c r="P185" s="128">
        <f t="shared" si="164"/>
        <v>0</v>
      </c>
      <c r="Q185" s="128">
        <f t="shared" si="164"/>
        <v>0</v>
      </c>
      <c r="R185" s="128">
        <f t="shared" si="164"/>
        <v>0</v>
      </c>
      <c r="S185" s="128">
        <f t="shared" si="164"/>
        <v>0</v>
      </c>
      <c r="T185" s="128">
        <f t="shared" si="164"/>
        <v>0</v>
      </c>
      <c r="U185" s="128">
        <f t="shared" si="164"/>
        <v>0</v>
      </c>
      <c r="V185" s="128">
        <f t="shared" si="164"/>
        <v>0</v>
      </c>
      <c r="W185" s="128">
        <f t="shared" si="164"/>
        <v>0</v>
      </c>
      <c r="X185" s="128">
        <f t="shared" si="164"/>
        <v>0</v>
      </c>
      <c r="Y185" s="128">
        <f t="shared" si="164"/>
        <v>0</v>
      </c>
      <c r="Z185" s="128">
        <f t="shared" si="164"/>
        <v>0</v>
      </c>
      <c r="AA185" s="128">
        <f t="shared" si="164"/>
        <v>0</v>
      </c>
      <c r="AB185" s="128">
        <f t="shared" si="164"/>
        <v>0</v>
      </c>
      <c r="AC185" s="128">
        <f t="shared" si="164"/>
        <v>0</v>
      </c>
      <c r="AD185" s="128">
        <f t="shared" si="164"/>
        <v>0</v>
      </c>
      <c r="AE185" s="128">
        <f t="shared" si="164"/>
        <v>0</v>
      </c>
      <c r="AF185" s="128">
        <f t="shared" si="164"/>
        <v>0</v>
      </c>
      <c r="AG185" s="128">
        <f t="shared" si="164"/>
        <v>0</v>
      </c>
      <c r="AH185" s="128">
        <f t="shared" si="164"/>
        <v>0</v>
      </c>
      <c r="AI185" s="128">
        <f t="shared" si="164"/>
        <v>0</v>
      </c>
      <c r="AJ185" s="128">
        <f t="shared" si="164"/>
        <v>0</v>
      </c>
      <c r="AK185" s="128">
        <f t="shared" si="164"/>
        <v>0</v>
      </c>
    </row>
    <row r="186" spans="1:37" x14ac:dyDescent="0.15">
      <c r="A186" s="24" t="s">
        <v>124</v>
      </c>
      <c r="H186" s="128">
        <f t="shared" ref="H186:AK186" si="165">+H135</f>
        <v>0</v>
      </c>
      <c r="I186" s="128">
        <f t="shared" si="165"/>
        <v>0</v>
      </c>
      <c r="J186" s="128">
        <f t="shared" si="165"/>
        <v>352231.95</v>
      </c>
      <c r="K186" s="128">
        <f t="shared" si="165"/>
        <v>0</v>
      </c>
      <c r="L186" s="128">
        <f t="shared" si="165"/>
        <v>0</v>
      </c>
      <c r="M186" s="128">
        <f t="shared" si="165"/>
        <v>352231.95</v>
      </c>
      <c r="N186" s="128">
        <f t="shared" si="165"/>
        <v>0</v>
      </c>
      <c r="O186" s="128">
        <f t="shared" si="165"/>
        <v>0</v>
      </c>
      <c r="P186" s="128">
        <f t="shared" si="165"/>
        <v>117413.28499999999</v>
      </c>
      <c r="Q186" s="128">
        <f t="shared" si="165"/>
        <v>0</v>
      </c>
      <c r="R186" s="128">
        <f t="shared" si="165"/>
        <v>0</v>
      </c>
      <c r="S186" s="128">
        <f t="shared" si="165"/>
        <v>117413.28499999999</v>
      </c>
      <c r="T186" s="128">
        <f t="shared" si="165"/>
        <v>0</v>
      </c>
      <c r="U186" s="128">
        <f t="shared" si="165"/>
        <v>0</v>
      </c>
      <c r="V186" s="128">
        <f t="shared" si="165"/>
        <v>117413.28499999999</v>
      </c>
      <c r="W186" s="128">
        <f t="shared" si="165"/>
        <v>0</v>
      </c>
      <c r="X186" s="128">
        <f t="shared" si="165"/>
        <v>0</v>
      </c>
      <c r="Y186" s="128">
        <f t="shared" si="165"/>
        <v>117413.28499999999</v>
      </c>
      <c r="Z186" s="128">
        <f t="shared" si="165"/>
        <v>0</v>
      </c>
      <c r="AA186" s="128">
        <f t="shared" si="165"/>
        <v>0</v>
      </c>
      <c r="AB186" s="128">
        <f t="shared" si="165"/>
        <v>0</v>
      </c>
      <c r="AC186" s="128">
        <f t="shared" si="165"/>
        <v>0</v>
      </c>
      <c r="AD186" s="128">
        <f t="shared" si="165"/>
        <v>0</v>
      </c>
      <c r="AE186" s="128">
        <f t="shared" si="165"/>
        <v>0</v>
      </c>
      <c r="AF186" s="128">
        <f t="shared" si="165"/>
        <v>0</v>
      </c>
      <c r="AG186" s="128">
        <f t="shared" si="165"/>
        <v>0</v>
      </c>
      <c r="AH186" s="128">
        <f t="shared" si="165"/>
        <v>0</v>
      </c>
      <c r="AI186" s="128">
        <f t="shared" si="165"/>
        <v>0</v>
      </c>
      <c r="AJ186" s="128">
        <f t="shared" si="165"/>
        <v>0</v>
      </c>
      <c r="AK186" s="128">
        <f t="shared" si="165"/>
        <v>0</v>
      </c>
    </row>
    <row r="187" spans="1:37" x14ac:dyDescent="0.15">
      <c r="A187" s="24" t="s">
        <v>122</v>
      </c>
      <c r="H187" s="128">
        <f t="shared" ref="H187:AK187" si="166">+H136</f>
        <v>0</v>
      </c>
      <c r="I187" s="128">
        <f t="shared" si="166"/>
        <v>0</v>
      </c>
      <c r="J187" s="128">
        <f t="shared" si="166"/>
        <v>597858.98032258044</v>
      </c>
      <c r="K187" s="128">
        <f t="shared" si="166"/>
        <v>0</v>
      </c>
      <c r="L187" s="128">
        <f t="shared" si="166"/>
        <v>0</v>
      </c>
      <c r="M187" s="128">
        <f t="shared" si="166"/>
        <v>597858.98032258044</v>
      </c>
      <c r="N187" s="128">
        <f t="shared" si="166"/>
        <v>0</v>
      </c>
      <c r="O187" s="128">
        <f t="shared" si="166"/>
        <v>0</v>
      </c>
      <c r="P187" s="128">
        <f t="shared" si="166"/>
        <v>597858.9911290328</v>
      </c>
      <c r="Q187" s="128">
        <f t="shared" si="166"/>
        <v>0</v>
      </c>
      <c r="R187" s="128">
        <f t="shared" si="166"/>
        <v>0</v>
      </c>
      <c r="S187" s="128">
        <f t="shared" si="166"/>
        <v>597858.9911290328</v>
      </c>
      <c r="T187" s="128">
        <f t="shared" si="166"/>
        <v>0</v>
      </c>
      <c r="U187" s="128">
        <f t="shared" si="166"/>
        <v>0</v>
      </c>
      <c r="V187" s="128">
        <f t="shared" si="166"/>
        <v>597858.9911290328</v>
      </c>
      <c r="W187" s="128">
        <f t="shared" si="166"/>
        <v>0</v>
      </c>
      <c r="X187" s="128">
        <f t="shared" si="166"/>
        <v>0</v>
      </c>
      <c r="Y187" s="128">
        <f t="shared" si="166"/>
        <v>597858.9911290328</v>
      </c>
      <c r="Z187" s="128">
        <f t="shared" si="166"/>
        <v>0</v>
      </c>
      <c r="AA187" s="128">
        <f t="shared" si="166"/>
        <v>0</v>
      </c>
      <c r="AB187" s="128">
        <f t="shared" si="166"/>
        <v>599496.96096774284</v>
      </c>
      <c r="AC187" s="128">
        <f t="shared" si="166"/>
        <v>0</v>
      </c>
      <c r="AD187" s="128">
        <f t="shared" si="166"/>
        <v>0</v>
      </c>
      <c r="AE187" s="128">
        <f t="shared" si="166"/>
        <v>599496.96096774284</v>
      </c>
      <c r="AF187" s="128">
        <f t="shared" si="166"/>
        <v>0</v>
      </c>
      <c r="AG187" s="128">
        <f t="shared" si="166"/>
        <v>0</v>
      </c>
      <c r="AH187" s="128">
        <f t="shared" si="166"/>
        <v>599496.96096774284</v>
      </c>
      <c r="AI187" s="128">
        <f t="shared" si="166"/>
        <v>0</v>
      </c>
      <c r="AJ187" s="128">
        <f t="shared" si="166"/>
        <v>0</v>
      </c>
      <c r="AK187" s="128">
        <f t="shared" si="166"/>
        <v>599496.96096774284</v>
      </c>
    </row>
    <row r="188" spans="1:37" x14ac:dyDescent="0.15">
      <c r="A188" s="24" t="s">
        <v>123</v>
      </c>
      <c r="H188" s="128">
        <f t="shared" ref="H188:AK188" si="167">+H137</f>
        <v>0</v>
      </c>
      <c r="I188" s="128">
        <f t="shared" si="167"/>
        <v>0</v>
      </c>
      <c r="J188" s="128">
        <f t="shared" si="167"/>
        <v>-358384.67499999935</v>
      </c>
      <c r="K188" s="128">
        <f t="shared" si="167"/>
        <v>0</v>
      </c>
      <c r="L188" s="128">
        <f t="shared" si="167"/>
        <v>0</v>
      </c>
      <c r="M188" s="128">
        <f t="shared" si="167"/>
        <v>-358384.67499999935</v>
      </c>
      <c r="N188" s="128">
        <f t="shared" si="167"/>
        <v>0</v>
      </c>
      <c r="O188" s="128">
        <f t="shared" si="167"/>
        <v>0</v>
      </c>
      <c r="P188" s="128">
        <f t="shared" si="167"/>
        <v>-358344.04749999521</v>
      </c>
      <c r="Q188" s="128">
        <f t="shared" si="167"/>
        <v>0</v>
      </c>
      <c r="R188" s="128">
        <f t="shared" si="167"/>
        <v>0</v>
      </c>
      <c r="S188" s="128">
        <f t="shared" si="167"/>
        <v>-358344.04749999521</v>
      </c>
      <c r="T188" s="128">
        <f t="shared" si="167"/>
        <v>0</v>
      </c>
      <c r="U188" s="128">
        <f t="shared" si="167"/>
        <v>0</v>
      </c>
      <c r="V188" s="128">
        <f t="shared" si="167"/>
        <v>-358344.04749999521</v>
      </c>
      <c r="W188" s="128">
        <f t="shared" si="167"/>
        <v>0</v>
      </c>
      <c r="X188" s="128">
        <f t="shared" si="167"/>
        <v>0</v>
      </c>
      <c r="Y188" s="128">
        <f t="shared" si="167"/>
        <v>-358344.04749999521</v>
      </c>
      <c r="Z188" s="128">
        <f t="shared" si="167"/>
        <v>0</v>
      </c>
      <c r="AA188" s="128">
        <f t="shared" si="167"/>
        <v>0</v>
      </c>
      <c r="AB188" s="128">
        <f t="shared" si="167"/>
        <v>-359325.80999999662</v>
      </c>
      <c r="AC188" s="128">
        <f t="shared" si="167"/>
        <v>0</v>
      </c>
      <c r="AD188" s="128">
        <f t="shared" si="167"/>
        <v>0</v>
      </c>
      <c r="AE188" s="128">
        <f t="shared" si="167"/>
        <v>-359325.80999999662</v>
      </c>
      <c r="AF188" s="128">
        <f t="shared" si="167"/>
        <v>0</v>
      </c>
      <c r="AG188" s="128">
        <f t="shared" si="167"/>
        <v>0</v>
      </c>
      <c r="AH188" s="128">
        <f t="shared" si="167"/>
        <v>-359325.80999999662</v>
      </c>
      <c r="AI188" s="128">
        <f t="shared" si="167"/>
        <v>0</v>
      </c>
      <c r="AJ188" s="128">
        <f t="shared" si="167"/>
        <v>0</v>
      </c>
      <c r="AK188" s="128">
        <f t="shared" si="167"/>
        <v>-359325.80999999662</v>
      </c>
    </row>
    <row r="189" spans="1:37" x14ac:dyDescent="0.15">
      <c r="A189" s="24" t="s">
        <v>59</v>
      </c>
      <c r="H189" s="128">
        <f t="shared" ref="H189:AK189" si="168">+H138</f>
        <v>0</v>
      </c>
      <c r="I189" s="128">
        <f t="shared" si="168"/>
        <v>0</v>
      </c>
      <c r="J189" s="128">
        <f t="shared" si="168"/>
        <v>2460296.7545230407</v>
      </c>
      <c r="K189" s="128">
        <f t="shared" si="168"/>
        <v>0</v>
      </c>
      <c r="L189" s="128">
        <f t="shared" si="168"/>
        <v>0</v>
      </c>
      <c r="M189" s="128">
        <f t="shared" si="168"/>
        <v>2460296.7545230407</v>
      </c>
      <c r="N189" s="128">
        <f t="shared" si="168"/>
        <v>0</v>
      </c>
      <c r="O189" s="128">
        <f t="shared" si="168"/>
        <v>0</v>
      </c>
      <c r="P189" s="128">
        <f t="shared" si="168"/>
        <v>2637329.8565131077</v>
      </c>
      <c r="Q189" s="128">
        <f t="shared" si="168"/>
        <v>0</v>
      </c>
      <c r="R189" s="128">
        <f t="shared" si="168"/>
        <v>0</v>
      </c>
      <c r="S189" s="128">
        <f t="shared" si="168"/>
        <v>2637329.8565131077</v>
      </c>
      <c r="T189" s="128">
        <f t="shared" si="168"/>
        <v>0</v>
      </c>
      <c r="U189" s="128">
        <f t="shared" si="168"/>
        <v>0</v>
      </c>
      <c r="V189" s="128">
        <f t="shared" si="168"/>
        <v>2637329.8565131077</v>
      </c>
      <c r="W189" s="128">
        <f t="shared" si="168"/>
        <v>0</v>
      </c>
      <c r="X189" s="128">
        <f t="shared" si="168"/>
        <v>0</v>
      </c>
      <c r="Y189" s="128">
        <f t="shared" si="168"/>
        <v>2637329.8565131077</v>
      </c>
      <c r="Z189" s="128">
        <f t="shared" si="168"/>
        <v>0</v>
      </c>
      <c r="AA189" s="128">
        <f t="shared" si="168"/>
        <v>0</v>
      </c>
      <c r="AB189" s="128">
        <f t="shared" si="168"/>
        <v>1590992.6772505215</v>
      </c>
      <c r="AC189" s="128">
        <f t="shared" si="168"/>
        <v>0</v>
      </c>
      <c r="AD189" s="128">
        <f t="shared" si="168"/>
        <v>0</v>
      </c>
      <c r="AE189" s="128">
        <f t="shared" si="168"/>
        <v>1590992.6772505215</v>
      </c>
      <c r="AF189" s="128">
        <f t="shared" si="168"/>
        <v>0</v>
      </c>
      <c r="AG189" s="128">
        <f t="shared" si="168"/>
        <v>0</v>
      </c>
      <c r="AH189" s="128">
        <f t="shared" si="168"/>
        <v>1590992.6772505215</v>
      </c>
      <c r="AI189" s="128">
        <f t="shared" si="168"/>
        <v>0</v>
      </c>
      <c r="AJ189" s="128">
        <f t="shared" si="168"/>
        <v>0</v>
      </c>
      <c r="AK189" s="128">
        <f t="shared" si="168"/>
        <v>1590992.6772505215</v>
      </c>
    </row>
    <row r="190" spans="1:37" x14ac:dyDescent="0.15">
      <c r="A190" s="24" t="s">
        <v>373</v>
      </c>
      <c r="H190" s="128"/>
      <c r="I190" s="128"/>
      <c r="J190" s="128">
        <f t="shared" ref="J190:J203" si="169">+J139</f>
        <v>-175592.75</v>
      </c>
      <c r="K190" s="128"/>
      <c r="L190" s="128"/>
      <c r="M190" s="128">
        <f t="shared" ref="M190:M203" si="170">+M139</f>
        <v>-175592.75</v>
      </c>
      <c r="N190" s="128"/>
      <c r="O190" s="128"/>
      <c r="P190" s="128">
        <f t="shared" ref="P190:AK190" si="171">+P139</f>
        <v>-5275407</v>
      </c>
      <c r="Q190" s="128">
        <f t="shared" si="171"/>
        <v>0</v>
      </c>
      <c r="R190" s="128">
        <f t="shared" si="171"/>
        <v>0</v>
      </c>
      <c r="S190" s="128">
        <f t="shared" si="171"/>
        <v>-5275407</v>
      </c>
      <c r="T190" s="128">
        <f t="shared" si="171"/>
        <v>0</v>
      </c>
      <c r="U190" s="128">
        <f t="shared" si="171"/>
        <v>0</v>
      </c>
      <c r="V190" s="128">
        <f t="shared" si="171"/>
        <v>-5275407</v>
      </c>
      <c r="W190" s="128">
        <f t="shared" si="171"/>
        <v>0</v>
      </c>
      <c r="X190" s="128">
        <f t="shared" si="171"/>
        <v>0</v>
      </c>
      <c r="Y190" s="128">
        <f t="shared" si="171"/>
        <v>-5275407</v>
      </c>
      <c r="Z190" s="128">
        <f t="shared" si="171"/>
        <v>0</v>
      </c>
      <c r="AA190" s="128">
        <f t="shared" si="171"/>
        <v>0</v>
      </c>
      <c r="AB190" s="128">
        <f t="shared" si="171"/>
        <v>-149123.75</v>
      </c>
      <c r="AC190" s="128">
        <f t="shared" si="171"/>
        <v>0</v>
      </c>
      <c r="AD190" s="128">
        <f t="shared" si="171"/>
        <v>0</v>
      </c>
      <c r="AE190" s="128">
        <f t="shared" si="171"/>
        <v>-149123.75</v>
      </c>
      <c r="AF190" s="128">
        <f t="shared" si="171"/>
        <v>0</v>
      </c>
      <c r="AG190" s="128">
        <f t="shared" si="171"/>
        <v>0</v>
      </c>
      <c r="AH190" s="128">
        <f t="shared" si="171"/>
        <v>-149123.75</v>
      </c>
      <c r="AI190" s="128">
        <f t="shared" si="171"/>
        <v>0</v>
      </c>
      <c r="AJ190" s="128">
        <f t="shared" si="171"/>
        <v>0</v>
      </c>
      <c r="AK190" s="128">
        <f t="shared" si="171"/>
        <v>-149123.75</v>
      </c>
    </row>
    <row r="191" spans="1:37" x14ac:dyDescent="0.15">
      <c r="A191" s="24" t="s">
        <v>62</v>
      </c>
      <c r="H191" s="128">
        <f t="shared" ref="H191:I203" si="172">+H140</f>
        <v>0</v>
      </c>
      <c r="I191" s="128">
        <f t="shared" si="172"/>
        <v>0</v>
      </c>
      <c r="J191" s="128">
        <f t="shared" si="169"/>
        <v>0</v>
      </c>
      <c r="K191" s="128">
        <f t="shared" ref="K191:L203" si="173">+K140</f>
        <v>0</v>
      </c>
      <c r="L191" s="128">
        <f t="shared" si="173"/>
        <v>0</v>
      </c>
      <c r="M191" s="128">
        <f t="shared" si="170"/>
        <v>0</v>
      </c>
      <c r="N191" s="128">
        <f t="shared" ref="N191:O203" si="174">+N140</f>
        <v>0</v>
      </c>
      <c r="O191" s="128">
        <f t="shared" si="174"/>
        <v>0</v>
      </c>
      <c r="P191" s="128">
        <f t="shared" ref="P191:AK191" si="175">+P140</f>
        <v>0</v>
      </c>
      <c r="Q191" s="128">
        <f t="shared" si="175"/>
        <v>0</v>
      </c>
      <c r="R191" s="128">
        <f t="shared" si="175"/>
        <v>0</v>
      </c>
      <c r="S191" s="128">
        <f t="shared" si="175"/>
        <v>0</v>
      </c>
      <c r="T191" s="128">
        <f t="shared" si="175"/>
        <v>0</v>
      </c>
      <c r="U191" s="128">
        <f t="shared" si="175"/>
        <v>0</v>
      </c>
      <c r="V191" s="128">
        <f t="shared" si="175"/>
        <v>0</v>
      </c>
      <c r="W191" s="128">
        <f t="shared" si="175"/>
        <v>0</v>
      </c>
      <c r="X191" s="128">
        <f t="shared" si="175"/>
        <v>0</v>
      </c>
      <c r="Y191" s="128">
        <f t="shared" si="175"/>
        <v>0</v>
      </c>
      <c r="Z191" s="128">
        <f t="shared" si="175"/>
        <v>0</v>
      </c>
      <c r="AA191" s="128">
        <f t="shared" si="175"/>
        <v>0</v>
      </c>
      <c r="AB191" s="128">
        <f t="shared" si="175"/>
        <v>0</v>
      </c>
      <c r="AC191" s="128">
        <f t="shared" si="175"/>
        <v>0</v>
      </c>
      <c r="AD191" s="128">
        <f t="shared" si="175"/>
        <v>0</v>
      </c>
      <c r="AE191" s="128">
        <f t="shared" si="175"/>
        <v>0</v>
      </c>
      <c r="AF191" s="128">
        <f t="shared" si="175"/>
        <v>0</v>
      </c>
      <c r="AG191" s="128">
        <f t="shared" si="175"/>
        <v>0</v>
      </c>
      <c r="AH191" s="128">
        <f t="shared" si="175"/>
        <v>0</v>
      </c>
      <c r="AI191" s="128">
        <f t="shared" si="175"/>
        <v>0</v>
      </c>
      <c r="AJ191" s="128">
        <f t="shared" si="175"/>
        <v>0</v>
      </c>
      <c r="AK191" s="128">
        <f t="shared" si="175"/>
        <v>0</v>
      </c>
    </row>
    <row r="192" spans="1:37" x14ac:dyDescent="0.15">
      <c r="A192" s="24" t="s">
        <v>126</v>
      </c>
      <c r="H192" s="128">
        <f t="shared" si="172"/>
        <v>0</v>
      </c>
      <c r="I192" s="128">
        <f t="shared" si="172"/>
        <v>0</v>
      </c>
      <c r="J192" s="128">
        <f t="shared" si="169"/>
        <v>1634429.6850000001</v>
      </c>
      <c r="K192" s="128">
        <f t="shared" si="173"/>
        <v>0</v>
      </c>
      <c r="L192" s="128">
        <f t="shared" si="173"/>
        <v>0</v>
      </c>
      <c r="M192" s="128">
        <f t="shared" si="170"/>
        <v>1634429.6850000001</v>
      </c>
      <c r="N192" s="128">
        <f t="shared" si="174"/>
        <v>0</v>
      </c>
      <c r="O192" s="128">
        <f t="shared" si="174"/>
        <v>0</v>
      </c>
      <c r="P192" s="128">
        <f t="shared" ref="P192:AK192" si="176">+P141</f>
        <v>0</v>
      </c>
      <c r="Q192" s="128">
        <f t="shared" si="176"/>
        <v>0</v>
      </c>
      <c r="R192" s="128">
        <f t="shared" si="176"/>
        <v>0</v>
      </c>
      <c r="S192" s="128">
        <f t="shared" si="176"/>
        <v>0</v>
      </c>
      <c r="T192" s="128">
        <f t="shared" si="176"/>
        <v>0</v>
      </c>
      <c r="U192" s="128">
        <f t="shared" si="176"/>
        <v>0</v>
      </c>
      <c r="V192" s="128">
        <f t="shared" si="176"/>
        <v>0</v>
      </c>
      <c r="W192" s="128">
        <f t="shared" si="176"/>
        <v>0</v>
      </c>
      <c r="X192" s="128">
        <f t="shared" si="176"/>
        <v>0</v>
      </c>
      <c r="Y192" s="128">
        <f t="shared" si="176"/>
        <v>0</v>
      </c>
      <c r="Z192" s="128">
        <f t="shared" si="176"/>
        <v>0</v>
      </c>
      <c r="AA192" s="128">
        <f t="shared" si="176"/>
        <v>0</v>
      </c>
      <c r="AB192" s="128">
        <f t="shared" si="176"/>
        <v>0</v>
      </c>
      <c r="AC192" s="128">
        <f t="shared" si="176"/>
        <v>0</v>
      </c>
      <c r="AD192" s="128">
        <f t="shared" si="176"/>
        <v>0</v>
      </c>
      <c r="AE192" s="128">
        <f t="shared" si="176"/>
        <v>0</v>
      </c>
      <c r="AF192" s="128">
        <f t="shared" si="176"/>
        <v>0</v>
      </c>
      <c r="AG192" s="128">
        <f t="shared" si="176"/>
        <v>0</v>
      </c>
      <c r="AH192" s="128">
        <f t="shared" si="176"/>
        <v>0</v>
      </c>
      <c r="AI192" s="128">
        <f t="shared" si="176"/>
        <v>0</v>
      </c>
      <c r="AJ192" s="128">
        <f t="shared" si="176"/>
        <v>0</v>
      </c>
      <c r="AK192" s="128">
        <f t="shared" si="176"/>
        <v>0</v>
      </c>
    </row>
    <row r="193" spans="1:37" x14ac:dyDescent="0.15">
      <c r="A193" s="24" t="s">
        <v>125</v>
      </c>
      <c r="H193" s="128">
        <f t="shared" si="172"/>
        <v>0</v>
      </c>
      <c r="I193" s="128">
        <f t="shared" si="172"/>
        <v>0</v>
      </c>
      <c r="J193" s="128">
        <f t="shared" si="169"/>
        <v>0</v>
      </c>
      <c r="K193" s="128">
        <f t="shared" si="173"/>
        <v>0</v>
      </c>
      <c r="L193" s="128">
        <f t="shared" si="173"/>
        <v>0</v>
      </c>
      <c r="M193" s="128">
        <f t="shared" si="170"/>
        <v>0</v>
      </c>
      <c r="N193" s="128">
        <f t="shared" si="174"/>
        <v>0</v>
      </c>
      <c r="O193" s="128">
        <f t="shared" si="174"/>
        <v>0</v>
      </c>
      <c r="P193" s="128">
        <f t="shared" ref="P193:AK193" si="177">+P142</f>
        <v>0</v>
      </c>
      <c r="Q193" s="128">
        <f t="shared" si="177"/>
        <v>0</v>
      </c>
      <c r="R193" s="128">
        <f t="shared" si="177"/>
        <v>0</v>
      </c>
      <c r="S193" s="128">
        <f t="shared" si="177"/>
        <v>0</v>
      </c>
      <c r="T193" s="128">
        <f t="shared" si="177"/>
        <v>0</v>
      </c>
      <c r="U193" s="128">
        <f t="shared" si="177"/>
        <v>0</v>
      </c>
      <c r="V193" s="128">
        <f t="shared" si="177"/>
        <v>0</v>
      </c>
      <c r="W193" s="128">
        <f t="shared" si="177"/>
        <v>0</v>
      </c>
      <c r="X193" s="128">
        <f t="shared" si="177"/>
        <v>0</v>
      </c>
      <c r="Y193" s="128">
        <f t="shared" si="177"/>
        <v>0</v>
      </c>
      <c r="Z193" s="128">
        <f t="shared" si="177"/>
        <v>0</v>
      </c>
      <c r="AA193" s="128">
        <f t="shared" si="177"/>
        <v>0</v>
      </c>
      <c r="AB193" s="128">
        <f t="shared" si="177"/>
        <v>0</v>
      </c>
      <c r="AC193" s="128">
        <f t="shared" si="177"/>
        <v>0</v>
      </c>
      <c r="AD193" s="128">
        <f t="shared" si="177"/>
        <v>0</v>
      </c>
      <c r="AE193" s="128">
        <f t="shared" si="177"/>
        <v>0</v>
      </c>
      <c r="AF193" s="128">
        <f t="shared" si="177"/>
        <v>0</v>
      </c>
      <c r="AG193" s="128">
        <f t="shared" si="177"/>
        <v>0</v>
      </c>
      <c r="AH193" s="128">
        <f t="shared" si="177"/>
        <v>0</v>
      </c>
      <c r="AI193" s="128">
        <f t="shared" si="177"/>
        <v>0</v>
      </c>
      <c r="AJ193" s="128">
        <f t="shared" si="177"/>
        <v>0</v>
      </c>
      <c r="AK193" s="128">
        <f t="shared" si="177"/>
        <v>0</v>
      </c>
    </row>
    <row r="194" spans="1:37" x14ac:dyDescent="0.15">
      <c r="A194" s="24" t="s">
        <v>128</v>
      </c>
      <c r="H194" s="128">
        <f t="shared" si="172"/>
        <v>0</v>
      </c>
      <c r="I194" s="128">
        <f t="shared" si="172"/>
        <v>0</v>
      </c>
      <c r="J194" s="128">
        <f t="shared" si="169"/>
        <v>-6972.9718207570559</v>
      </c>
      <c r="K194" s="128">
        <f t="shared" si="173"/>
        <v>0</v>
      </c>
      <c r="L194" s="128">
        <f t="shared" si="173"/>
        <v>0</v>
      </c>
      <c r="M194" s="128">
        <f t="shared" si="170"/>
        <v>-6972.9718207570559</v>
      </c>
      <c r="N194" s="128">
        <f t="shared" si="174"/>
        <v>0</v>
      </c>
      <c r="O194" s="128">
        <f t="shared" si="174"/>
        <v>0</v>
      </c>
      <c r="P194" s="128">
        <f t="shared" ref="P194:AK194" si="178">+P143</f>
        <v>3131.4781889948499</v>
      </c>
      <c r="Q194" s="128">
        <f t="shared" si="178"/>
        <v>0</v>
      </c>
      <c r="R194" s="128">
        <f t="shared" si="178"/>
        <v>0</v>
      </c>
      <c r="S194" s="128">
        <f t="shared" si="178"/>
        <v>3131.4781889948499</v>
      </c>
      <c r="T194" s="128">
        <f t="shared" si="178"/>
        <v>0</v>
      </c>
      <c r="U194" s="128">
        <f t="shared" si="178"/>
        <v>0</v>
      </c>
      <c r="V194" s="128">
        <f t="shared" si="178"/>
        <v>3131.4781889948499</v>
      </c>
      <c r="W194" s="128">
        <f t="shared" si="178"/>
        <v>0</v>
      </c>
      <c r="X194" s="128">
        <f t="shared" si="178"/>
        <v>0</v>
      </c>
      <c r="Y194" s="128">
        <f t="shared" si="178"/>
        <v>3131.4781889948499</v>
      </c>
      <c r="Z194" s="128">
        <f t="shared" si="178"/>
        <v>0</v>
      </c>
      <c r="AA194" s="128">
        <f t="shared" si="178"/>
        <v>0</v>
      </c>
      <c r="AB194" s="128">
        <f t="shared" si="178"/>
        <v>1574.8416574643902</v>
      </c>
      <c r="AC194" s="128">
        <f t="shared" si="178"/>
        <v>0</v>
      </c>
      <c r="AD194" s="128">
        <f t="shared" si="178"/>
        <v>0</v>
      </c>
      <c r="AE194" s="128">
        <f t="shared" si="178"/>
        <v>1574.8416574643902</v>
      </c>
      <c r="AF194" s="128">
        <f t="shared" si="178"/>
        <v>0</v>
      </c>
      <c r="AG194" s="128">
        <f t="shared" si="178"/>
        <v>0</v>
      </c>
      <c r="AH194" s="128">
        <f t="shared" si="178"/>
        <v>1574.8416574643902</v>
      </c>
      <c r="AI194" s="128">
        <f t="shared" si="178"/>
        <v>0</v>
      </c>
      <c r="AJ194" s="128">
        <f t="shared" si="178"/>
        <v>0</v>
      </c>
      <c r="AK194" s="128">
        <f t="shared" si="178"/>
        <v>1574.8416574643902</v>
      </c>
    </row>
    <row r="195" spans="1:37" x14ac:dyDescent="0.15">
      <c r="A195" s="24" t="s">
        <v>412</v>
      </c>
      <c r="H195" s="128">
        <f t="shared" si="172"/>
        <v>0</v>
      </c>
      <c r="I195" s="128">
        <f t="shared" si="172"/>
        <v>0</v>
      </c>
      <c r="J195" s="128">
        <f t="shared" si="169"/>
        <v>-824902.75327056751</v>
      </c>
      <c r="K195" s="128">
        <f t="shared" si="173"/>
        <v>0</v>
      </c>
      <c r="L195" s="128">
        <f t="shared" si="173"/>
        <v>0</v>
      </c>
      <c r="M195" s="128">
        <f t="shared" si="170"/>
        <v>-824902.75327056751</v>
      </c>
      <c r="N195" s="128">
        <f t="shared" si="174"/>
        <v>0</v>
      </c>
      <c r="O195" s="128">
        <f t="shared" si="174"/>
        <v>0</v>
      </c>
      <c r="P195" s="128">
        <f t="shared" ref="P195:AK195" si="179">+P144</f>
        <v>-1872183.1396596343</v>
      </c>
      <c r="Q195" s="128">
        <f t="shared" si="179"/>
        <v>0</v>
      </c>
      <c r="R195" s="128">
        <f t="shared" si="179"/>
        <v>0</v>
      </c>
      <c r="S195" s="128">
        <f t="shared" si="179"/>
        <v>-1872183.1396596343</v>
      </c>
      <c r="T195" s="128">
        <f t="shared" si="179"/>
        <v>0</v>
      </c>
      <c r="U195" s="128">
        <f t="shared" si="179"/>
        <v>0</v>
      </c>
      <c r="V195" s="128">
        <f t="shared" si="179"/>
        <v>-1872183.1396596343</v>
      </c>
      <c r="W195" s="128">
        <f t="shared" si="179"/>
        <v>0</v>
      </c>
      <c r="X195" s="128">
        <f t="shared" si="179"/>
        <v>0</v>
      </c>
      <c r="Y195" s="128">
        <f t="shared" si="179"/>
        <v>-1872183.1396596343</v>
      </c>
      <c r="Z195" s="128">
        <f t="shared" si="179"/>
        <v>0</v>
      </c>
      <c r="AA195" s="128">
        <f t="shared" si="179"/>
        <v>0</v>
      </c>
      <c r="AB195" s="128">
        <f t="shared" si="179"/>
        <v>-2603570.3682858087</v>
      </c>
      <c r="AC195" s="128">
        <f t="shared" si="179"/>
        <v>0</v>
      </c>
      <c r="AD195" s="128">
        <f t="shared" si="179"/>
        <v>0</v>
      </c>
      <c r="AE195" s="128">
        <f t="shared" si="179"/>
        <v>-2603570.3682858087</v>
      </c>
      <c r="AF195" s="128">
        <f t="shared" si="179"/>
        <v>0</v>
      </c>
      <c r="AG195" s="128">
        <f t="shared" si="179"/>
        <v>0</v>
      </c>
      <c r="AH195" s="128">
        <f t="shared" si="179"/>
        <v>-2603570.3682858087</v>
      </c>
      <c r="AI195" s="128">
        <f t="shared" si="179"/>
        <v>0</v>
      </c>
      <c r="AJ195" s="128">
        <f t="shared" si="179"/>
        <v>0</v>
      </c>
      <c r="AK195" s="128">
        <f t="shared" si="179"/>
        <v>-2603570.3682858087</v>
      </c>
    </row>
    <row r="196" spans="1:37" x14ac:dyDescent="0.15">
      <c r="A196" s="24" t="s">
        <v>127</v>
      </c>
      <c r="H196" s="128">
        <f t="shared" si="172"/>
        <v>0</v>
      </c>
      <c r="I196" s="128">
        <f t="shared" si="172"/>
        <v>0</v>
      </c>
      <c r="J196" s="128">
        <f t="shared" si="169"/>
        <v>78704.834999999948</v>
      </c>
      <c r="K196" s="128">
        <f t="shared" si="173"/>
        <v>0</v>
      </c>
      <c r="L196" s="128">
        <f t="shared" si="173"/>
        <v>0</v>
      </c>
      <c r="M196" s="128">
        <f t="shared" si="170"/>
        <v>78704.834999999948</v>
      </c>
      <c r="N196" s="128">
        <f t="shared" si="174"/>
        <v>0</v>
      </c>
      <c r="O196" s="128">
        <f t="shared" si="174"/>
        <v>0</v>
      </c>
      <c r="P196" s="128">
        <f t="shared" ref="P196:AK196" si="180">+P145</f>
        <v>78637.680000000153</v>
      </c>
      <c r="Q196" s="128">
        <f t="shared" si="180"/>
        <v>0</v>
      </c>
      <c r="R196" s="128">
        <f t="shared" si="180"/>
        <v>0</v>
      </c>
      <c r="S196" s="128">
        <f t="shared" si="180"/>
        <v>78637.680000000153</v>
      </c>
      <c r="T196" s="128">
        <f t="shared" si="180"/>
        <v>0</v>
      </c>
      <c r="U196" s="128">
        <f t="shared" si="180"/>
        <v>0</v>
      </c>
      <c r="V196" s="128">
        <f t="shared" si="180"/>
        <v>78637.680000000153</v>
      </c>
      <c r="W196" s="128">
        <f t="shared" si="180"/>
        <v>0</v>
      </c>
      <c r="X196" s="128">
        <f t="shared" si="180"/>
        <v>0</v>
      </c>
      <c r="Y196" s="128">
        <f t="shared" si="180"/>
        <v>78637.680000000153</v>
      </c>
      <c r="Z196" s="128">
        <f t="shared" si="180"/>
        <v>0</v>
      </c>
      <c r="AA196" s="128">
        <f t="shared" si="180"/>
        <v>0</v>
      </c>
      <c r="AB196" s="128">
        <f t="shared" si="180"/>
        <v>78637.680000000066</v>
      </c>
      <c r="AC196" s="128">
        <f t="shared" si="180"/>
        <v>0</v>
      </c>
      <c r="AD196" s="128">
        <f t="shared" si="180"/>
        <v>0</v>
      </c>
      <c r="AE196" s="128">
        <f t="shared" si="180"/>
        <v>78637.680000000066</v>
      </c>
      <c r="AF196" s="128">
        <f t="shared" si="180"/>
        <v>0</v>
      </c>
      <c r="AG196" s="128">
        <f t="shared" si="180"/>
        <v>0</v>
      </c>
      <c r="AH196" s="128">
        <f t="shared" si="180"/>
        <v>78637.680000000066</v>
      </c>
      <c r="AI196" s="128">
        <f t="shared" si="180"/>
        <v>0</v>
      </c>
      <c r="AJ196" s="128">
        <f t="shared" si="180"/>
        <v>0</v>
      </c>
      <c r="AK196" s="128">
        <f t="shared" si="180"/>
        <v>78637.680000000066</v>
      </c>
    </row>
    <row r="197" spans="1:37" x14ac:dyDescent="0.15">
      <c r="A197" s="24" t="s">
        <v>130</v>
      </c>
      <c r="H197" s="128">
        <f t="shared" si="172"/>
        <v>0</v>
      </c>
      <c r="I197" s="128">
        <f t="shared" si="172"/>
        <v>0</v>
      </c>
      <c r="J197" s="128">
        <f t="shared" si="169"/>
        <v>-166577.72000000047</v>
      </c>
      <c r="K197" s="128">
        <f t="shared" si="173"/>
        <v>0</v>
      </c>
      <c r="L197" s="128">
        <f t="shared" si="173"/>
        <v>0</v>
      </c>
      <c r="M197" s="128">
        <f t="shared" si="170"/>
        <v>-166577.72000000047</v>
      </c>
      <c r="N197" s="128">
        <f t="shared" si="174"/>
        <v>0</v>
      </c>
      <c r="O197" s="128">
        <f t="shared" si="174"/>
        <v>0</v>
      </c>
      <c r="P197" s="128">
        <f t="shared" ref="P197:AK197" si="181">+P146</f>
        <v>-194799.87860965388</v>
      </c>
      <c r="Q197" s="128">
        <f t="shared" si="181"/>
        <v>0</v>
      </c>
      <c r="R197" s="128">
        <f t="shared" si="181"/>
        <v>0</v>
      </c>
      <c r="S197" s="128">
        <f t="shared" si="181"/>
        <v>-194799.87860965388</v>
      </c>
      <c r="T197" s="128">
        <f t="shared" si="181"/>
        <v>0</v>
      </c>
      <c r="U197" s="128">
        <f t="shared" si="181"/>
        <v>0</v>
      </c>
      <c r="V197" s="128">
        <f t="shared" si="181"/>
        <v>-194799.87860965388</v>
      </c>
      <c r="W197" s="128">
        <f t="shared" si="181"/>
        <v>0</v>
      </c>
      <c r="X197" s="128">
        <f t="shared" si="181"/>
        <v>0</v>
      </c>
      <c r="Y197" s="128">
        <f t="shared" si="181"/>
        <v>-194799.87860965388</v>
      </c>
      <c r="Z197" s="128">
        <f t="shared" si="181"/>
        <v>0</v>
      </c>
      <c r="AA197" s="128">
        <f t="shared" si="181"/>
        <v>0</v>
      </c>
      <c r="AB197" s="128">
        <f t="shared" si="181"/>
        <v>-200115.67666448082</v>
      </c>
      <c r="AC197" s="128">
        <f t="shared" si="181"/>
        <v>0</v>
      </c>
      <c r="AD197" s="128">
        <f t="shared" si="181"/>
        <v>0</v>
      </c>
      <c r="AE197" s="128">
        <f t="shared" si="181"/>
        <v>-200115.67666448082</v>
      </c>
      <c r="AF197" s="128">
        <f t="shared" si="181"/>
        <v>0</v>
      </c>
      <c r="AG197" s="128">
        <f t="shared" si="181"/>
        <v>0</v>
      </c>
      <c r="AH197" s="128">
        <f t="shared" si="181"/>
        <v>-200115.67666448082</v>
      </c>
      <c r="AI197" s="128">
        <f t="shared" si="181"/>
        <v>0</v>
      </c>
      <c r="AJ197" s="128">
        <f t="shared" si="181"/>
        <v>0</v>
      </c>
      <c r="AK197" s="128">
        <f t="shared" si="181"/>
        <v>-200115.67666448082</v>
      </c>
    </row>
    <row r="198" spans="1:37" x14ac:dyDescent="0.15">
      <c r="A198" s="24" t="s">
        <v>129</v>
      </c>
      <c r="H198" s="128">
        <f t="shared" si="172"/>
        <v>0</v>
      </c>
      <c r="I198" s="128">
        <f t="shared" si="172"/>
        <v>0</v>
      </c>
      <c r="J198" s="128">
        <f t="shared" si="169"/>
        <v>12240.079999999922</v>
      </c>
      <c r="K198" s="128">
        <f t="shared" si="173"/>
        <v>0</v>
      </c>
      <c r="L198" s="128">
        <f t="shared" si="173"/>
        <v>0</v>
      </c>
      <c r="M198" s="128">
        <f t="shared" si="170"/>
        <v>12240.079999999922</v>
      </c>
      <c r="N198" s="128">
        <f t="shared" si="174"/>
        <v>0</v>
      </c>
      <c r="O198" s="128">
        <f t="shared" si="174"/>
        <v>0</v>
      </c>
      <c r="P198" s="128">
        <f t="shared" ref="P198:AK198" si="182">+P147</f>
        <v>-39085.440000000039</v>
      </c>
      <c r="Q198" s="128">
        <f t="shared" si="182"/>
        <v>0</v>
      </c>
      <c r="R198" s="128">
        <f t="shared" si="182"/>
        <v>0</v>
      </c>
      <c r="S198" s="128">
        <f t="shared" si="182"/>
        <v>-39085.440000000039</v>
      </c>
      <c r="T198" s="128">
        <f t="shared" si="182"/>
        <v>0</v>
      </c>
      <c r="U198" s="128">
        <f t="shared" si="182"/>
        <v>0</v>
      </c>
      <c r="V198" s="128">
        <f t="shared" si="182"/>
        <v>-39085.440000000039</v>
      </c>
      <c r="W198" s="128">
        <f t="shared" si="182"/>
        <v>0</v>
      </c>
      <c r="X198" s="128">
        <f t="shared" si="182"/>
        <v>0</v>
      </c>
      <c r="Y198" s="128">
        <f t="shared" si="182"/>
        <v>-39085.440000000039</v>
      </c>
      <c r="Z198" s="128">
        <f t="shared" si="182"/>
        <v>0</v>
      </c>
      <c r="AA198" s="128">
        <f t="shared" si="182"/>
        <v>0</v>
      </c>
      <c r="AB198" s="128">
        <f t="shared" si="182"/>
        <v>-37065.269999999997</v>
      </c>
      <c r="AC198" s="128">
        <f t="shared" si="182"/>
        <v>0</v>
      </c>
      <c r="AD198" s="128">
        <f t="shared" si="182"/>
        <v>0</v>
      </c>
      <c r="AE198" s="128">
        <f t="shared" si="182"/>
        <v>-37065.269999999997</v>
      </c>
      <c r="AF198" s="128">
        <f t="shared" si="182"/>
        <v>0</v>
      </c>
      <c r="AG198" s="128">
        <f t="shared" si="182"/>
        <v>0</v>
      </c>
      <c r="AH198" s="128">
        <f t="shared" si="182"/>
        <v>-37065.269999999997</v>
      </c>
      <c r="AI198" s="128">
        <f t="shared" si="182"/>
        <v>0</v>
      </c>
      <c r="AJ198" s="128">
        <f t="shared" si="182"/>
        <v>0</v>
      </c>
      <c r="AK198" s="128">
        <f t="shared" si="182"/>
        <v>-37065.269999999997</v>
      </c>
    </row>
    <row r="199" spans="1:37" x14ac:dyDescent="0.15">
      <c r="A199" s="24" t="s">
        <v>65</v>
      </c>
      <c r="H199" s="128">
        <f t="shared" si="172"/>
        <v>0</v>
      </c>
      <c r="I199" s="128">
        <f t="shared" si="172"/>
        <v>0</v>
      </c>
      <c r="J199" s="128">
        <f t="shared" si="169"/>
        <v>-339331.78231726697</v>
      </c>
      <c r="K199" s="128">
        <f t="shared" si="173"/>
        <v>0</v>
      </c>
      <c r="L199" s="128">
        <f t="shared" si="173"/>
        <v>0</v>
      </c>
      <c r="M199" s="128">
        <f t="shared" si="170"/>
        <v>-339331.78231726697</v>
      </c>
      <c r="N199" s="128">
        <f t="shared" si="174"/>
        <v>0</v>
      </c>
      <c r="O199" s="128">
        <f t="shared" si="174"/>
        <v>0</v>
      </c>
      <c r="P199" s="128">
        <f t="shared" ref="P199:AK199" si="183">+P148</f>
        <v>214417.28796588382</v>
      </c>
      <c r="Q199" s="128">
        <f t="shared" si="183"/>
        <v>0</v>
      </c>
      <c r="R199" s="128">
        <f t="shared" si="183"/>
        <v>0</v>
      </c>
      <c r="S199" s="128">
        <f t="shared" si="183"/>
        <v>214417.28796588382</v>
      </c>
      <c r="T199" s="128">
        <f t="shared" si="183"/>
        <v>0</v>
      </c>
      <c r="U199" s="128">
        <f t="shared" si="183"/>
        <v>0</v>
      </c>
      <c r="V199" s="128">
        <f t="shared" si="183"/>
        <v>214417.28796588382</v>
      </c>
      <c r="W199" s="128">
        <f t="shared" si="183"/>
        <v>0</v>
      </c>
      <c r="X199" s="128">
        <f t="shared" si="183"/>
        <v>0</v>
      </c>
      <c r="Y199" s="128">
        <f t="shared" si="183"/>
        <v>214417.28796588382</v>
      </c>
      <c r="Z199" s="128">
        <f t="shared" si="183"/>
        <v>0</v>
      </c>
      <c r="AA199" s="128">
        <f t="shared" si="183"/>
        <v>0</v>
      </c>
      <c r="AB199" s="128">
        <f t="shared" si="183"/>
        <v>386856.5140077353</v>
      </c>
      <c r="AC199" s="128">
        <f t="shared" si="183"/>
        <v>0</v>
      </c>
      <c r="AD199" s="128">
        <f t="shared" si="183"/>
        <v>0</v>
      </c>
      <c r="AE199" s="128">
        <f t="shared" si="183"/>
        <v>386856.5140077353</v>
      </c>
      <c r="AF199" s="128">
        <f t="shared" si="183"/>
        <v>0</v>
      </c>
      <c r="AG199" s="128">
        <f t="shared" si="183"/>
        <v>0</v>
      </c>
      <c r="AH199" s="128">
        <f t="shared" si="183"/>
        <v>386856.5140077353</v>
      </c>
      <c r="AI199" s="128">
        <f t="shared" si="183"/>
        <v>0</v>
      </c>
      <c r="AJ199" s="128">
        <f t="shared" si="183"/>
        <v>0</v>
      </c>
      <c r="AK199" s="128">
        <f t="shared" si="183"/>
        <v>386856.5140077353</v>
      </c>
    </row>
    <row r="200" spans="1:37" x14ac:dyDescent="0.15">
      <c r="A200" s="24" t="s">
        <v>141</v>
      </c>
      <c r="H200" s="128">
        <f t="shared" si="172"/>
        <v>0</v>
      </c>
      <c r="I200" s="128">
        <f t="shared" si="172"/>
        <v>0</v>
      </c>
      <c r="J200" s="128">
        <f t="shared" si="169"/>
        <v>0</v>
      </c>
      <c r="K200" s="128">
        <f t="shared" si="173"/>
        <v>0</v>
      </c>
      <c r="L200" s="128">
        <f t="shared" si="173"/>
        <v>0</v>
      </c>
      <c r="M200" s="128">
        <f t="shared" si="170"/>
        <v>0</v>
      </c>
      <c r="N200" s="128">
        <f t="shared" si="174"/>
        <v>0</v>
      </c>
      <c r="O200" s="128">
        <f t="shared" si="174"/>
        <v>0</v>
      </c>
      <c r="P200" s="128">
        <f t="shared" ref="P200:AK200" si="184">+P149</f>
        <v>0</v>
      </c>
      <c r="Q200" s="128">
        <f t="shared" si="184"/>
        <v>0</v>
      </c>
      <c r="R200" s="128">
        <f t="shared" si="184"/>
        <v>0</v>
      </c>
      <c r="S200" s="128">
        <f t="shared" si="184"/>
        <v>0</v>
      </c>
      <c r="T200" s="128">
        <f t="shared" si="184"/>
        <v>0</v>
      </c>
      <c r="U200" s="128">
        <f t="shared" si="184"/>
        <v>0</v>
      </c>
      <c r="V200" s="128">
        <f t="shared" si="184"/>
        <v>0</v>
      </c>
      <c r="W200" s="128">
        <f t="shared" si="184"/>
        <v>0</v>
      </c>
      <c r="X200" s="128">
        <f t="shared" si="184"/>
        <v>0</v>
      </c>
      <c r="Y200" s="128">
        <f t="shared" si="184"/>
        <v>0</v>
      </c>
      <c r="Z200" s="128">
        <f t="shared" si="184"/>
        <v>0</v>
      </c>
      <c r="AA200" s="128">
        <f t="shared" si="184"/>
        <v>0</v>
      </c>
      <c r="AB200" s="128">
        <f t="shared" si="184"/>
        <v>0</v>
      </c>
      <c r="AC200" s="128">
        <f t="shared" si="184"/>
        <v>0</v>
      </c>
      <c r="AD200" s="128">
        <f t="shared" si="184"/>
        <v>0</v>
      </c>
      <c r="AE200" s="128">
        <f t="shared" si="184"/>
        <v>0</v>
      </c>
      <c r="AF200" s="128">
        <f t="shared" si="184"/>
        <v>0</v>
      </c>
      <c r="AG200" s="128">
        <f t="shared" si="184"/>
        <v>0</v>
      </c>
      <c r="AH200" s="128">
        <f t="shared" si="184"/>
        <v>0</v>
      </c>
      <c r="AI200" s="128">
        <f t="shared" si="184"/>
        <v>0</v>
      </c>
      <c r="AJ200" s="128">
        <f t="shared" si="184"/>
        <v>0</v>
      </c>
      <c r="AK200" s="128">
        <f t="shared" si="184"/>
        <v>0</v>
      </c>
    </row>
    <row r="201" spans="1:37" x14ac:dyDescent="0.15">
      <c r="A201" s="24" t="s">
        <v>70</v>
      </c>
      <c r="H201" s="128">
        <f t="shared" si="172"/>
        <v>0</v>
      </c>
      <c r="I201" s="128">
        <f t="shared" si="172"/>
        <v>0</v>
      </c>
      <c r="J201" s="128">
        <f t="shared" si="169"/>
        <v>-7500000</v>
      </c>
      <c r="K201" s="128">
        <f t="shared" si="173"/>
        <v>0</v>
      </c>
      <c r="L201" s="128">
        <f t="shared" si="173"/>
        <v>0</v>
      </c>
      <c r="M201" s="128">
        <f t="shared" si="170"/>
        <v>-7500000</v>
      </c>
      <c r="N201" s="128">
        <f t="shared" si="174"/>
        <v>0</v>
      </c>
      <c r="O201" s="128">
        <f t="shared" si="174"/>
        <v>0</v>
      </c>
      <c r="P201" s="128">
        <f t="shared" ref="P201:AK201" si="185">+P150</f>
        <v>-7500000</v>
      </c>
      <c r="Q201" s="128">
        <f t="shared" si="185"/>
        <v>0</v>
      </c>
      <c r="R201" s="128">
        <f t="shared" si="185"/>
        <v>0</v>
      </c>
      <c r="S201" s="128">
        <f t="shared" si="185"/>
        <v>-7500000</v>
      </c>
      <c r="T201" s="128">
        <f t="shared" si="185"/>
        <v>0</v>
      </c>
      <c r="U201" s="128">
        <f t="shared" si="185"/>
        <v>0</v>
      </c>
      <c r="V201" s="128">
        <f t="shared" si="185"/>
        <v>-7500000</v>
      </c>
      <c r="W201" s="128">
        <f t="shared" si="185"/>
        <v>0</v>
      </c>
      <c r="X201" s="128">
        <f t="shared" si="185"/>
        <v>0</v>
      </c>
      <c r="Y201" s="128">
        <f t="shared" si="185"/>
        <v>-7500000</v>
      </c>
      <c r="Z201" s="128">
        <f t="shared" si="185"/>
        <v>0</v>
      </c>
      <c r="AA201" s="128">
        <f t="shared" si="185"/>
        <v>0</v>
      </c>
      <c r="AB201" s="128">
        <f t="shared" si="185"/>
        <v>-7500000</v>
      </c>
      <c r="AC201" s="128">
        <f t="shared" si="185"/>
        <v>0</v>
      </c>
      <c r="AD201" s="128">
        <f t="shared" si="185"/>
        <v>0</v>
      </c>
      <c r="AE201" s="128">
        <f t="shared" si="185"/>
        <v>-7500000</v>
      </c>
      <c r="AF201" s="128">
        <f t="shared" si="185"/>
        <v>0</v>
      </c>
      <c r="AG201" s="128">
        <f t="shared" si="185"/>
        <v>0</v>
      </c>
      <c r="AH201" s="128">
        <f t="shared" si="185"/>
        <v>-7500000</v>
      </c>
      <c r="AI201" s="128">
        <f t="shared" si="185"/>
        <v>0</v>
      </c>
      <c r="AJ201" s="128">
        <f t="shared" si="185"/>
        <v>0</v>
      </c>
      <c r="AK201" s="128">
        <f t="shared" si="185"/>
        <v>-7500000</v>
      </c>
    </row>
    <row r="202" spans="1:37" x14ac:dyDescent="0.15">
      <c r="A202" s="24" t="s">
        <v>119</v>
      </c>
      <c r="H202" s="128">
        <f t="shared" si="172"/>
        <v>0</v>
      </c>
      <c r="I202" s="128">
        <f t="shared" si="172"/>
        <v>0</v>
      </c>
      <c r="J202" s="128">
        <f t="shared" si="169"/>
        <v>0</v>
      </c>
      <c r="K202" s="128">
        <f t="shared" si="173"/>
        <v>0</v>
      </c>
      <c r="L202" s="128">
        <f t="shared" si="173"/>
        <v>0</v>
      </c>
      <c r="M202" s="128">
        <f t="shared" si="170"/>
        <v>0</v>
      </c>
      <c r="N202" s="128">
        <f t="shared" si="174"/>
        <v>0</v>
      </c>
      <c r="O202" s="128">
        <f t="shared" si="174"/>
        <v>0</v>
      </c>
      <c r="P202" s="128">
        <f t="shared" ref="P202:AK202" si="186">+P151</f>
        <v>0</v>
      </c>
      <c r="Q202" s="128">
        <f t="shared" si="186"/>
        <v>0</v>
      </c>
      <c r="R202" s="128">
        <f t="shared" si="186"/>
        <v>0</v>
      </c>
      <c r="S202" s="128">
        <f t="shared" si="186"/>
        <v>0</v>
      </c>
      <c r="T202" s="128">
        <f t="shared" si="186"/>
        <v>0</v>
      </c>
      <c r="U202" s="128">
        <f t="shared" si="186"/>
        <v>0</v>
      </c>
      <c r="V202" s="128">
        <f t="shared" si="186"/>
        <v>0</v>
      </c>
      <c r="W202" s="128">
        <f t="shared" si="186"/>
        <v>0</v>
      </c>
      <c r="X202" s="128">
        <f t="shared" si="186"/>
        <v>0</v>
      </c>
      <c r="Y202" s="128">
        <f t="shared" si="186"/>
        <v>0</v>
      </c>
      <c r="Z202" s="128">
        <f t="shared" si="186"/>
        <v>0</v>
      </c>
      <c r="AA202" s="128">
        <f t="shared" si="186"/>
        <v>0</v>
      </c>
      <c r="AB202" s="128">
        <f t="shared" si="186"/>
        <v>0</v>
      </c>
      <c r="AC202" s="128">
        <f t="shared" si="186"/>
        <v>0</v>
      </c>
      <c r="AD202" s="128">
        <f t="shared" si="186"/>
        <v>0</v>
      </c>
      <c r="AE202" s="128">
        <f t="shared" si="186"/>
        <v>0</v>
      </c>
      <c r="AF202" s="128">
        <f t="shared" si="186"/>
        <v>0</v>
      </c>
      <c r="AG202" s="128">
        <f t="shared" si="186"/>
        <v>0</v>
      </c>
      <c r="AH202" s="128">
        <f t="shared" si="186"/>
        <v>0</v>
      </c>
      <c r="AI202" s="128">
        <f t="shared" si="186"/>
        <v>0</v>
      </c>
      <c r="AJ202" s="128">
        <f t="shared" si="186"/>
        <v>0</v>
      </c>
      <c r="AK202" s="128">
        <f t="shared" si="186"/>
        <v>0</v>
      </c>
    </row>
    <row r="203" spans="1:37" x14ac:dyDescent="0.15">
      <c r="A203" s="24" t="s">
        <v>135</v>
      </c>
      <c r="H203" s="128">
        <f t="shared" si="172"/>
        <v>0</v>
      </c>
      <c r="I203" s="128">
        <f t="shared" si="172"/>
        <v>0</v>
      </c>
      <c r="J203" s="128">
        <f t="shared" si="169"/>
        <v>-242250.005</v>
      </c>
      <c r="K203" s="128">
        <f t="shared" si="173"/>
        <v>0</v>
      </c>
      <c r="L203" s="128">
        <f t="shared" si="173"/>
        <v>0</v>
      </c>
      <c r="M203" s="128">
        <f t="shared" si="170"/>
        <v>-242250.005</v>
      </c>
      <c r="N203" s="128">
        <f t="shared" si="174"/>
        <v>0</v>
      </c>
      <c r="O203" s="128">
        <f t="shared" si="174"/>
        <v>0</v>
      </c>
      <c r="P203" s="128">
        <f t="shared" ref="P203:AK203" si="187">+P152</f>
        <v>14781.253124999934</v>
      </c>
      <c r="Q203" s="128">
        <f t="shared" si="187"/>
        <v>0</v>
      </c>
      <c r="R203" s="128">
        <f t="shared" si="187"/>
        <v>0</v>
      </c>
      <c r="S203" s="128">
        <f t="shared" si="187"/>
        <v>14781.253124999934</v>
      </c>
      <c r="T203" s="128">
        <f t="shared" si="187"/>
        <v>0</v>
      </c>
      <c r="U203" s="128">
        <f t="shared" si="187"/>
        <v>0</v>
      </c>
      <c r="V203" s="128">
        <f t="shared" si="187"/>
        <v>14781.253124999934</v>
      </c>
      <c r="W203" s="128">
        <f t="shared" si="187"/>
        <v>0</v>
      </c>
      <c r="X203" s="128">
        <f t="shared" si="187"/>
        <v>0</v>
      </c>
      <c r="Y203" s="128">
        <f t="shared" si="187"/>
        <v>14781.253124999934</v>
      </c>
      <c r="Z203" s="128">
        <f t="shared" si="187"/>
        <v>0</v>
      </c>
      <c r="AA203" s="128">
        <f t="shared" si="187"/>
        <v>0</v>
      </c>
      <c r="AB203" s="128">
        <f t="shared" si="187"/>
        <v>13468.751874999976</v>
      </c>
      <c r="AC203" s="128">
        <f t="shared" si="187"/>
        <v>0</v>
      </c>
      <c r="AD203" s="128">
        <f t="shared" si="187"/>
        <v>0</v>
      </c>
      <c r="AE203" s="128">
        <f t="shared" si="187"/>
        <v>13468.751874999976</v>
      </c>
      <c r="AF203" s="128">
        <f t="shared" si="187"/>
        <v>0</v>
      </c>
      <c r="AG203" s="128">
        <f t="shared" si="187"/>
        <v>0</v>
      </c>
      <c r="AH203" s="128">
        <f t="shared" si="187"/>
        <v>13468.751874999976</v>
      </c>
      <c r="AI203" s="128">
        <f t="shared" si="187"/>
        <v>0</v>
      </c>
      <c r="AJ203" s="128">
        <f t="shared" si="187"/>
        <v>0</v>
      </c>
      <c r="AK203" s="128">
        <f t="shared" si="187"/>
        <v>13468.751874999976</v>
      </c>
    </row>
    <row r="204" spans="1:37" x14ac:dyDescent="0.15">
      <c r="A204" s="24" t="s">
        <v>69</v>
      </c>
      <c r="H204" s="130"/>
      <c r="I204" s="130"/>
      <c r="J204" s="130">
        <f>VLOOKUP($A204,'KU Provision'!$B$4:$E$88,J$1,FALSE)/4*1000</f>
        <v>-108291481.68760906</v>
      </c>
      <c r="K204" s="130"/>
      <c r="L204" s="130"/>
      <c r="M204" s="130">
        <f>+J204</f>
        <v>-108291481.68760906</v>
      </c>
      <c r="N204" s="130"/>
      <c r="O204" s="130"/>
      <c r="P204" s="130">
        <f>VLOOKUP($A204,'KU Provision'!$B$4:$E$88,Q$1,FALSE)/4*1000</f>
        <v>-112286251.04429358</v>
      </c>
      <c r="Q204" s="130"/>
      <c r="R204" s="130"/>
      <c r="S204" s="130">
        <f>+P204</f>
        <v>-112286251.04429358</v>
      </c>
      <c r="T204" s="130"/>
      <c r="U204" s="130"/>
      <c r="V204" s="130">
        <f>+S204</f>
        <v>-112286251.04429358</v>
      </c>
      <c r="W204" s="130"/>
      <c r="X204" s="130"/>
      <c r="Y204" s="130">
        <f>+V204</f>
        <v>-112286251.04429358</v>
      </c>
      <c r="Z204" s="130">
        <f t="shared" ref="Z204:AK204" si="188">+W204</f>
        <v>0</v>
      </c>
      <c r="AA204" s="130">
        <f t="shared" si="188"/>
        <v>0</v>
      </c>
      <c r="AB204" s="130">
        <f>VLOOKUP($A204,'KU Provision'!$B$4:$E$88,AD$1,FALSE)/4*1000</f>
        <v>-113604140.27097671</v>
      </c>
      <c r="AC204" s="130">
        <f t="shared" si="188"/>
        <v>0</v>
      </c>
      <c r="AD204" s="130">
        <f t="shared" si="188"/>
        <v>0</v>
      </c>
      <c r="AE204" s="130">
        <f t="shared" si="188"/>
        <v>-113604140.27097671</v>
      </c>
      <c r="AF204" s="130">
        <f t="shared" si="188"/>
        <v>0</v>
      </c>
      <c r="AG204" s="130">
        <f t="shared" si="188"/>
        <v>0</v>
      </c>
      <c r="AH204" s="130">
        <f t="shared" si="188"/>
        <v>-113604140.27097671</v>
      </c>
      <c r="AI204" s="130">
        <f t="shared" si="188"/>
        <v>0</v>
      </c>
      <c r="AJ204" s="130">
        <f t="shared" si="188"/>
        <v>0</v>
      </c>
      <c r="AK204" s="130">
        <f t="shared" si="188"/>
        <v>-113604140.27097671</v>
      </c>
    </row>
    <row r="205" spans="1:37" x14ac:dyDescent="0.15">
      <c r="H205" s="32">
        <f t="shared" ref="H205:AK205" si="189">SUM(H166:H204)</f>
        <v>0</v>
      </c>
      <c r="I205" s="32">
        <f t="shared" si="189"/>
        <v>0</v>
      </c>
      <c r="J205" s="32">
        <f t="shared" si="189"/>
        <v>-55912723.570520841</v>
      </c>
      <c r="K205" s="32">
        <f t="shared" si="189"/>
        <v>0</v>
      </c>
      <c r="L205" s="32">
        <f t="shared" si="189"/>
        <v>0</v>
      </c>
      <c r="M205" s="32">
        <f t="shared" si="189"/>
        <v>-55912723.570520841</v>
      </c>
      <c r="N205" s="32">
        <f t="shared" si="189"/>
        <v>0</v>
      </c>
      <c r="O205" s="32">
        <f t="shared" si="189"/>
        <v>0</v>
      </c>
      <c r="P205" s="32">
        <f t="shared" si="189"/>
        <v>-64729079.906545416</v>
      </c>
      <c r="Q205" s="32">
        <f t="shared" si="189"/>
        <v>0</v>
      </c>
      <c r="R205" s="32">
        <f t="shared" si="189"/>
        <v>0</v>
      </c>
      <c r="S205" s="32">
        <f t="shared" si="189"/>
        <v>-64729079.906545416</v>
      </c>
      <c r="T205" s="32">
        <f t="shared" si="189"/>
        <v>0</v>
      </c>
      <c r="U205" s="32">
        <f t="shared" si="189"/>
        <v>0</v>
      </c>
      <c r="V205" s="32">
        <f t="shared" si="189"/>
        <v>-64729079.906545416</v>
      </c>
      <c r="W205" s="32">
        <f t="shared" si="189"/>
        <v>0</v>
      </c>
      <c r="X205" s="32">
        <f t="shared" si="189"/>
        <v>0</v>
      </c>
      <c r="Y205" s="32">
        <f t="shared" si="189"/>
        <v>-64729079.906545416</v>
      </c>
      <c r="Z205" s="32">
        <f t="shared" si="189"/>
        <v>0</v>
      </c>
      <c r="AA205" s="32">
        <f t="shared" si="189"/>
        <v>0</v>
      </c>
      <c r="AB205" s="32">
        <f t="shared" si="189"/>
        <v>-43878857.187126189</v>
      </c>
      <c r="AC205" s="32">
        <f t="shared" si="189"/>
        <v>0</v>
      </c>
      <c r="AD205" s="32">
        <f t="shared" si="189"/>
        <v>0</v>
      </c>
      <c r="AE205" s="32">
        <f t="shared" si="189"/>
        <v>-43878857.187126189</v>
      </c>
      <c r="AF205" s="32">
        <f t="shared" si="189"/>
        <v>0</v>
      </c>
      <c r="AG205" s="32">
        <f t="shared" si="189"/>
        <v>0</v>
      </c>
      <c r="AH205" s="32">
        <f t="shared" si="189"/>
        <v>-43878857.187126189</v>
      </c>
      <c r="AI205" s="32">
        <f t="shared" si="189"/>
        <v>0</v>
      </c>
      <c r="AJ205" s="32">
        <f t="shared" si="189"/>
        <v>0</v>
      </c>
      <c r="AK205" s="32">
        <f t="shared" si="189"/>
        <v>-43878857.187126189</v>
      </c>
    </row>
    <row r="206" spans="1:37" x14ac:dyDescent="0.15">
      <c r="H206" s="131">
        <v>0.05</v>
      </c>
      <c r="I206" s="131">
        <v>0.05</v>
      </c>
      <c r="J206" s="131">
        <v>0.05</v>
      </c>
      <c r="K206" s="131">
        <v>0.05</v>
      </c>
      <c r="L206" s="131">
        <v>0.05</v>
      </c>
      <c r="M206" s="131">
        <v>0.05</v>
      </c>
      <c r="N206" s="131">
        <v>0.05</v>
      </c>
      <c r="O206" s="131">
        <v>0.05</v>
      </c>
      <c r="P206" s="131">
        <v>0.05</v>
      </c>
      <c r="Q206" s="131">
        <v>0.05</v>
      </c>
      <c r="R206" s="131">
        <v>0.05</v>
      </c>
      <c r="S206" s="131">
        <v>0.05</v>
      </c>
      <c r="T206" s="131">
        <v>0.05</v>
      </c>
      <c r="U206" s="131">
        <v>0.05</v>
      </c>
      <c r="V206" s="131">
        <v>0.05</v>
      </c>
      <c r="W206" s="131">
        <v>0.05</v>
      </c>
      <c r="X206" s="131">
        <v>0.05</v>
      </c>
      <c r="Y206" s="131">
        <v>0.05</v>
      </c>
      <c r="Z206" s="131">
        <v>0.05</v>
      </c>
      <c r="AA206" s="131">
        <v>0.05</v>
      </c>
      <c r="AB206" s="131">
        <v>0.05</v>
      </c>
      <c r="AC206" s="131">
        <v>0.05</v>
      </c>
      <c r="AD206" s="131">
        <v>0.05</v>
      </c>
      <c r="AE206" s="131">
        <v>0.05</v>
      </c>
      <c r="AF206" s="131">
        <v>0.05</v>
      </c>
      <c r="AG206" s="131">
        <v>0.05</v>
      </c>
      <c r="AH206" s="131">
        <v>0.05</v>
      </c>
      <c r="AI206" s="131">
        <v>0.05</v>
      </c>
      <c r="AJ206" s="131">
        <v>0.05</v>
      </c>
      <c r="AK206" s="131">
        <v>0.05</v>
      </c>
    </row>
    <row r="207" spans="1:37" x14ac:dyDescent="0.15">
      <c r="H207" s="32">
        <f t="shared" ref="H207:M207" si="190">+H205*H206</f>
        <v>0</v>
      </c>
      <c r="I207" s="32">
        <f t="shared" si="190"/>
        <v>0</v>
      </c>
      <c r="J207" s="32">
        <f t="shared" si="190"/>
        <v>-2795636.178526042</v>
      </c>
      <c r="K207" s="32">
        <f t="shared" si="190"/>
        <v>0</v>
      </c>
      <c r="L207" s="32">
        <f t="shared" si="190"/>
        <v>0</v>
      </c>
      <c r="M207" s="32">
        <f t="shared" si="190"/>
        <v>-2795636.178526042</v>
      </c>
      <c r="N207" s="32">
        <f t="shared" ref="N207:AF207" si="191">+N205*N206</f>
        <v>0</v>
      </c>
      <c r="O207" s="32">
        <f t="shared" si="191"/>
        <v>0</v>
      </c>
      <c r="P207" s="32">
        <f t="shared" si="191"/>
        <v>-3236453.9953272711</v>
      </c>
      <c r="Q207" s="32">
        <f t="shared" si="191"/>
        <v>0</v>
      </c>
      <c r="R207" s="32">
        <f t="shared" si="191"/>
        <v>0</v>
      </c>
      <c r="S207" s="32">
        <f t="shared" si="191"/>
        <v>-3236453.9953272711</v>
      </c>
      <c r="T207" s="32">
        <f t="shared" si="191"/>
        <v>0</v>
      </c>
      <c r="U207" s="32">
        <f t="shared" si="191"/>
        <v>0</v>
      </c>
      <c r="V207" s="32">
        <f t="shared" si="191"/>
        <v>-3236453.9953272711</v>
      </c>
      <c r="W207" s="32">
        <f t="shared" si="191"/>
        <v>0</v>
      </c>
      <c r="X207" s="32">
        <f t="shared" si="191"/>
        <v>0</v>
      </c>
      <c r="Y207" s="32">
        <f t="shared" si="191"/>
        <v>-3236453.9953272711</v>
      </c>
      <c r="Z207" s="32">
        <f t="shared" si="191"/>
        <v>0</v>
      </c>
      <c r="AA207" s="32">
        <f t="shared" si="191"/>
        <v>0</v>
      </c>
      <c r="AB207" s="32">
        <f t="shared" si="191"/>
        <v>-2193942.8593563098</v>
      </c>
      <c r="AC207" s="32">
        <f t="shared" si="191"/>
        <v>0</v>
      </c>
      <c r="AD207" s="32">
        <f t="shared" si="191"/>
        <v>0</v>
      </c>
      <c r="AE207" s="32">
        <f t="shared" si="191"/>
        <v>-2193942.8593563098</v>
      </c>
      <c r="AF207" s="32">
        <f t="shared" si="191"/>
        <v>0</v>
      </c>
      <c r="AG207" s="32">
        <f>+AG205*AG206</f>
        <v>0</v>
      </c>
      <c r="AH207" s="32">
        <f>+AH205*AH206</f>
        <v>-2193942.8593563098</v>
      </c>
      <c r="AI207" s="32">
        <f>+AI205*AI206</f>
        <v>0</v>
      </c>
      <c r="AJ207" s="32">
        <f>+AJ205*AJ206</f>
        <v>0</v>
      </c>
      <c r="AK207" s="32">
        <f>+AK205*AK206</f>
        <v>-2193942.8593563098</v>
      </c>
    </row>
    <row r="208" spans="1:37" x14ac:dyDescent="0.15">
      <c r="A208" s="24" t="s">
        <v>85</v>
      </c>
      <c r="H208" s="32"/>
      <c r="I208" s="32">
        <f>-'KU Provision'!B122*250</f>
        <v>0</v>
      </c>
      <c r="J208" s="32">
        <f>+'Reg Asset and Liab 2018-2020'!K66</f>
        <v>203137.02885917679</v>
      </c>
      <c r="M208" s="32">
        <f>+'Reg Asset and Liab 2018-2020'!N66</f>
        <v>266167.67628639226</v>
      </c>
      <c r="P208" s="32">
        <f>-'KU Provision'!D122*250</f>
        <v>378914.62467405002</v>
      </c>
      <c r="S208" s="32">
        <f>+P208</f>
        <v>378914.62467405002</v>
      </c>
      <c r="V208" s="32">
        <f>+S208</f>
        <v>378914.62467405002</v>
      </c>
      <c r="Y208" s="32">
        <f>+V208</f>
        <v>378914.62467405002</v>
      </c>
      <c r="AB208" s="32">
        <f>-'KU Provision'!E122*250</f>
        <v>398894.94328322797</v>
      </c>
      <c r="AE208" s="32">
        <f>+AB208</f>
        <v>398894.94328322797</v>
      </c>
      <c r="AH208" s="32">
        <f>+AE208</f>
        <v>398894.94328322797</v>
      </c>
      <c r="AK208" s="32">
        <f>+AH208</f>
        <v>398894.94328322797</v>
      </c>
    </row>
    <row r="209" spans="1:37" x14ac:dyDescent="0.15">
      <c r="A209" s="24" t="s">
        <v>84</v>
      </c>
      <c r="H209" s="130"/>
      <c r="I209" s="130"/>
      <c r="J209" s="130">
        <v>-24432</v>
      </c>
      <c r="K209" s="130"/>
      <c r="L209" s="130"/>
      <c r="M209" s="130">
        <f>+J209</f>
        <v>-24432</v>
      </c>
      <c r="N209" s="130"/>
      <c r="O209" s="130"/>
      <c r="P209" s="130">
        <f>-8143.901466*3</f>
        <v>-24431.704398000002</v>
      </c>
      <c r="Q209" s="130"/>
      <c r="R209" s="130"/>
      <c r="S209" s="130">
        <v>-21614</v>
      </c>
      <c r="T209" s="130"/>
      <c r="U209" s="130"/>
      <c r="V209" s="130">
        <f>-6735.33*3</f>
        <v>-20205.989999999998</v>
      </c>
      <c r="W209" s="130"/>
      <c r="X209" s="130"/>
      <c r="Y209" s="130">
        <f>+V209</f>
        <v>-20205.989999999998</v>
      </c>
      <c r="Z209" s="130"/>
      <c r="AA209" s="130"/>
      <c r="AB209" s="130">
        <f>+Y209</f>
        <v>-20205.989999999998</v>
      </c>
      <c r="AC209" s="130"/>
      <c r="AD209" s="130"/>
      <c r="AE209" s="130">
        <f>+AB209</f>
        <v>-20205.989999999998</v>
      </c>
      <c r="AF209" s="130"/>
      <c r="AG209" s="130"/>
      <c r="AH209" s="130">
        <f>+AE209</f>
        <v>-20205.989999999998</v>
      </c>
      <c r="AI209" s="130"/>
      <c r="AJ209" s="130"/>
      <c r="AK209" s="130">
        <f>+AH209</f>
        <v>-20205.989999999998</v>
      </c>
    </row>
    <row r="210" spans="1:37" x14ac:dyDescent="0.15">
      <c r="H210" s="32">
        <f t="shared" ref="H210:M210" si="192">SUM(H207:H209)</f>
        <v>0</v>
      </c>
      <c r="I210" s="32">
        <f t="shared" si="192"/>
        <v>0</v>
      </c>
      <c r="J210" s="32">
        <f t="shared" si="192"/>
        <v>-2616931.1496668654</v>
      </c>
      <c r="K210" s="32">
        <f t="shared" si="192"/>
        <v>0</v>
      </c>
      <c r="L210" s="32">
        <f t="shared" si="192"/>
        <v>0</v>
      </c>
      <c r="M210" s="32">
        <f t="shared" si="192"/>
        <v>-2553900.5022396496</v>
      </c>
      <c r="N210" s="32">
        <f t="shared" ref="N210:AF210" si="193">SUM(N207:N209)</f>
        <v>0</v>
      </c>
      <c r="O210" s="32">
        <f t="shared" si="193"/>
        <v>0</v>
      </c>
      <c r="P210" s="32">
        <f t="shared" si="193"/>
        <v>-2881971.0750512211</v>
      </c>
      <c r="Q210" s="32">
        <f t="shared" si="193"/>
        <v>0</v>
      </c>
      <c r="R210" s="32">
        <f t="shared" si="193"/>
        <v>0</v>
      </c>
      <c r="S210" s="32">
        <f t="shared" si="193"/>
        <v>-2879153.3706532209</v>
      </c>
      <c r="T210" s="32">
        <f t="shared" si="193"/>
        <v>0</v>
      </c>
      <c r="U210" s="32">
        <f t="shared" si="193"/>
        <v>0</v>
      </c>
      <c r="V210" s="32">
        <f t="shared" si="193"/>
        <v>-2877745.3606532211</v>
      </c>
      <c r="W210" s="32">
        <f t="shared" si="193"/>
        <v>0</v>
      </c>
      <c r="X210" s="32">
        <f t="shared" si="193"/>
        <v>0</v>
      </c>
      <c r="Y210" s="32">
        <f t="shared" si="193"/>
        <v>-2877745.3606532211</v>
      </c>
      <c r="Z210" s="32">
        <f t="shared" si="193"/>
        <v>0</v>
      </c>
      <c r="AA210" s="32">
        <f t="shared" si="193"/>
        <v>0</v>
      </c>
      <c r="AB210" s="32">
        <f t="shared" si="193"/>
        <v>-1815253.9060730818</v>
      </c>
      <c r="AC210" s="32">
        <f t="shared" si="193"/>
        <v>0</v>
      </c>
      <c r="AD210" s="32">
        <f t="shared" si="193"/>
        <v>0</v>
      </c>
      <c r="AE210" s="32">
        <f t="shared" si="193"/>
        <v>-1815253.9060730818</v>
      </c>
      <c r="AF210" s="32">
        <f t="shared" si="193"/>
        <v>0</v>
      </c>
      <c r="AG210" s="32">
        <f>SUM(AG207:AG209)</f>
        <v>0</v>
      </c>
      <c r="AH210" s="32">
        <f>SUM(AH207:AH209)</f>
        <v>-1815253.9060730818</v>
      </c>
      <c r="AI210" s="32">
        <f>SUM(AI207:AI209)</f>
        <v>0</v>
      </c>
      <c r="AJ210" s="32">
        <f>SUM(AJ207:AJ209)</f>
        <v>0</v>
      </c>
      <c r="AK210" s="32">
        <f>SUM(AK207:AK209)</f>
        <v>-1815253.9060730818</v>
      </c>
    </row>
    <row r="211" spans="1:37" x14ac:dyDescent="0.15">
      <c r="A211" s="24" t="s">
        <v>86</v>
      </c>
      <c r="H211" s="32"/>
    </row>
    <row r="212" spans="1:37" x14ac:dyDescent="0.15">
      <c r="A212" s="24" t="s">
        <v>80</v>
      </c>
      <c r="H212" s="32">
        <f>-'Reg Asset and Liab'!A34/2</f>
        <v>0</v>
      </c>
      <c r="I212" s="32">
        <f>-'Reg Asset and Liab'!B34/2</f>
        <v>0</v>
      </c>
      <c r="J212" s="32">
        <f>-'Reg Asset and Liab 2018-2020'!K30</f>
        <v>-185654.26315789483</v>
      </c>
      <c r="M212" s="32">
        <f>-'Reg Asset and Liab 2018-2020'!N30</f>
        <v>-185654.26315789483</v>
      </c>
      <c r="N212" s="32">
        <f>-'Reg Asset and Liab 2018-2020'!O30</f>
        <v>0</v>
      </c>
      <c r="O212" s="32">
        <f>-'Reg Asset and Liab 2018-2020'!P30</f>
        <v>0</v>
      </c>
      <c r="P212" s="32">
        <f>-'Reg Asset and Liab 2018-2020'!Q30</f>
        <v>-185654.26315789483</v>
      </c>
      <c r="Q212" s="32">
        <f>-'Reg Asset and Liab 2018-2020'!R30</f>
        <v>-54148.010381967608</v>
      </c>
      <c r="R212" s="32">
        <f>-'Reg Asset and Liab 2018-2020'!S30</f>
        <v>0</v>
      </c>
      <c r="S212" s="32">
        <f>-'Reg Asset and Liab 2018-2020'!T30</f>
        <v>-112774.7480013325</v>
      </c>
      <c r="T212" s="32">
        <f>-'Reg Asset and Liab 2018-2020'!U30</f>
        <v>0</v>
      </c>
      <c r="U212" s="32">
        <f>-'Reg Asset and Liab 2018-2020'!V30</f>
        <v>0</v>
      </c>
      <c r="V212" s="32">
        <f>-'Reg Asset and Liab 2018-2020'!W30</f>
        <v>-157557.00599600276</v>
      </c>
      <c r="W212" s="32">
        <f>-'Reg Asset and Liab 2018-2020'!X30</f>
        <v>0</v>
      </c>
      <c r="X212" s="32">
        <f>-'Reg Asset and Liab 2018-2020'!Y30</f>
        <v>0</v>
      </c>
      <c r="Y212" s="32">
        <f>-'Reg Asset and Liab 2018-2020'!Z30</f>
        <v>-157557.00599600276</v>
      </c>
      <c r="Z212" s="32">
        <f>-'Reg Asset and Liab 2018-2020'!AA30</f>
        <v>0</v>
      </c>
      <c r="AA212" s="32">
        <f>-'Reg Asset and Liab 2018-2020'!AB30</f>
        <v>0</v>
      </c>
      <c r="AB212" s="32">
        <f>-'Reg Asset and Liab 2018-2020'!AC30</f>
        <v>-157557.00599600276</v>
      </c>
      <c r="AC212" s="32">
        <f>-'Reg Asset and Liab 2018-2020'!AD30</f>
        <v>-52519.001998667583</v>
      </c>
      <c r="AD212" s="32">
        <f>-'Reg Asset and Liab 2018-2020'!AE30</f>
        <v>0</v>
      </c>
      <c r="AE212" s="32">
        <f>-'Reg Asset and Liab 2018-2020'!AF30</f>
        <v>-105038.00399733517</v>
      </c>
      <c r="AF212" s="32">
        <f>-'Reg Asset and Liab 2018-2020'!AG30</f>
        <v>0</v>
      </c>
      <c r="AG212" s="32">
        <f>-'Reg Asset and Liab 2018-2020'!AH30</f>
        <v>0</v>
      </c>
      <c r="AH212" s="32">
        <f>-'Reg Asset and Liab 2018-2020'!AI30</f>
        <v>-157557.00599600276</v>
      </c>
      <c r="AI212" s="32">
        <f>-'Reg Asset and Liab 2018-2020'!AJ30</f>
        <v>0</v>
      </c>
      <c r="AJ212" s="32">
        <f>-'Reg Asset and Liab 2018-2020'!AK30</f>
        <v>0</v>
      </c>
      <c r="AK212" s="32">
        <f>-'Reg Asset and Liab 2018-2020'!AL30</f>
        <v>-157557.00599600276</v>
      </c>
    </row>
    <row r="213" spans="1:37" x14ac:dyDescent="0.15">
      <c r="A213" s="24" t="s">
        <v>87</v>
      </c>
      <c r="H213" s="128">
        <f>-'Reg Asset and Liab'!A38/2</f>
        <v>0</v>
      </c>
      <c r="I213" s="128">
        <f>-'Reg Asset and Liab'!B38/2</f>
        <v>0</v>
      </c>
      <c r="J213" s="128">
        <f>-'Reg Asset and Liab 2018-2020'!K34-'Reg Asset and Liab 2018-2020'!K48</f>
        <v>-3328694.99401712</v>
      </c>
      <c r="K213" s="128"/>
      <c r="L213" s="128"/>
      <c r="M213" s="128">
        <f>-'Reg Asset and Liab 2018-2020'!N34-'Reg Asset and Liab 2018-2020'!N48</f>
        <v>-3769045.2069751341</v>
      </c>
      <c r="N213" s="128">
        <f>-'Reg Asset and Liab 2018-2020'!O34-'Reg Asset and Liab 2018-2020'!O48</f>
        <v>0</v>
      </c>
      <c r="O213" s="128">
        <f>-'Reg Asset and Liab 2018-2020'!P34-'Reg Asset and Liab 2018-2020'!P48</f>
        <v>0</v>
      </c>
      <c r="P213" s="128">
        <f>-'Reg Asset and Liab 2018-2020'!Q34-'Reg Asset and Liab 2018-2020'!Q48</f>
        <v>-5475791.5996568967</v>
      </c>
      <c r="Q213" s="128">
        <f>-'Reg Asset and Liab 2018-2020'!R34-'Reg Asset and Liab 2018-2020'!R48</f>
        <v>-1733340.7042160786</v>
      </c>
      <c r="R213" s="128">
        <f>-'Reg Asset and Liab 2018-2020'!S34-'Reg Asset and Liab 2018-2020'!S48</f>
        <v>0</v>
      </c>
      <c r="S213" s="128">
        <f>-'Reg Asset and Liab 2018-2020'!T34-'Reg Asset and Liab 2018-2020'!T48</f>
        <v>-3752191.0686586727</v>
      </c>
      <c r="T213" s="128">
        <f>-'Reg Asset and Liab 2018-2020'!U34-'Reg Asset and Liab 2018-2020'!U48</f>
        <v>0</v>
      </c>
      <c r="U213" s="128">
        <f>-'Reg Asset and Liab 2018-2020'!V34-'Reg Asset and Liab 2018-2020'!V48</f>
        <v>0</v>
      </c>
      <c r="V213" s="128">
        <f>-'Reg Asset and Liab 2018-2020'!W34-'Reg Asset and Liab 2018-2020'!W48</f>
        <v>-5490403.1919287154</v>
      </c>
      <c r="W213" s="128">
        <f>-'Reg Asset and Liab 2018-2020'!X34-'Reg Asset and Liab 2018-2020'!X48</f>
        <v>0</v>
      </c>
      <c r="X213" s="128">
        <f>-'Reg Asset and Liab 2018-2020'!Y34-'Reg Asset and Liab 2018-2020'!Y48</f>
        <v>0</v>
      </c>
      <c r="Y213" s="128">
        <f>-'Reg Asset and Liab 2018-2020'!Z34-'Reg Asset and Liab 2018-2020'!Z48</f>
        <v>-5490402.5709331818</v>
      </c>
      <c r="Z213" s="128">
        <f>-'Reg Asset and Liab 2018-2020'!AA34-'Reg Asset and Liab 2018-2020'!AA48</f>
        <v>0</v>
      </c>
      <c r="AA213" s="128">
        <f>-'Reg Asset and Liab 2018-2020'!AB34-'Reg Asset and Liab 2018-2020'!AB48</f>
        <v>0</v>
      </c>
      <c r="AB213" s="128">
        <f>-'Reg Asset and Liab 2018-2020'!AC34-'Reg Asset and Liab 2018-2020'!AC48</f>
        <v>-6603624.5632579979</v>
      </c>
      <c r="AC213" s="128">
        <f>-'Reg Asset and Liab 2018-2020'!AD34-'Reg Asset and Liab 2018-2020'!AD48</f>
        <v>-2112430.3349739076</v>
      </c>
      <c r="AD213" s="128">
        <f>-'Reg Asset and Liab 2018-2020'!AE34-'Reg Asset and Liab 2018-2020'!AE48</f>
        <v>0</v>
      </c>
      <c r="AE213" s="128">
        <f>-'Reg Asset and Liab 2018-2020'!AF34-'Reg Asset and Liab 2018-2020'!AF48</f>
        <v>-4491194.2282840898</v>
      </c>
      <c r="AF213" s="128">
        <f>-'Reg Asset and Liab 2018-2020'!AG34-'Reg Asset and Liab 2018-2020'!AG48</f>
        <v>0</v>
      </c>
      <c r="AG213" s="128">
        <f>-'Reg Asset and Liab 2018-2020'!AH34-'Reg Asset and Liab 2018-2020'!AH48</f>
        <v>0</v>
      </c>
      <c r="AH213" s="128">
        <f>-'Reg Asset and Liab 2018-2020'!AI34-'Reg Asset and Liab 2018-2020'!AI48</f>
        <v>-6603624.5632579979</v>
      </c>
      <c r="AI213" s="128">
        <f>-'Reg Asset and Liab 2018-2020'!AJ34-'Reg Asset and Liab 2018-2020'!AJ48</f>
        <v>0</v>
      </c>
      <c r="AJ213" s="128">
        <f>-'Reg Asset and Liab 2018-2020'!AK34-'Reg Asset and Liab 2018-2020'!AK48</f>
        <v>0</v>
      </c>
      <c r="AK213" s="128">
        <f>-'Reg Asset and Liab 2018-2020'!AL34-'Reg Asset and Liab 2018-2020'!AL48</f>
        <v>-6603624.5632579979</v>
      </c>
    </row>
    <row r="214" spans="1:37" s="134" customFormat="1" x14ac:dyDescent="0.15">
      <c r="A214" s="133" t="s">
        <v>71</v>
      </c>
      <c r="H214" s="128">
        <f>-'Reg Asset and Liab'!A42/2</f>
        <v>0</v>
      </c>
      <c r="I214" s="128">
        <f>-'Reg Asset and Liab'!B42/2</f>
        <v>0</v>
      </c>
      <c r="J214" s="128">
        <f>-'Reg Asset and Liab 2018-2020'!H38</f>
        <v>171201.85926049302</v>
      </c>
      <c r="K214" s="128"/>
      <c r="L214" s="128"/>
      <c r="M214" s="128">
        <f>-'Reg Asset and Liab 2018-2020'!N38</f>
        <v>171201.85926049302</v>
      </c>
      <c r="N214" s="128">
        <f>-'Reg Asset and Liab 2018-2020'!L38</f>
        <v>0</v>
      </c>
      <c r="O214" s="128">
        <f>-'Reg Asset and Liab 2018-2020'!M38</f>
        <v>0</v>
      </c>
      <c r="P214" s="128">
        <f>-'Reg Asset and Liab 2018-2020'!Q38</f>
        <v>171201.85926049302</v>
      </c>
      <c r="Q214" s="128">
        <f>-'Reg Asset and Liab 2018-2020'!R38</f>
        <v>54148.010381967593</v>
      </c>
      <c r="R214" s="128">
        <f>-'Reg Asset and Liab 2018-2020'!S38</f>
        <v>0</v>
      </c>
      <c r="S214" s="128">
        <f>-'Reg Asset and Liab 2018-2020'!T38</f>
        <v>98322.344103930736</v>
      </c>
      <c r="T214" s="128">
        <f>-'Reg Asset and Liab 2018-2020'!U38</f>
        <v>0</v>
      </c>
      <c r="U214" s="128">
        <f>-'Reg Asset and Liab 2018-2020'!V38</f>
        <v>0</v>
      </c>
      <c r="V214" s="128">
        <f>-'Reg Asset and Liab 2018-2020'!W38</f>
        <v>143104.60209860094</v>
      </c>
      <c r="W214" s="128">
        <f>-'Reg Asset and Liab 2018-2020'!X38</f>
        <v>0</v>
      </c>
      <c r="X214" s="128">
        <f>-'Reg Asset and Liab 2018-2020'!Y38</f>
        <v>0</v>
      </c>
      <c r="Y214" s="128">
        <f>-'Reg Asset and Liab 2018-2020'!Z38</f>
        <v>143104.60209860094</v>
      </c>
      <c r="Z214" s="128">
        <f>-'Reg Asset and Liab 2018-2020'!AA38</f>
        <v>0</v>
      </c>
      <c r="AA214" s="128">
        <f>-'Reg Asset and Liab 2018-2020'!AB38</f>
        <v>0</v>
      </c>
      <c r="AB214" s="128">
        <f>-'Reg Asset and Liab 2018-2020'!AC38</f>
        <v>143104.60209860094</v>
      </c>
      <c r="AC214" s="128">
        <f>-'Reg Asset and Liab 2018-2020'!AD38</f>
        <v>52519.001998667562</v>
      </c>
      <c r="AD214" s="128">
        <f>-'Reg Asset and Liab 2018-2020'!AE38</f>
        <v>0</v>
      </c>
      <c r="AE214" s="128">
        <f>-'Reg Asset and Liab 2018-2020'!AF38</f>
        <v>90585.600099933377</v>
      </c>
      <c r="AF214" s="128">
        <f>-'Reg Asset and Liab 2018-2020'!AG38</f>
        <v>0</v>
      </c>
      <c r="AG214" s="128">
        <f>-'Reg Asset and Liab 2018-2020'!AH38</f>
        <v>0</v>
      </c>
      <c r="AH214" s="128">
        <f>-'Reg Asset and Liab 2018-2020'!AI38</f>
        <v>143104.60209860094</v>
      </c>
      <c r="AI214" s="128">
        <f>-'Reg Asset and Liab 2018-2020'!AJ38</f>
        <v>0</v>
      </c>
      <c r="AJ214" s="128">
        <f>-'Reg Asset and Liab 2018-2020'!AK38</f>
        <v>0</v>
      </c>
      <c r="AK214" s="128">
        <f>-'Reg Asset and Liab 2018-2020'!AL38</f>
        <v>143104.60209860094</v>
      </c>
    </row>
    <row r="215" spans="1:37" x14ac:dyDescent="0.15">
      <c r="A215" s="24" t="s">
        <v>340</v>
      </c>
      <c r="H215" s="130">
        <f>-'Reg Asset and Liab'!A48/2</f>
        <v>0</v>
      </c>
      <c r="I215" s="130">
        <f>-'Reg Asset and Liab'!B48/2</f>
        <v>0</v>
      </c>
      <c r="J215" s="130">
        <f>-'Reg Asset and Liab 2018-2020'!K44</f>
        <v>56575.1769132892</v>
      </c>
      <c r="K215" s="130"/>
      <c r="L215" s="130"/>
      <c r="M215" s="130">
        <f>-'Reg Asset and Liab 2018-2020'!N44</f>
        <v>67472.951460547891</v>
      </c>
      <c r="N215" s="130">
        <f>-'Reg Asset and Liab 2018-2020'!O44</f>
        <v>0</v>
      </c>
      <c r="O215" s="130">
        <f>-'Reg Asset and Liab 2018-2020'!P44</f>
        <v>0</v>
      </c>
      <c r="P215" s="130">
        <f>-'Reg Asset and Liab 2018-2020'!Q44</f>
        <v>65228.315448901885</v>
      </c>
      <c r="Q215" s="130">
        <f>-'Reg Asset and Liab 2018-2020'!R44</f>
        <v>0</v>
      </c>
      <c r="R215" s="130">
        <f>-'Reg Asset and Liab 2018-2020'!S44</f>
        <v>0</v>
      </c>
      <c r="S215" s="130">
        <f>-'Reg Asset and Liab 2018-2020'!T44</f>
        <v>65228.315448901885</v>
      </c>
      <c r="T215" s="130">
        <f>-'Reg Asset and Liab 2018-2020'!U44</f>
        <v>0</v>
      </c>
      <c r="U215" s="130">
        <f>-'Reg Asset and Liab 2018-2020'!V44</f>
        <v>0</v>
      </c>
      <c r="V215" s="130">
        <f>-'Reg Asset and Liab 2018-2020'!W44</f>
        <v>65228.315448901885</v>
      </c>
      <c r="W215" s="130">
        <f>-'Reg Asset and Liab 2018-2020'!X44</f>
        <v>0</v>
      </c>
      <c r="X215" s="130">
        <f>-'Reg Asset and Liab 2018-2020'!Y44</f>
        <v>0</v>
      </c>
      <c r="Y215" s="130">
        <f>-'Reg Asset and Liab 2018-2020'!Z44</f>
        <v>65228.315448901885</v>
      </c>
      <c r="Z215" s="130">
        <f>-'Reg Asset and Liab 2018-2020'!AA44</f>
        <v>0</v>
      </c>
      <c r="AA215" s="130">
        <f>-'Reg Asset and Liab 2018-2020'!AB44</f>
        <v>0</v>
      </c>
      <c r="AB215" s="130">
        <f>-'Reg Asset and Liab 2018-2020'!AC44</f>
        <v>66444.820538110012</v>
      </c>
      <c r="AC215" s="130">
        <f>-'Reg Asset and Liab 2018-2020'!AD44</f>
        <v>0</v>
      </c>
      <c r="AD215" s="130">
        <f>-'Reg Asset and Liab 2018-2020'!AE44</f>
        <v>0</v>
      </c>
      <c r="AE215" s="130">
        <f>-'Reg Asset and Liab 2018-2020'!AF44</f>
        <v>66444.820538110012</v>
      </c>
      <c r="AF215" s="130">
        <f>-'Reg Asset and Liab 2018-2020'!AG44</f>
        <v>0</v>
      </c>
      <c r="AG215" s="130">
        <f>-'Reg Asset and Liab 2018-2020'!AH44</f>
        <v>0</v>
      </c>
      <c r="AH215" s="130">
        <f>-'Reg Asset and Liab 2018-2020'!AI44</f>
        <v>66444.820538110012</v>
      </c>
      <c r="AI215" s="130">
        <f>-'Reg Asset and Liab 2018-2020'!AJ44</f>
        <v>0</v>
      </c>
      <c r="AJ215" s="130">
        <f>-'Reg Asset and Liab 2018-2020'!AK44</f>
        <v>0</v>
      </c>
      <c r="AK215" s="130">
        <f>-'Reg Asset and Liab 2018-2020'!AL44</f>
        <v>66444.820538110012</v>
      </c>
    </row>
    <row r="216" spans="1:37" x14ac:dyDescent="0.15">
      <c r="H216" s="32">
        <f>SUM(H212:H215)</f>
        <v>0</v>
      </c>
      <c r="I216" s="32">
        <f>SUM(I212:I215)</f>
        <v>0</v>
      </c>
      <c r="J216" s="32">
        <f>SUM(J212:J215)</f>
        <v>-3286572.2210012325</v>
      </c>
      <c r="K216" s="32">
        <f t="shared" ref="K216:AK216" si="194">SUM(K212:K215)</f>
        <v>0</v>
      </c>
      <c r="L216" s="32">
        <f t="shared" si="194"/>
        <v>0</v>
      </c>
      <c r="M216" s="32">
        <f t="shared" si="194"/>
        <v>-3716024.6594119882</v>
      </c>
      <c r="N216" s="32">
        <f t="shared" si="194"/>
        <v>0</v>
      </c>
      <c r="O216" s="32">
        <f t="shared" si="194"/>
        <v>0</v>
      </c>
      <c r="P216" s="32">
        <f t="shared" si="194"/>
        <v>-5425015.6881053969</v>
      </c>
      <c r="Q216" s="32">
        <f t="shared" si="194"/>
        <v>-1733340.7042160786</v>
      </c>
      <c r="R216" s="32">
        <f t="shared" si="194"/>
        <v>0</v>
      </c>
      <c r="S216" s="32">
        <f t="shared" si="194"/>
        <v>-3701415.1571071725</v>
      </c>
      <c r="T216" s="32">
        <f t="shared" si="194"/>
        <v>0</v>
      </c>
      <c r="U216" s="32">
        <f t="shared" si="194"/>
        <v>0</v>
      </c>
      <c r="V216" s="32">
        <f t="shared" si="194"/>
        <v>-5439627.2803772157</v>
      </c>
      <c r="W216" s="32">
        <f t="shared" si="194"/>
        <v>0</v>
      </c>
      <c r="X216" s="32">
        <f t="shared" si="194"/>
        <v>0</v>
      </c>
      <c r="Y216" s="32">
        <f t="shared" si="194"/>
        <v>-5439626.6593816821</v>
      </c>
      <c r="Z216" s="32">
        <f t="shared" si="194"/>
        <v>0</v>
      </c>
      <c r="AA216" s="32">
        <f t="shared" si="194"/>
        <v>0</v>
      </c>
      <c r="AB216" s="32">
        <f t="shared" si="194"/>
        <v>-6551632.1466172896</v>
      </c>
      <c r="AC216" s="32">
        <f t="shared" si="194"/>
        <v>-2112430.3349739076</v>
      </c>
      <c r="AD216" s="32">
        <f t="shared" si="194"/>
        <v>0</v>
      </c>
      <c r="AE216" s="32">
        <f t="shared" si="194"/>
        <v>-4439201.8116433816</v>
      </c>
      <c r="AF216" s="32">
        <f t="shared" si="194"/>
        <v>0</v>
      </c>
      <c r="AG216" s="32">
        <f t="shared" si="194"/>
        <v>0</v>
      </c>
      <c r="AH216" s="32">
        <f t="shared" si="194"/>
        <v>-6551632.1466172896</v>
      </c>
      <c r="AI216" s="32">
        <f t="shared" si="194"/>
        <v>0</v>
      </c>
      <c r="AJ216" s="32">
        <f t="shared" si="194"/>
        <v>0</v>
      </c>
      <c r="AK216" s="32">
        <f t="shared" si="194"/>
        <v>-6551632.1466172896</v>
      </c>
    </row>
    <row r="217" spans="1:37" x14ac:dyDescent="0.15">
      <c r="H217" s="32"/>
    </row>
    <row r="218" spans="1:37" ht="9" thickBot="1" x14ac:dyDescent="0.2">
      <c r="A218" s="24" t="s">
        <v>88</v>
      </c>
      <c r="H218" s="135">
        <f t="shared" ref="H218:AK218" si="195">H164+H210+H216</f>
        <v>-42348.397499999897</v>
      </c>
      <c r="I218" s="135">
        <f t="shared" si="195"/>
        <v>-42348.397499999897</v>
      </c>
      <c r="J218" s="135">
        <f t="shared" si="195"/>
        <v>-33933078.093150549</v>
      </c>
      <c r="K218" s="135">
        <f t="shared" si="195"/>
        <v>-42348.301665999898</v>
      </c>
      <c r="L218" s="135">
        <f t="shared" si="195"/>
        <v>-42348.301665999898</v>
      </c>
      <c r="M218" s="135">
        <f t="shared" si="195"/>
        <v>-18488626.426705282</v>
      </c>
      <c r="N218" s="135">
        <f t="shared" si="195"/>
        <v>-42348.301665999898</v>
      </c>
      <c r="O218" s="135">
        <f t="shared" si="195"/>
        <v>-42348.301665999898</v>
      </c>
      <c r="P218" s="135">
        <f t="shared" si="195"/>
        <v>-15201879.374220781</v>
      </c>
      <c r="Q218" s="135">
        <f t="shared" si="195"/>
        <v>-474816.8073679118</v>
      </c>
      <c r="R218" s="135">
        <f t="shared" si="195"/>
        <v>-35023.207499999997</v>
      </c>
      <c r="S218" s="135">
        <f t="shared" si="195"/>
        <v>-17939082.818061884</v>
      </c>
      <c r="T218" s="135">
        <f t="shared" si="195"/>
        <v>-35023.537499999999</v>
      </c>
      <c r="U218" s="135">
        <f t="shared" si="195"/>
        <v>-35023.537499999999</v>
      </c>
      <c r="V218" s="135">
        <f t="shared" si="195"/>
        <v>-16625246.377816468</v>
      </c>
      <c r="W218" s="135">
        <f t="shared" si="195"/>
        <v>-35023.537499999999</v>
      </c>
      <c r="X218" s="135">
        <f t="shared" si="195"/>
        <v>-35023.537499999999</v>
      </c>
      <c r="Y218" s="135">
        <f t="shared" si="195"/>
        <v>-18162088.001663432</v>
      </c>
      <c r="Z218" s="135">
        <f t="shared" si="195"/>
        <v>-35023.537499999999</v>
      </c>
      <c r="AA218" s="135">
        <f t="shared" si="195"/>
        <v>-35023.537499999999</v>
      </c>
      <c r="AB218" s="135">
        <f t="shared" si="195"/>
        <v>-3492862.4524172978</v>
      </c>
      <c r="AC218" s="135">
        <f t="shared" si="195"/>
        <v>-1123560.9155886681</v>
      </c>
      <c r="AD218" s="135">
        <f t="shared" si="195"/>
        <v>526462.47201267804</v>
      </c>
      <c r="AE218" s="135">
        <f t="shared" si="195"/>
        <v>-7480495.7946854467</v>
      </c>
      <c r="AF218" s="135">
        <f t="shared" si="195"/>
        <v>-35023.537499999999</v>
      </c>
      <c r="AG218" s="135">
        <f t="shared" si="195"/>
        <v>-35023.537499999999</v>
      </c>
      <c r="AH218" s="135">
        <f t="shared" si="195"/>
        <v>-4988835.3278946485</v>
      </c>
      <c r="AI218" s="135">
        <f t="shared" si="195"/>
        <v>-35023.537499999999</v>
      </c>
      <c r="AJ218" s="135">
        <f t="shared" si="195"/>
        <v>-35023.537499999999</v>
      </c>
      <c r="AK218" s="135">
        <f t="shared" si="195"/>
        <v>-7293651.365038638</v>
      </c>
    </row>
    <row r="219" spans="1:37" x14ac:dyDescent="0.15">
      <c r="H219" s="32">
        <f t="shared" ref="H219:AK219" si="196">+H218-H11</f>
        <v>-9.5834097759507131E-2</v>
      </c>
      <c r="I219" s="32">
        <f t="shared" si="196"/>
        <v>-9.5832905666611623E-2</v>
      </c>
      <c r="J219" s="32">
        <f t="shared" si="196"/>
        <v>-1.2545986697077751</v>
      </c>
      <c r="K219" s="32">
        <f t="shared" si="196"/>
        <v>9.7512383945286274E-7</v>
      </c>
      <c r="L219" s="32">
        <f t="shared" si="196"/>
        <v>1.094333129003644E-6</v>
      </c>
      <c r="M219" s="32">
        <f t="shared" si="196"/>
        <v>-0.21882728859782219</v>
      </c>
      <c r="N219" s="32">
        <f t="shared" si="196"/>
        <v>9.7512383945286274E-7</v>
      </c>
      <c r="O219" s="32">
        <f t="shared" si="196"/>
        <v>1.094333129003644E-6</v>
      </c>
      <c r="P219" s="32">
        <f t="shared" si="196"/>
        <v>-0.3745918795466423</v>
      </c>
      <c r="Q219" s="32">
        <f t="shared" si="196"/>
        <v>1.0819640010595322E-6</v>
      </c>
      <c r="R219" s="32">
        <f t="shared" si="196"/>
        <v>0.287500004771573</v>
      </c>
      <c r="S219" s="32">
        <f t="shared" si="196"/>
        <v>0.18687612190842628</v>
      </c>
      <c r="T219" s="32">
        <f t="shared" si="196"/>
        <v>-4.2499995230173226E-2</v>
      </c>
      <c r="U219" s="32">
        <f t="shared" si="196"/>
        <v>-4.2499995230173226E-2</v>
      </c>
      <c r="V219" s="32">
        <f t="shared" si="196"/>
        <v>0.17477652430534363</v>
      </c>
      <c r="W219" s="32">
        <f t="shared" si="196"/>
        <v>-4.2499995230173226E-2</v>
      </c>
      <c r="X219" s="32">
        <f t="shared" si="196"/>
        <v>-4.2499995230173226E-2</v>
      </c>
      <c r="Y219" s="32">
        <f t="shared" si="196"/>
        <v>0.17477454245090485</v>
      </c>
      <c r="Z219" s="32">
        <f t="shared" si="196"/>
        <v>-4.2499995230173226E-2</v>
      </c>
      <c r="AA219" s="32">
        <f t="shared" si="196"/>
        <v>-4.2499995230173226E-2</v>
      </c>
      <c r="AB219" s="32">
        <f t="shared" si="196"/>
        <v>-1.5701218042522669E-2</v>
      </c>
      <c r="AC219" s="32">
        <f t="shared" si="196"/>
        <v>-4.2500785086303949E-2</v>
      </c>
      <c r="AD219" s="32">
        <f t="shared" si="196"/>
        <v>-4.2499264818616211E-2</v>
      </c>
      <c r="AE219" s="32">
        <f t="shared" si="196"/>
        <v>-1.5726410783827305E-2</v>
      </c>
      <c r="AF219" s="32">
        <f t="shared" si="196"/>
        <v>-4.2500114439462777E-2</v>
      </c>
      <c r="AG219" s="32">
        <f t="shared" si="196"/>
        <v>-4.2499995230173226E-2</v>
      </c>
      <c r="AH219" s="32">
        <f t="shared" si="196"/>
        <v>-1.5726646408438683E-2</v>
      </c>
      <c r="AI219" s="32">
        <f t="shared" si="196"/>
        <v>-4.2499876020883676E-2</v>
      </c>
      <c r="AJ219" s="32">
        <f t="shared" si="196"/>
        <v>-4.2499995230173226E-2</v>
      </c>
      <c r="AK219" s="32">
        <f t="shared" si="196"/>
        <v>-1.5725736506283283E-2</v>
      </c>
    </row>
    <row r="220" spans="1:37" x14ac:dyDescent="0.15">
      <c r="H220" s="32"/>
    </row>
    <row r="221" spans="1:37" x14ac:dyDescent="0.15">
      <c r="A221" s="124" t="s">
        <v>89</v>
      </c>
      <c r="H221" s="32"/>
    </row>
    <row r="222" spans="1:37" x14ac:dyDescent="0.15">
      <c r="H222" s="32"/>
    </row>
    <row r="223" spans="1:37" x14ac:dyDescent="0.15">
      <c r="A223" s="127" t="s">
        <v>90</v>
      </c>
      <c r="B223" s="127" t="s">
        <v>323</v>
      </c>
      <c r="H223" s="32"/>
    </row>
    <row r="224" spans="1:37" x14ac:dyDescent="0.15">
      <c r="A224" s="24" t="s">
        <v>33</v>
      </c>
      <c r="B224" s="24" t="s">
        <v>33</v>
      </c>
      <c r="E224" s="24">
        <f t="shared" ref="E224:E245" si="197">COUNTIF($A$22:$A$96,A224)</f>
        <v>1</v>
      </c>
      <c r="H224" s="32">
        <f t="shared" ref="H224:I227" si="198">(SUMIF($A$114:$A$155,$A224,H$114:H$155)*0.35+SUMIF($A$166:$A$205,$A224,H$166:H$205)*0.06*0.65)</f>
        <v>0</v>
      </c>
      <c r="I224" s="32">
        <f t="shared" si="198"/>
        <v>0</v>
      </c>
      <c r="J224" s="32">
        <f t="shared" ref="J224:J265" si="199">(SUMIF($A$114:$A$155,$A224,J$114:J$155)*0.21+SUMIF($A$166:$A$205,$A224,J$166:J$205)*0.05*0.79)</f>
        <v>13694.533545000002</v>
      </c>
      <c r="K224" s="32">
        <f t="shared" ref="K224:L248" si="200">(SUMIF($A$114:$A$155,$A224,K$114:K$155)*0.35+SUMIF($A$166:$A$205,$A224,K$166:K$205)*0.06*0.65)</f>
        <v>0</v>
      </c>
      <c r="L224" s="32">
        <f t="shared" si="200"/>
        <v>0</v>
      </c>
      <c r="M224" s="32">
        <f t="shared" ref="M224:M265" si="201">(SUMIF($A$114:$A$155,$A224,M$114:M$155)*0.21+SUMIF($A$166:$A$205,$A224,M$166:M$205)*0.05*0.79)</f>
        <v>13694.533545000002</v>
      </c>
      <c r="N224" s="32">
        <f t="shared" ref="N224:O248" si="202">(SUMIF($A$114:$A$155,$A224,N$114:N$155)*0.35+SUMIF($A$166:$A$205,$A224,N$166:N$205)*0.06*0.65)</f>
        <v>0</v>
      </c>
      <c r="O224" s="32">
        <f t="shared" si="202"/>
        <v>0</v>
      </c>
      <c r="P224" s="32">
        <f t="shared" ref="P224:P265" si="203">(SUMIF($A$114:$A$155,$A224,P$114:P$155)*0.21+SUMIF($A$166:$A$205,$A224,P$166:P$205)*0.05*0.79)</f>
        <v>9831.9741450000074</v>
      </c>
      <c r="Q224" s="32">
        <f t="shared" ref="Q224:R243" si="204">(SUMIF($A$114:$A$155,$A224,Q$114:Q$155)*0.35+SUMIF($A$166:$A$205,$A224,Q$166:Q$205)*0.06*0.65)</f>
        <v>0</v>
      </c>
      <c r="R224" s="32">
        <f t="shared" si="204"/>
        <v>0</v>
      </c>
      <c r="S224" s="32">
        <f t="shared" ref="S224:S265" si="205">(SUMIF($A$114:$A$155,$A224,S$114:S$155)*0.21+SUMIF($A$166:$A$205,$A224,S$166:S$205)*0.05*0.79)</f>
        <v>9831.9741450000074</v>
      </c>
      <c r="T224" s="32">
        <f t="shared" ref="T224:U243" si="206">(SUMIF($A$114:$A$155,$A224,T$114:T$155)*0.35+SUMIF($A$166:$A$205,$A224,T$166:T$205)*0.06*0.65)</f>
        <v>0</v>
      </c>
      <c r="U224" s="32">
        <f t="shared" si="206"/>
        <v>0</v>
      </c>
      <c r="V224" s="32">
        <f t="shared" ref="V224:V265" si="207">(SUMIF($A$114:$A$155,$A224,V$114:V$155)*0.21+SUMIF($A$166:$A$205,$A224,V$166:V$205)*0.05*0.79)</f>
        <v>9831.9741450000074</v>
      </c>
      <c r="W224" s="32">
        <f t="shared" ref="W224:X243" si="208">(SUMIF($A$114:$A$155,$A224,W$114:W$155)*0.35+SUMIF($A$166:$A$205,$A224,W$166:W$205)*0.06*0.65)</f>
        <v>0</v>
      </c>
      <c r="X224" s="32">
        <f t="shared" si="208"/>
        <v>0</v>
      </c>
      <c r="Y224" s="32">
        <f t="shared" ref="Y224:AK233" si="209">(SUMIF($A$114:$A$155,$A224,Y$114:Y$155)*0.21+SUMIF($A$166:$A$205,$A224,Y$166:Y$205)*0.05*0.79)</f>
        <v>9831.9741450000074</v>
      </c>
      <c r="Z224" s="32">
        <f t="shared" si="209"/>
        <v>0</v>
      </c>
      <c r="AA224" s="32">
        <f t="shared" si="209"/>
        <v>0</v>
      </c>
      <c r="AB224" s="32">
        <f t="shared" si="209"/>
        <v>7900.6944450000019</v>
      </c>
      <c r="AC224" s="32">
        <f t="shared" si="209"/>
        <v>0</v>
      </c>
      <c r="AD224" s="32">
        <f t="shared" si="209"/>
        <v>0</v>
      </c>
      <c r="AE224" s="32">
        <f t="shared" si="209"/>
        <v>7900.6944450000019</v>
      </c>
      <c r="AF224" s="32">
        <f t="shared" si="209"/>
        <v>0</v>
      </c>
      <c r="AG224" s="32">
        <f t="shared" si="209"/>
        <v>0</v>
      </c>
      <c r="AH224" s="32">
        <f t="shared" si="209"/>
        <v>7900.6944450000019</v>
      </c>
      <c r="AI224" s="32">
        <f t="shared" si="209"/>
        <v>0</v>
      </c>
      <c r="AJ224" s="32">
        <f t="shared" si="209"/>
        <v>0</v>
      </c>
      <c r="AK224" s="32">
        <f t="shared" si="209"/>
        <v>7900.6944450000019</v>
      </c>
    </row>
    <row r="225" spans="1:37" x14ac:dyDescent="0.15">
      <c r="A225" s="24" t="s">
        <v>34</v>
      </c>
      <c r="B225" s="24" t="s">
        <v>34</v>
      </c>
      <c r="E225" s="24">
        <f t="shared" si="197"/>
        <v>1</v>
      </c>
      <c r="H225" s="32">
        <f t="shared" si="198"/>
        <v>0</v>
      </c>
      <c r="I225" s="32">
        <f t="shared" si="198"/>
        <v>0</v>
      </c>
      <c r="J225" s="32">
        <f t="shared" si="199"/>
        <v>357014.2755299994</v>
      </c>
      <c r="K225" s="32">
        <f t="shared" si="200"/>
        <v>0</v>
      </c>
      <c r="L225" s="32">
        <f t="shared" si="200"/>
        <v>0</v>
      </c>
      <c r="M225" s="32">
        <f t="shared" si="201"/>
        <v>357014.2755299994</v>
      </c>
      <c r="N225" s="32">
        <f t="shared" si="202"/>
        <v>0</v>
      </c>
      <c r="O225" s="32">
        <f t="shared" si="202"/>
        <v>0</v>
      </c>
      <c r="P225" s="32">
        <f t="shared" si="203"/>
        <v>256317.9567599998</v>
      </c>
      <c r="Q225" s="32">
        <f t="shared" si="204"/>
        <v>0</v>
      </c>
      <c r="R225" s="32">
        <f t="shared" si="204"/>
        <v>0</v>
      </c>
      <c r="S225" s="32">
        <f t="shared" si="205"/>
        <v>256317.9567599998</v>
      </c>
      <c r="T225" s="32">
        <f t="shared" si="206"/>
        <v>0</v>
      </c>
      <c r="U225" s="32">
        <f t="shared" si="206"/>
        <v>0</v>
      </c>
      <c r="V225" s="32">
        <f t="shared" si="207"/>
        <v>256317.9567599998</v>
      </c>
      <c r="W225" s="32">
        <f t="shared" si="208"/>
        <v>0</v>
      </c>
      <c r="X225" s="32">
        <f t="shared" si="208"/>
        <v>0</v>
      </c>
      <c r="Y225" s="32">
        <f t="shared" si="209"/>
        <v>256317.9567599998</v>
      </c>
      <c r="Z225" s="32">
        <f t="shared" si="209"/>
        <v>0</v>
      </c>
      <c r="AA225" s="32">
        <f t="shared" si="209"/>
        <v>0</v>
      </c>
      <c r="AB225" s="32">
        <f t="shared" si="209"/>
        <v>205969.79737499994</v>
      </c>
      <c r="AC225" s="32">
        <f t="shared" si="209"/>
        <v>0</v>
      </c>
      <c r="AD225" s="32">
        <f t="shared" si="209"/>
        <v>0</v>
      </c>
      <c r="AE225" s="32">
        <f t="shared" si="209"/>
        <v>205969.79737499994</v>
      </c>
      <c r="AF225" s="32">
        <f t="shared" si="209"/>
        <v>0</v>
      </c>
      <c r="AG225" s="32">
        <f t="shared" si="209"/>
        <v>0</v>
      </c>
      <c r="AH225" s="32">
        <f t="shared" si="209"/>
        <v>205969.79737499994</v>
      </c>
      <c r="AI225" s="32">
        <f t="shared" si="209"/>
        <v>0</v>
      </c>
      <c r="AJ225" s="32">
        <f t="shared" si="209"/>
        <v>0</v>
      </c>
      <c r="AK225" s="32">
        <f t="shared" si="209"/>
        <v>205969.79737499994</v>
      </c>
    </row>
    <row r="226" spans="1:37" x14ac:dyDescent="0.15">
      <c r="A226" s="24" t="s">
        <v>140</v>
      </c>
      <c r="B226" s="24" t="s">
        <v>140</v>
      </c>
      <c r="E226" s="24">
        <f t="shared" si="197"/>
        <v>1</v>
      </c>
      <c r="H226" s="32">
        <f t="shared" si="198"/>
        <v>0</v>
      </c>
      <c r="I226" s="32">
        <f t="shared" si="198"/>
        <v>0</v>
      </c>
      <c r="J226" s="32">
        <f t="shared" si="199"/>
        <v>-14093.909451195192</v>
      </c>
      <c r="K226" s="32">
        <f t="shared" si="200"/>
        <v>0</v>
      </c>
      <c r="L226" s="32">
        <f t="shared" si="200"/>
        <v>0</v>
      </c>
      <c r="M226" s="32">
        <f t="shared" si="201"/>
        <v>-14093.909451195192</v>
      </c>
      <c r="N226" s="32">
        <f t="shared" si="202"/>
        <v>0</v>
      </c>
      <c r="O226" s="32">
        <f t="shared" si="202"/>
        <v>0</v>
      </c>
      <c r="P226" s="32">
        <f t="shared" si="203"/>
        <v>-582.22873318837958</v>
      </c>
      <c r="Q226" s="32">
        <f t="shared" si="204"/>
        <v>0</v>
      </c>
      <c r="R226" s="32">
        <f t="shared" si="204"/>
        <v>0</v>
      </c>
      <c r="S226" s="32">
        <f t="shared" si="205"/>
        <v>-582.22873318837958</v>
      </c>
      <c r="T226" s="32">
        <f t="shared" si="206"/>
        <v>0</v>
      </c>
      <c r="U226" s="32">
        <f t="shared" si="206"/>
        <v>0</v>
      </c>
      <c r="V226" s="32">
        <f t="shared" si="207"/>
        <v>-582.22873318837958</v>
      </c>
      <c r="W226" s="32">
        <f t="shared" si="208"/>
        <v>0</v>
      </c>
      <c r="X226" s="32">
        <f t="shared" si="208"/>
        <v>0</v>
      </c>
      <c r="Y226" s="32">
        <f t="shared" si="209"/>
        <v>-582.22873318837958</v>
      </c>
      <c r="Z226" s="32">
        <f t="shared" si="209"/>
        <v>0</v>
      </c>
      <c r="AA226" s="32">
        <f t="shared" si="209"/>
        <v>0</v>
      </c>
      <c r="AB226" s="32">
        <f t="shared" si="209"/>
        <v>-20.406904636556096</v>
      </c>
      <c r="AC226" s="32">
        <f t="shared" si="209"/>
        <v>0</v>
      </c>
      <c r="AD226" s="32">
        <f t="shared" si="209"/>
        <v>0</v>
      </c>
      <c r="AE226" s="32">
        <f t="shared" si="209"/>
        <v>-20.406904636556096</v>
      </c>
      <c r="AF226" s="32">
        <f t="shared" si="209"/>
        <v>0</v>
      </c>
      <c r="AG226" s="32">
        <f t="shared" si="209"/>
        <v>0</v>
      </c>
      <c r="AH226" s="32">
        <f t="shared" si="209"/>
        <v>-20.406904636556096</v>
      </c>
      <c r="AI226" s="32">
        <f t="shared" si="209"/>
        <v>0</v>
      </c>
      <c r="AJ226" s="32">
        <f t="shared" si="209"/>
        <v>0</v>
      </c>
      <c r="AK226" s="32">
        <f t="shared" si="209"/>
        <v>-20.406904636556096</v>
      </c>
    </row>
    <row r="227" spans="1:37" x14ac:dyDescent="0.15">
      <c r="A227" s="24" t="s">
        <v>35</v>
      </c>
      <c r="B227" s="24" t="s">
        <v>35</v>
      </c>
      <c r="E227" s="24">
        <f t="shared" si="197"/>
        <v>1</v>
      </c>
      <c r="H227" s="32">
        <f t="shared" si="198"/>
        <v>0</v>
      </c>
      <c r="I227" s="32">
        <f t="shared" si="198"/>
        <v>0</v>
      </c>
      <c r="J227" s="32">
        <f t="shared" si="199"/>
        <v>23773.765932499933</v>
      </c>
      <c r="K227" s="32">
        <f t="shared" si="200"/>
        <v>0</v>
      </c>
      <c r="L227" s="32">
        <f t="shared" si="200"/>
        <v>0</v>
      </c>
      <c r="M227" s="32">
        <f t="shared" si="201"/>
        <v>23773.765932499933</v>
      </c>
      <c r="N227" s="32">
        <f t="shared" si="202"/>
        <v>0</v>
      </c>
      <c r="O227" s="32">
        <f t="shared" si="202"/>
        <v>0</v>
      </c>
      <c r="P227" s="32">
        <f t="shared" si="203"/>
        <v>33739.014619835798</v>
      </c>
      <c r="Q227" s="32">
        <f t="shared" si="204"/>
        <v>0</v>
      </c>
      <c r="R227" s="32">
        <f t="shared" si="204"/>
        <v>0</v>
      </c>
      <c r="S227" s="32">
        <f t="shared" si="205"/>
        <v>33739.014619835798</v>
      </c>
      <c r="T227" s="32">
        <f t="shared" si="206"/>
        <v>0</v>
      </c>
      <c r="U227" s="32">
        <f t="shared" si="206"/>
        <v>0</v>
      </c>
      <c r="V227" s="32">
        <f t="shared" si="207"/>
        <v>33739.014619835798</v>
      </c>
      <c r="W227" s="32">
        <f t="shared" si="208"/>
        <v>0</v>
      </c>
      <c r="X227" s="32">
        <f t="shared" si="208"/>
        <v>0</v>
      </c>
      <c r="Y227" s="32">
        <f t="shared" si="209"/>
        <v>33739.014619835798</v>
      </c>
      <c r="Z227" s="32">
        <f t="shared" si="209"/>
        <v>0</v>
      </c>
      <c r="AA227" s="32">
        <f t="shared" si="209"/>
        <v>0</v>
      </c>
      <c r="AB227" s="32">
        <f t="shared" si="209"/>
        <v>20510.513638341956</v>
      </c>
      <c r="AC227" s="32">
        <f t="shared" si="209"/>
        <v>0</v>
      </c>
      <c r="AD227" s="32">
        <f t="shared" si="209"/>
        <v>0</v>
      </c>
      <c r="AE227" s="32">
        <f t="shared" si="209"/>
        <v>20510.513638341956</v>
      </c>
      <c r="AF227" s="32">
        <f t="shared" si="209"/>
        <v>0</v>
      </c>
      <c r="AG227" s="32">
        <f t="shared" si="209"/>
        <v>0</v>
      </c>
      <c r="AH227" s="32">
        <f t="shared" si="209"/>
        <v>20510.513638341956</v>
      </c>
      <c r="AI227" s="32">
        <f t="shared" si="209"/>
        <v>0</v>
      </c>
      <c r="AJ227" s="32">
        <f t="shared" si="209"/>
        <v>0</v>
      </c>
      <c r="AK227" s="32">
        <f t="shared" si="209"/>
        <v>20510.513638341956</v>
      </c>
    </row>
    <row r="228" spans="1:37" x14ac:dyDescent="0.15">
      <c r="A228" s="24" t="s">
        <v>375</v>
      </c>
      <c r="B228" s="24" t="s">
        <v>375</v>
      </c>
      <c r="E228" s="24">
        <f t="shared" si="197"/>
        <v>1</v>
      </c>
      <c r="H228" s="32"/>
      <c r="J228" s="32">
        <f t="shared" si="199"/>
        <v>502259.70650792809</v>
      </c>
      <c r="K228" s="32">
        <f t="shared" si="200"/>
        <v>0</v>
      </c>
      <c r="L228" s="32">
        <f t="shared" si="200"/>
        <v>0</v>
      </c>
      <c r="M228" s="32">
        <f t="shared" si="201"/>
        <v>502259.70650792809</v>
      </c>
      <c r="N228" s="32">
        <f t="shared" si="202"/>
        <v>0</v>
      </c>
      <c r="O228" s="32">
        <f t="shared" si="202"/>
        <v>0</v>
      </c>
      <c r="P228" s="32">
        <f t="shared" si="203"/>
        <v>-422696.59704898187</v>
      </c>
      <c r="Q228" s="32">
        <f t="shared" si="204"/>
        <v>0</v>
      </c>
      <c r="R228" s="32">
        <f t="shared" si="204"/>
        <v>0</v>
      </c>
      <c r="S228" s="32">
        <f t="shared" si="205"/>
        <v>-422696.59704898187</v>
      </c>
      <c r="T228" s="32">
        <f t="shared" si="206"/>
        <v>0</v>
      </c>
      <c r="U228" s="32">
        <f t="shared" si="206"/>
        <v>0</v>
      </c>
      <c r="V228" s="32">
        <f t="shared" si="207"/>
        <v>-422696.59704898187</v>
      </c>
      <c r="W228" s="32">
        <f t="shared" si="208"/>
        <v>0</v>
      </c>
      <c r="X228" s="32">
        <f t="shared" si="208"/>
        <v>0</v>
      </c>
      <c r="Y228" s="32">
        <f t="shared" si="209"/>
        <v>-422696.59704898187</v>
      </c>
      <c r="Z228" s="32">
        <f t="shared" si="209"/>
        <v>0</v>
      </c>
      <c r="AA228" s="32">
        <f t="shared" si="209"/>
        <v>0</v>
      </c>
      <c r="AB228" s="32">
        <f t="shared" si="209"/>
        <v>0</v>
      </c>
      <c r="AC228" s="32">
        <f t="shared" si="209"/>
        <v>0</v>
      </c>
      <c r="AD228" s="32">
        <f t="shared" si="209"/>
        <v>0</v>
      </c>
      <c r="AE228" s="32">
        <f t="shared" si="209"/>
        <v>0</v>
      </c>
      <c r="AF228" s="32">
        <f t="shared" si="209"/>
        <v>0</v>
      </c>
      <c r="AG228" s="32">
        <f t="shared" si="209"/>
        <v>0</v>
      </c>
      <c r="AH228" s="32">
        <f t="shared" si="209"/>
        <v>0</v>
      </c>
      <c r="AI228" s="32">
        <f t="shared" si="209"/>
        <v>0</v>
      </c>
      <c r="AJ228" s="32">
        <f t="shared" si="209"/>
        <v>0</v>
      </c>
      <c r="AK228" s="32">
        <f t="shared" si="209"/>
        <v>0</v>
      </c>
    </row>
    <row r="229" spans="1:37" x14ac:dyDescent="0.15">
      <c r="A229" s="24" t="s">
        <v>699</v>
      </c>
      <c r="B229" s="24" t="s">
        <v>699</v>
      </c>
      <c r="E229" s="24">
        <f t="shared" si="197"/>
        <v>1</v>
      </c>
      <c r="H229" s="32"/>
      <c r="J229" s="32">
        <f t="shared" si="199"/>
        <v>0</v>
      </c>
      <c r="K229" s="32">
        <f t="shared" si="200"/>
        <v>0</v>
      </c>
      <c r="L229" s="32">
        <f t="shared" si="200"/>
        <v>0</v>
      </c>
      <c r="M229" s="32">
        <f t="shared" si="201"/>
        <v>0</v>
      </c>
      <c r="N229" s="32">
        <f t="shared" si="202"/>
        <v>0</v>
      </c>
      <c r="O229" s="32">
        <f t="shared" si="202"/>
        <v>0</v>
      </c>
      <c r="P229" s="32">
        <f t="shared" si="203"/>
        <v>-91237.596625000006</v>
      </c>
      <c r="Q229" s="32">
        <f t="shared" si="204"/>
        <v>0</v>
      </c>
      <c r="R229" s="32">
        <f t="shared" si="204"/>
        <v>0</v>
      </c>
      <c r="S229" s="32">
        <f t="shared" si="205"/>
        <v>-91237.596625000006</v>
      </c>
      <c r="T229" s="32">
        <f t="shared" si="206"/>
        <v>0</v>
      </c>
      <c r="U229" s="32">
        <f t="shared" si="206"/>
        <v>0</v>
      </c>
      <c r="V229" s="32">
        <f t="shared" si="207"/>
        <v>-91237.596625000006</v>
      </c>
      <c r="W229" s="32">
        <f t="shared" si="208"/>
        <v>0</v>
      </c>
      <c r="X229" s="32">
        <f t="shared" si="208"/>
        <v>0</v>
      </c>
      <c r="Y229" s="32">
        <f t="shared" si="209"/>
        <v>-91237.596625000006</v>
      </c>
      <c r="Z229" s="32">
        <f t="shared" si="209"/>
        <v>0</v>
      </c>
      <c r="AA229" s="32">
        <f t="shared" si="209"/>
        <v>0</v>
      </c>
      <c r="AB229" s="32">
        <f t="shared" si="209"/>
        <v>39101.827124999996</v>
      </c>
      <c r="AC229" s="32">
        <f t="shared" si="209"/>
        <v>0</v>
      </c>
      <c r="AD229" s="32">
        <f t="shared" si="209"/>
        <v>0</v>
      </c>
      <c r="AE229" s="32">
        <f t="shared" si="209"/>
        <v>39101.827124999996</v>
      </c>
      <c r="AF229" s="32">
        <f t="shared" si="209"/>
        <v>0</v>
      </c>
      <c r="AG229" s="32">
        <f t="shared" si="209"/>
        <v>0</v>
      </c>
      <c r="AH229" s="32">
        <f t="shared" si="209"/>
        <v>39101.827124999996</v>
      </c>
      <c r="AI229" s="32">
        <f t="shared" si="209"/>
        <v>0</v>
      </c>
      <c r="AJ229" s="32">
        <f t="shared" si="209"/>
        <v>0</v>
      </c>
      <c r="AK229" s="32">
        <f t="shared" si="209"/>
        <v>39101.827124999996</v>
      </c>
    </row>
    <row r="230" spans="1:37" x14ac:dyDescent="0.15">
      <c r="A230" s="24" t="s">
        <v>696</v>
      </c>
      <c r="B230" s="24" t="s">
        <v>696</v>
      </c>
      <c r="E230" s="24">
        <f t="shared" si="197"/>
        <v>1</v>
      </c>
      <c r="H230" s="32"/>
      <c r="J230" s="32">
        <f t="shared" si="199"/>
        <v>-294614.24070000002</v>
      </c>
      <c r="K230" s="32">
        <f t="shared" si="200"/>
        <v>0</v>
      </c>
      <c r="L230" s="32">
        <f t="shared" si="200"/>
        <v>0</v>
      </c>
      <c r="M230" s="32">
        <f t="shared" si="201"/>
        <v>-294614.24070000002</v>
      </c>
      <c r="N230" s="32">
        <f t="shared" si="202"/>
        <v>0</v>
      </c>
      <c r="O230" s="32">
        <f t="shared" si="202"/>
        <v>0</v>
      </c>
      <c r="P230" s="32">
        <f t="shared" si="203"/>
        <v>39281.898759999953</v>
      </c>
      <c r="Q230" s="32">
        <f t="shared" si="204"/>
        <v>0</v>
      </c>
      <c r="R230" s="32">
        <f t="shared" si="204"/>
        <v>0</v>
      </c>
      <c r="S230" s="32">
        <f t="shared" si="205"/>
        <v>39281.898759999953</v>
      </c>
      <c r="T230" s="32">
        <f t="shared" si="206"/>
        <v>0</v>
      </c>
      <c r="U230" s="32">
        <f t="shared" si="206"/>
        <v>0</v>
      </c>
      <c r="V230" s="32">
        <f t="shared" si="207"/>
        <v>39281.898759999953</v>
      </c>
      <c r="W230" s="32">
        <f t="shared" si="208"/>
        <v>0</v>
      </c>
      <c r="X230" s="32">
        <f t="shared" si="208"/>
        <v>0</v>
      </c>
      <c r="Y230" s="32">
        <f t="shared" si="209"/>
        <v>39281.898759999953</v>
      </c>
      <c r="Z230" s="32">
        <f t="shared" si="209"/>
        <v>0</v>
      </c>
      <c r="AA230" s="32">
        <f t="shared" si="209"/>
        <v>0</v>
      </c>
      <c r="AB230" s="32">
        <f t="shared" si="209"/>
        <v>58922.848140000235</v>
      </c>
      <c r="AC230" s="32">
        <f t="shared" si="209"/>
        <v>0</v>
      </c>
      <c r="AD230" s="32">
        <f t="shared" si="209"/>
        <v>0</v>
      </c>
      <c r="AE230" s="32">
        <f t="shared" si="209"/>
        <v>58922.848140000235</v>
      </c>
      <c r="AF230" s="32">
        <f t="shared" si="209"/>
        <v>0</v>
      </c>
      <c r="AG230" s="32">
        <f t="shared" si="209"/>
        <v>0</v>
      </c>
      <c r="AH230" s="32">
        <f t="shared" si="209"/>
        <v>58922.848140000235</v>
      </c>
      <c r="AI230" s="32">
        <f t="shared" si="209"/>
        <v>0</v>
      </c>
      <c r="AJ230" s="32">
        <f t="shared" si="209"/>
        <v>0</v>
      </c>
      <c r="AK230" s="32">
        <f t="shared" si="209"/>
        <v>58922.848140000235</v>
      </c>
    </row>
    <row r="231" spans="1:37" x14ac:dyDescent="0.15">
      <c r="A231" s="24" t="s">
        <v>139</v>
      </c>
      <c r="B231" s="24" t="s">
        <v>350</v>
      </c>
      <c r="E231" s="24">
        <f t="shared" si="197"/>
        <v>0</v>
      </c>
      <c r="H231" s="32">
        <f t="shared" ref="H231:I248" si="210">(SUMIF($A$114:$A$155,$A231,H$114:H$155)*0.35+SUMIF($A$166:$A$205,$A231,H$166:H$205)*0.06*0.65)</f>
        <v>0</v>
      </c>
      <c r="I231" s="32">
        <f t="shared" si="210"/>
        <v>0</v>
      </c>
      <c r="J231" s="32">
        <f t="shared" si="199"/>
        <v>338294.70486824127</v>
      </c>
      <c r="K231" s="32">
        <f t="shared" si="200"/>
        <v>0</v>
      </c>
      <c r="L231" s="32">
        <f t="shared" si="200"/>
        <v>0</v>
      </c>
      <c r="M231" s="32">
        <f t="shared" si="201"/>
        <v>338294.70486824127</v>
      </c>
      <c r="N231" s="32">
        <f t="shared" si="202"/>
        <v>0</v>
      </c>
      <c r="O231" s="32">
        <f t="shared" si="202"/>
        <v>0</v>
      </c>
      <c r="P231" s="32">
        <f t="shared" si="203"/>
        <v>609919.78912712983</v>
      </c>
      <c r="Q231" s="32">
        <f t="shared" si="204"/>
        <v>0</v>
      </c>
      <c r="R231" s="32">
        <f t="shared" si="204"/>
        <v>0</v>
      </c>
      <c r="S231" s="32">
        <f t="shared" si="205"/>
        <v>609919.78912712983</v>
      </c>
      <c r="T231" s="32">
        <f t="shared" si="206"/>
        <v>0</v>
      </c>
      <c r="U231" s="32">
        <f t="shared" si="206"/>
        <v>0</v>
      </c>
      <c r="V231" s="32">
        <f t="shared" si="207"/>
        <v>609919.78912712983</v>
      </c>
      <c r="W231" s="32">
        <f t="shared" si="208"/>
        <v>0</v>
      </c>
      <c r="X231" s="32">
        <f t="shared" si="208"/>
        <v>0</v>
      </c>
      <c r="Y231" s="32">
        <f t="shared" si="209"/>
        <v>609919.78912712983</v>
      </c>
      <c r="Z231" s="32">
        <f t="shared" si="209"/>
        <v>0</v>
      </c>
      <c r="AA231" s="32">
        <f t="shared" si="209"/>
        <v>0</v>
      </c>
      <c r="AB231" s="32">
        <f t="shared" si="209"/>
        <v>706858.47256537981</v>
      </c>
      <c r="AC231" s="32">
        <f t="shared" si="209"/>
        <v>0</v>
      </c>
      <c r="AD231" s="32">
        <f t="shared" si="209"/>
        <v>0</v>
      </c>
      <c r="AE231" s="32">
        <f t="shared" si="209"/>
        <v>706858.47256537981</v>
      </c>
      <c r="AF231" s="32">
        <f t="shared" si="209"/>
        <v>0</v>
      </c>
      <c r="AG231" s="32">
        <f t="shared" si="209"/>
        <v>0</v>
      </c>
      <c r="AH231" s="32">
        <f t="shared" si="209"/>
        <v>706858.47256537981</v>
      </c>
      <c r="AI231" s="32">
        <f t="shared" si="209"/>
        <v>0</v>
      </c>
      <c r="AJ231" s="32">
        <f t="shared" si="209"/>
        <v>0</v>
      </c>
      <c r="AK231" s="32">
        <f t="shared" si="209"/>
        <v>706858.47256537981</v>
      </c>
    </row>
    <row r="232" spans="1:37" x14ac:dyDescent="0.15">
      <c r="A232" s="24" t="s">
        <v>138</v>
      </c>
      <c r="B232" s="24" t="s">
        <v>350</v>
      </c>
      <c r="E232" s="24">
        <f t="shared" si="197"/>
        <v>0</v>
      </c>
      <c r="H232" s="32">
        <f t="shared" si="210"/>
        <v>0</v>
      </c>
      <c r="I232" s="32">
        <f t="shared" si="210"/>
        <v>0</v>
      </c>
      <c r="J232" s="32">
        <f t="shared" si="199"/>
        <v>-2884486.3599624997</v>
      </c>
      <c r="K232" s="32">
        <f t="shared" si="200"/>
        <v>0</v>
      </c>
      <c r="L232" s="32">
        <f t="shared" si="200"/>
        <v>0</v>
      </c>
      <c r="M232" s="32">
        <f t="shared" si="201"/>
        <v>-2884486.3599624997</v>
      </c>
      <c r="N232" s="32">
        <f t="shared" si="202"/>
        <v>0</v>
      </c>
      <c r="O232" s="32">
        <f t="shared" si="202"/>
        <v>0</v>
      </c>
      <c r="P232" s="32">
        <f t="shared" si="203"/>
        <v>-3077619.79526</v>
      </c>
      <c r="Q232" s="32">
        <f t="shared" si="204"/>
        <v>0</v>
      </c>
      <c r="R232" s="32">
        <f t="shared" si="204"/>
        <v>0</v>
      </c>
      <c r="S232" s="32">
        <f t="shared" si="205"/>
        <v>-3077619.79526</v>
      </c>
      <c r="T232" s="32">
        <f t="shared" si="206"/>
        <v>0</v>
      </c>
      <c r="U232" s="32">
        <f t="shared" si="206"/>
        <v>0</v>
      </c>
      <c r="V232" s="32">
        <f t="shared" si="207"/>
        <v>-3077619.79526</v>
      </c>
      <c r="W232" s="32">
        <f t="shared" si="208"/>
        <v>0</v>
      </c>
      <c r="X232" s="32">
        <f t="shared" si="208"/>
        <v>0</v>
      </c>
      <c r="Y232" s="32">
        <f t="shared" si="209"/>
        <v>-3077619.79526</v>
      </c>
      <c r="Z232" s="32">
        <f t="shared" si="209"/>
        <v>0</v>
      </c>
      <c r="AA232" s="32">
        <f t="shared" si="209"/>
        <v>0</v>
      </c>
      <c r="AB232" s="32">
        <f t="shared" si="209"/>
        <v>-3147461.8268937496</v>
      </c>
      <c r="AC232" s="32">
        <f t="shared" si="209"/>
        <v>0</v>
      </c>
      <c r="AD232" s="32">
        <f t="shared" si="209"/>
        <v>0</v>
      </c>
      <c r="AE232" s="32">
        <f t="shared" si="209"/>
        <v>-3147461.8268937496</v>
      </c>
      <c r="AF232" s="32">
        <f t="shared" si="209"/>
        <v>0</v>
      </c>
      <c r="AG232" s="32">
        <f t="shared" si="209"/>
        <v>0</v>
      </c>
      <c r="AH232" s="32">
        <f t="shared" si="209"/>
        <v>-3147461.8268937496</v>
      </c>
      <c r="AI232" s="32">
        <f t="shared" si="209"/>
        <v>0</v>
      </c>
      <c r="AJ232" s="32">
        <f t="shared" si="209"/>
        <v>0</v>
      </c>
      <c r="AK232" s="32">
        <f t="shared" si="209"/>
        <v>-3147461.8268937496</v>
      </c>
    </row>
    <row r="233" spans="1:37" x14ac:dyDescent="0.15">
      <c r="A233" s="24" t="s">
        <v>37</v>
      </c>
      <c r="B233" s="24" t="s">
        <v>37</v>
      </c>
      <c r="E233" s="24">
        <f t="shared" si="197"/>
        <v>1</v>
      </c>
      <c r="H233" s="32">
        <f t="shared" si="210"/>
        <v>0</v>
      </c>
      <c r="I233" s="32">
        <f t="shared" si="210"/>
        <v>0</v>
      </c>
      <c r="J233" s="32">
        <f t="shared" si="199"/>
        <v>-15652791.945</v>
      </c>
      <c r="K233" s="32">
        <f t="shared" si="200"/>
        <v>0</v>
      </c>
      <c r="L233" s="32">
        <f t="shared" si="200"/>
        <v>0</v>
      </c>
      <c r="M233" s="32">
        <f t="shared" si="201"/>
        <v>-5217596.6849999996</v>
      </c>
      <c r="N233" s="32">
        <f t="shared" si="202"/>
        <v>0</v>
      </c>
      <c r="O233" s="32">
        <f t="shared" si="202"/>
        <v>0</v>
      </c>
      <c r="P233" s="32">
        <f t="shared" si="203"/>
        <v>-6863811.9899999993</v>
      </c>
      <c r="Q233" s="32">
        <f t="shared" si="204"/>
        <v>0</v>
      </c>
      <c r="R233" s="32">
        <f t="shared" si="204"/>
        <v>0</v>
      </c>
      <c r="S233" s="32">
        <f t="shared" si="205"/>
        <v>-6863811.9899999993</v>
      </c>
      <c r="T233" s="32">
        <f t="shared" si="206"/>
        <v>0</v>
      </c>
      <c r="U233" s="32">
        <f t="shared" si="206"/>
        <v>0</v>
      </c>
      <c r="V233" s="32">
        <f t="shared" si="207"/>
        <v>-6863811.9899999993</v>
      </c>
      <c r="W233" s="32">
        <f t="shared" si="208"/>
        <v>0</v>
      </c>
      <c r="X233" s="32">
        <f t="shared" si="208"/>
        <v>0</v>
      </c>
      <c r="Y233" s="32">
        <f t="shared" si="209"/>
        <v>-6863811.9899999993</v>
      </c>
      <c r="Z233" s="32">
        <f t="shared" si="209"/>
        <v>0</v>
      </c>
      <c r="AA233" s="32">
        <f t="shared" si="209"/>
        <v>0</v>
      </c>
      <c r="AB233" s="32">
        <f t="shared" si="209"/>
        <v>0</v>
      </c>
      <c r="AC233" s="32">
        <f t="shared" si="209"/>
        <v>0</v>
      </c>
      <c r="AD233" s="32">
        <f t="shared" si="209"/>
        <v>0</v>
      </c>
      <c r="AE233" s="32">
        <f t="shared" si="209"/>
        <v>0</v>
      </c>
      <c r="AF233" s="32">
        <f t="shared" si="209"/>
        <v>0</v>
      </c>
      <c r="AG233" s="32">
        <f t="shared" si="209"/>
        <v>0</v>
      </c>
      <c r="AH233" s="32">
        <f t="shared" si="209"/>
        <v>0</v>
      </c>
      <c r="AI233" s="32">
        <f t="shared" si="209"/>
        <v>0</v>
      </c>
      <c r="AJ233" s="32">
        <f t="shared" si="209"/>
        <v>0</v>
      </c>
      <c r="AK233" s="32">
        <f t="shared" si="209"/>
        <v>0</v>
      </c>
    </row>
    <row r="234" spans="1:37" x14ac:dyDescent="0.15">
      <c r="A234" s="24" t="s">
        <v>38</v>
      </c>
      <c r="B234" s="24" t="s">
        <v>38</v>
      </c>
      <c r="E234" s="24">
        <f t="shared" si="197"/>
        <v>1</v>
      </c>
      <c r="H234" s="32">
        <f t="shared" si="210"/>
        <v>0</v>
      </c>
      <c r="I234" s="32">
        <f t="shared" si="210"/>
        <v>0</v>
      </c>
      <c r="J234" s="32">
        <f t="shared" si="199"/>
        <v>17148907.989222635</v>
      </c>
      <c r="K234" s="32">
        <f t="shared" si="200"/>
        <v>0</v>
      </c>
      <c r="L234" s="32">
        <f t="shared" si="200"/>
        <v>0</v>
      </c>
      <c r="M234" s="32">
        <f t="shared" si="201"/>
        <v>17148907.989222635</v>
      </c>
      <c r="N234" s="32">
        <f t="shared" si="202"/>
        <v>0</v>
      </c>
      <c r="O234" s="32">
        <f t="shared" si="202"/>
        <v>0</v>
      </c>
      <c r="P234" s="32">
        <f t="shared" si="203"/>
        <v>20656660.251449108</v>
      </c>
      <c r="Q234" s="32">
        <f t="shared" si="204"/>
        <v>0</v>
      </c>
      <c r="R234" s="32">
        <f t="shared" si="204"/>
        <v>0</v>
      </c>
      <c r="S234" s="32">
        <f t="shared" si="205"/>
        <v>20656660.251449108</v>
      </c>
      <c r="T234" s="32">
        <f t="shared" si="206"/>
        <v>0</v>
      </c>
      <c r="U234" s="32">
        <f t="shared" si="206"/>
        <v>0</v>
      </c>
      <c r="V234" s="32">
        <f t="shared" si="207"/>
        <v>20656660.251449108</v>
      </c>
      <c r="W234" s="32">
        <f t="shared" si="208"/>
        <v>0</v>
      </c>
      <c r="X234" s="32">
        <f t="shared" si="208"/>
        <v>0</v>
      </c>
      <c r="Y234" s="32">
        <f t="shared" ref="Y234:AK243" si="211">(SUMIF($A$114:$A$155,$A234,Y$114:Y$155)*0.21+SUMIF($A$166:$A$205,$A234,Y$166:Y$205)*0.05*0.79)</f>
        <v>20656660.251449108</v>
      </c>
      <c r="Z234" s="32">
        <f t="shared" si="211"/>
        <v>0</v>
      </c>
      <c r="AA234" s="32">
        <f t="shared" si="211"/>
        <v>0</v>
      </c>
      <c r="AB234" s="32">
        <f t="shared" si="211"/>
        <v>22966569.144411284</v>
      </c>
      <c r="AC234" s="32">
        <f t="shared" si="211"/>
        <v>0</v>
      </c>
      <c r="AD234" s="32">
        <f t="shared" si="211"/>
        <v>0</v>
      </c>
      <c r="AE234" s="32">
        <f t="shared" si="211"/>
        <v>22966569.144411284</v>
      </c>
      <c r="AF234" s="32">
        <f t="shared" si="211"/>
        <v>0</v>
      </c>
      <c r="AG234" s="32">
        <f t="shared" si="211"/>
        <v>0</v>
      </c>
      <c r="AH234" s="32">
        <f t="shared" si="211"/>
        <v>22966569.144411284</v>
      </c>
      <c r="AI234" s="32">
        <f t="shared" si="211"/>
        <v>0</v>
      </c>
      <c r="AJ234" s="32">
        <f t="shared" si="211"/>
        <v>0</v>
      </c>
      <c r="AK234" s="32">
        <f t="shared" si="211"/>
        <v>22966569.144411284</v>
      </c>
    </row>
    <row r="235" spans="1:37" x14ac:dyDescent="0.15">
      <c r="A235" s="24" t="s">
        <v>41</v>
      </c>
      <c r="B235" s="24" t="s">
        <v>327</v>
      </c>
      <c r="E235" s="24">
        <f t="shared" si="197"/>
        <v>0</v>
      </c>
      <c r="H235" s="32">
        <f t="shared" si="210"/>
        <v>0</v>
      </c>
      <c r="I235" s="32">
        <f t="shared" si="210"/>
        <v>0</v>
      </c>
      <c r="J235" s="32">
        <f t="shared" si="199"/>
        <v>374250</v>
      </c>
      <c r="K235" s="32">
        <f t="shared" si="200"/>
        <v>0</v>
      </c>
      <c r="L235" s="32">
        <f t="shared" si="200"/>
        <v>0</v>
      </c>
      <c r="M235" s="32">
        <f t="shared" si="201"/>
        <v>374250</v>
      </c>
      <c r="N235" s="32">
        <f t="shared" si="202"/>
        <v>0</v>
      </c>
      <c r="O235" s="32">
        <f t="shared" si="202"/>
        <v>0</v>
      </c>
      <c r="P235" s="32">
        <f t="shared" si="203"/>
        <v>374250</v>
      </c>
      <c r="Q235" s="32">
        <f t="shared" si="204"/>
        <v>0</v>
      </c>
      <c r="R235" s="32">
        <f t="shared" si="204"/>
        <v>0</v>
      </c>
      <c r="S235" s="32">
        <f t="shared" si="205"/>
        <v>374250</v>
      </c>
      <c r="T235" s="32">
        <f t="shared" si="206"/>
        <v>0</v>
      </c>
      <c r="U235" s="32">
        <f t="shared" si="206"/>
        <v>0</v>
      </c>
      <c r="V235" s="32">
        <f t="shared" si="207"/>
        <v>374250</v>
      </c>
      <c r="W235" s="32">
        <f t="shared" si="208"/>
        <v>0</v>
      </c>
      <c r="X235" s="32">
        <f t="shared" si="208"/>
        <v>0</v>
      </c>
      <c r="Y235" s="32">
        <f t="shared" si="211"/>
        <v>374250</v>
      </c>
      <c r="Z235" s="32">
        <f t="shared" si="211"/>
        <v>0</v>
      </c>
      <c r="AA235" s="32">
        <f t="shared" si="211"/>
        <v>0</v>
      </c>
      <c r="AB235" s="32">
        <f t="shared" si="211"/>
        <v>374250</v>
      </c>
      <c r="AC235" s="32">
        <f t="shared" si="211"/>
        <v>0</v>
      </c>
      <c r="AD235" s="32">
        <f t="shared" si="211"/>
        <v>0</v>
      </c>
      <c r="AE235" s="32">
        <f t="shared" si="211"/>
        <v>374250</v>
      </c>
      <c r="AF235" s="32">
        <f t="shared" si="211"/>
        <v>0</v>
      </c>
      <c r="AG235" s="32">
        <f t="shared" si="211"/>
        <v>0</v>
      </c>
      <c r="AH235" s="32">
        <f t="shared" si="211"/>
        <v>374250</v>
      </c>
      <c r="AI235" s="32">
        <f t="shared" si="211"/>
        <v>0</v>
      </c>
      <c r="AJ235" s="32">
        <f t="shared" si="211"/>
        <v>0</v>
      </c>
      <c r="AK235" s="32">
        <f t="shared" si="211"/>
        <v>374250</v>
      </c>
    </row>
    <row r="236" spans="1:37" x14ac:dyDescent="0.15">
      <c r="A236" s="24" t="s">
        <v>42</v>
      </c>
      <c r="B236" s="24" t="s">
        <v>42</v>
      </c>
      <c r="E236" s="24">
        <f t="shared" si="197"/>
        <v>1</v>
      </c>
      <c r="H236" s="32">
        <f t="shared" si="210"/>
        <v>0</v>
      </c>
      <c r="I236" s="32">
        <f t="shared" si="210"/>
        <v>0</v>
      </c>
      <c r="J236" s="32">
        <f t="shared" si="199"/>
        <v>2.4950000043375553E-3</v>
      </c>
      <c r="K236" s="32">
        <f t="shared" si="200"/>
        <v>0</v>
      </c>
      <c r="L236" s="32">
        <f t="shared" si="200"/>
        <v>0</v>
      </c>
      <c r="M236" s="32">
        <f t="shared" si="201"/>
        <v>2.4950000043375553E-3</v>
      </c>
      <c r="N236" s="32">
        <f t="shared" si="202"/>
        <v>0</v>
      </c>
      <c r="O236" s="32">
        <f t="shared" si="202"/>
        <v>0</v>
      </c>
      <c r="P236" s="32">
        <f t="shared" si="203"/>
        <v>6389.6974950000049</v>
      </c>
      <c r="Q236" s="32">
        <f t="shared" si="204"/>
        <v>0</v>
      </c>
      <c r="R236" s="32">
        <f t="shared" si="204"/>
        <v>0</v>
      </c>
      <c r="S236" s="32">
        <f t="shared" si="205"/>
        <v>6389.6974950000049</v>
      </c>
      <c r="T236" s="32">
        <f t="shared" si="206"/>
        <v>0</v>
      </c>
      <c r="U236" s="32">
        <f t="shared" si="206"/>
        <v>0</v>
      </c>
      <c r="V236" s="32">
        <f t="shared" si="207"/>
        <v>6389.6974950000049</v>
      </c>
      <c r="W236" s="32">
        <f t="shared" si="208"/>
        <v>0</v>
      </c>
      <c r="X236" s="32">
        <f t="shared" si="208"/>
        <v>0</v>
      </c>
      <c r="Y236" s="32">
        <f t="shared" si="211"/>
        <v>6389.6974950000049</v>
      </c>
      <c r="Z236" s="32">
        <f t="shared" si="211"/>
        <v>0</v>
      </c>
      <c r="AA236" s="32">
        <f t="shared" si="211"/>
        <v>0</v>
      </c>
      <c r="AB236" s="32">
        <f t="shared" si="211"/>
        <v>3727.2985887500004</v>
      </c>
      <c r="AC236" s="32">
        <f t="shared" si="211"/>
        <v>0</v>
      </c>
      <c r="AD236" s="32">
        <f t="shared" si="211"/>
        <v>0</v>
      </c>
      <c r="AE236" s="32">
        <f t="shared" si="211"/>
        <v>3727.2985887500004</v>
      </c>
      <c r="AF236" s="32">
        <f t="shared" si="211"/>
        <v>0</v>
      </c>
      <c r="AG236" s="32">
        <f t="shared" si="211"/>
        <v>0</v>
      </c>
      <c r="AH236" s="32">
        <f t="shared" si="211"/>
        <v>3727.2985887500004</v>
      </c>
      <c r="AI236" s="32">
        <f t="shared" si="211"/>
        <v>0</v>
      </c>
      <c r="AJ236" s="32">
        <f t="shared" si="211"/>
        <v>0</v>
      </c>
      <c r="AK236" s="32">
        <f t="shared" si="211"/>
        <v>3727.2985887500004</v>
      </c>
    </row>
    <row r="237" spans="1:37" x14ac:dyDescent="0.15">
      <c r="A237" s="24" t="s">
        <v>44</v>
      </c>
      <c r="B237" s="24" t="s">
        <v>44</v>
      </c>
      <c r="E237" s="24">
        <f t="shared" si="197"/>
        <v>1</v>
      </c>
      <c r="H237" s="32">
        <f t="shared" si="210"/>
        <v>0</v>
      </c>
      <c r="I237" s="32">
        <f t="shared" si="210"/>
        <v>0</v>
      </c>
      <c r="J237" s="32">
        <f t="shared" si="199"/>
        <v>-1732860.3340000003</v>
      </c>
      <c r="K237" s="32">
        <f t="shared" si="200"/>
        <v>0</v>
      </c>
      <c r="L237" s="32">
        <f t="shared" si="200"/>
        <v>0</v>
      </c>
      <c r="M237" s="32">
        <f t="shared" si="201"/>
        <v>-1732860.3340000003</v>
      </c>
      <c r="N237" s="32">
        <f t="shared" si="202"/>
        <v>0</v>
      </c>
      <c r="O237" s="32">
        <f t="shared" si="202"/>
        <v>0</v>
      </c>
      <c r="P237" s="32">
        <f t="shared" si="203"/>
        <v>-2717541.8699337509</v>
      </c>
      <c r="Q237" s="32">
        <f t="shared" si="204"/>
        <v>0</v>
      </c>
      <c r="R237" s="32">
        <f t="shared" si="204"/>
        <v>0</v>
      </c>
      <c r="S237" s="32">
        <f t="shared" si="205"/>
        <v>-2717541.8699337509</v>
      </c>
      <c r="T237" s="32">
        <f t="shared" si="206"/>
        <v>0</v>
      </c>
      <c r="U237" s="32">
        <f t="shared" si="206"/>
        <v>0</v>
      </c>
      <c r="V237" s="32">
        <f t="shared" si="207"/>
        <v>-2717541.8699337509</v>
      </c>
      <c r="W237" s="32">
        <f t="shared" si="208"/>
        <v>0</v>
      </c>
      <c r="X237" s="32">
        <f t="shared" si="208"/>
        <v>0</v>
      </c>
      <c r="Y237" s="32">
        <f t="shared" si="211"/>
        <v>-2717541.8699337509</v>
      </c>
      <c r="Z237" s="32">
        <f t="shared" si="211"/>
        <v>0</v>
      </c>
      <c r="AA237" s="32">
        <f t="shared" si="211"/>
        <v>0</v>
      </c>
      <c r="AB237" s="32">
        <f t="shared" si="211"/>
        <v>-1312004.4700249999</v>
      </c>
      <c r="AC237" s="32">
        <f t="shared" si="211"/>
        <v>0</v>
      </c>
      <c r="AD237" s="32">
        <f t="shared" si="211"/>
        <v>0</v>
      </c>
      <c r="AE237" s="32">
        <f t="shared" si="211"/>
        <v>-1312004.4700249999</v>
      </c>
      <c r="AF237" s="32">
        <f t="shared" si="211"/>
        <v>0</v>
      </c>
      <c r="AG237" s="32">
        <f t="shared" si="211"/>
        <v>0</v>
      </c>
      <c r="AH237" s="32">
        <f t="shared" si="211"/>
        <v>-1312004.4700249999</v>
      </c>
      <c r="AI237" s="32">
        <f t="shared" si="211"/>
        <v>0</v>
      </c>
      <c r="AJ237" s="32">
        <f t="shared" si="211"/>
        <v>0</v>
      </c>
      <c r="AK237" s="32">
        <f t="shared" si="211"/>
        <v>-1312004.4700249999</v>
      </c>
    </row>
    <row r="238" spans="1:37" x14ac:dyDescent="0.15">
      <c r="A238" s="24" t="s">
        <v>46</v>
      </c>
      <c r="B238" s="24" t="s">
        <v>46</v>
      </c>
      <c r="E238" s="24">
        <f t="shared" si="197"/>
        <v>1</v>
      </c>
      <c r="H238" s="32">
        <f t="shared" si="210"/>
        <v>0</v>
      </c>
      <c r="I238" s="32">
        <f t="shared" si="210"/>
        <v>0</v>
      </c>
      <c r="J238" s="32">
        <f t="shared" si="199"/>
        <v>95118.817377500018</v>
      </c>
      <c r="K238" s="32">
        <f t="shared" si="200"/>
        <v>0</v>
      </c>
      <c r="L238" s="32">
        <f t="shared" si="200"/>
        <v>0</v>
      </c>
      <c r="M238" s="32">
        <f t="shared" si="201"/>
        <v>95118.817377500018</v>
      </c>
      <c r="N238" s="32">
        <f t="shared" si="202"/>
        <v>0</v>
      </c>
      <c r="O238" s="32">
        <f t="shared" si="202"/>
        <v>0</v>
      </c>
      <c r="P238" s="32">
        <f t="shared" si="203"/>
        <v>-64994.369512500009</v>
      </c>
      <c r="Q238" s="32">
        <f t="shared" si="204"/>
        <v>0</v>
      </c>
      <c r="R238" s="32">
        <f t="shared" si="204"/>
        <v>0</v>
      </c>
      <c r="S238" s="32">
        <f t="shared" si="205"/>
        <v>-64994.369512500009</v>
      </c>
      <c r="T238" s="32">
        <f t="shared" si="206"/>
        <v>0</v>
      </c>
      <c r="U238" s="32">
        <f t="shared" si="206"/>
        <v>0</v>
      </c>
      <c r="V238" s="32">
        <f t="shared" si="207"/>
        <v>-64994.369512500009</v>
      </c>
      <c r="W238" s="32">
        <f t="shared" si="208"/>
        <v>0</v>
      </c>
      <c r="X238" s="32">
        <f t="shared" si="208"/>
        <v>0</v>
      </c>
      <c r="Y238" s="32">
        <f t="shared" si="211"/>
        <v>-64994.369512500009</v>
      </c>
      <c r="Z238" s="32">
        <f t="shared" si="211"/>
        <v>0</v>
      </c>
      <c r="AA238" s="32">
        <f t="shared" si="211"/>
        <v>0</v>
      </c>
      <c r="AB238" s="32">
        <f t="shared" si="211"/>
        <v>0</v>
      </c>
      <c r="AC238" s="32">
        <f t="shared" si="211"/>
        <v>0</v>
      </c>
      <c r="AD238" s="32">
        <f t="shared" si="211"/>
        <v>0</v>
      </c>
      <c r="AE238" s="32">
        <f t="shared" si="211"/>
        <v>0</v>
      </c>
      <c r="AF238" s="32">
        <f t="shared" si="211"/>
        <v>0</v>
      </c>
      <c r="AG238" s="32">
        <f t="shared" si="211"/>
        <v>0</v>
      </c>
      <c r="AH238" s="32">
        <f t="shared" si="211"/>
        <v>0</v>
      </c>
      <c r="AI238" s="32">
        <f t="shared" si="211"/>
        <v>0</v>
      </c>
      <c r="AJ238" s="32">
        <f t="shared" si="211"/>
        <v>0</v>
      </c>
      <c r="AK238" s="32">
        <f t="shared" si="211"/>
        <v>0</v>
      </c>
    </row>
    <row r="239" spans="1:37" x14ac:dyDescent="0.15">
      <c r="A239" s="24" t="s">
        <v>51</v>
      </c>
      <c r="B239" s="24" t="s">
        <v>51</v>
      </c>
      <c r="E239" s="24">
        <f t="shared" si="197"/>
        <v>1</v>
      </c>
      <c r="H239" s="32">
        <f t="shared" si="210"/>
        <v>0</v>
      </c>
      <c r="I239" s="32">
        <f t="shared" si="210"/>
        <v>0</v>
      </c>
      <c r="J239" s="32">
        <f t="shared" si="199"/>
        <v>555787.32082170458</v>
      </c>
      <c r="K239" s="32">
        <f t="shared" si="200"/>
        <v>0</v>
      </c>
      <c r="L239" s="32">
        <f t="shared" si="200"/>
        <v>0</v>
      </c>
      <c r="M239" s="32">
        <f t="shared" si="201"/>
        <v>555787.32082170458</v>
      </c>
      <c r="N239" s="32">
        <f t="shared" si="202"/>
        <v>0</v>
      </c>
      <c r="O239" s="32">
        <f t="shared" si="202"/>
        <v>0</v>
      </c>
      <c r="P239" s="32">
        <f t="shared" si="203"/>
        <v>-405213.84310485923</v>
      </c>
      <c r="Q239" s="32">
        <f t="shared" si="204"/>
        <v>0</v>
      </c>
      <c r="R239" s="32">
        <f t="shared" si="204"/>
        <v>0</v>
      </c>
      <c r="S239" s="32">
        <f t="shared" si="205"/>
        <v>-405213.84310485923</v>
      </c>
      <c r="T239" s="32">
        <f t="shared" si="206"/>
        <v>0</v>
      </c>
      <c r="U239" s="32">
        <f t="shared" si="206"/>
        <v>0</v>
      </c>
      <c r="V239" s="32">
        <f t="shared" si="207"/>
        <v>-405213.84310485923</v>
      </c>
      <c r="W239" s="32">
        <f t="shared" si="208"/>
        <v>0</v>
      </c>
      <c r="X239" s="32">
        <f t="shared" si="208"/>
        <v>0</v>
      </c>
      <c r="Y239" s="32">
        <f t="shared" si="211"/>
        <v>-405213.84310485923</v>
      </c>
      <c r="Z239" s="32">
        <f t="shared" si="211"/>
        <v>0</v>
      </c>
      <c r="AA239" s="32">
        <f t="shared" si="211"/>
        <v>0</v>
      </c>
      <c r="AB239" s="32">
        <f t="shared" si="211"/>
        <v>-45422.450692321232</v>
      </c>
      <c r="AC239" s="32">
        <f t="shared" si="211"/>
        <v>0</v>
      </c>
      <c r="AD239" s="32">
        <f t="shared" si="211"/>
        <v>0</v>
      </c>
      <c r="AE239" s="32">
        <f t="shared" si="211"/>
        <v>-45422.450692321232</v>
      </c>
      <c r="AF239" s="32">
        <f t="shared" si="211"/>
        <v>0</v>
      </c>
      <c r="AG239" s="32">
        <f t="shared" si="211"/>
        <v>0</v>
      </c>
      <c r="AH239" s="32">
        <f t="shared" si="211"/>
        <v>-45422.450692321232</v>
      </c>
      <c r="AI239" s="32">
        <f t="shared" si="211"/>
        <v>0</v>
      </c>
      <c r="AJ239" s="32">
        <f t="shared" si="211"/>
        <v>0</v>
      </c>
      <c r="AK239" s="32">
        <f t="shared" si="211"/>
        <v>-45422.450692321232</v>
      </c>
    </row>
    <row r="240" spans="1:37" x14ac:dyDescent="0.15">
      <c r="A240" s="24" t="s">
        <v>52</v>
      </c>
      <c r="B240" s="24" t="s">
        <v>52</v>
      </c>
      <c r="E240" s="24">
        <f t="shared" si="197"/>
        <v>1</v>
      </c>
      <c r="H240" s="32">
        <f t="shared" si="210"/>
        <v>0</v>
      </c>
      <c r="I240" s="32">
        <f t="shared" si="210"/>
        <v>0</v>
      </c>
      <c r="J240" s="32">
        <f t="shared" si="199"/>
        <v>-5111.6865354048914</v>
      </c>
      <c r="K240" s="32">
        <f t="shared" si="200"/>
        <v>0</v>
      </c>
      <c r="L240" s="32">
        <f t="shared" si="200"/>
        <v>0</v>
      </c>
      <c r="M240" s="32">
        <f t="shared" si="201"/>
        <v>-5111.6865354048914</v>
      </c>
      <c r="N240" s="32">
        <f t="shared" si="202"/>
        <v>0</v>
      </c>
      <c r="O240" s="32">
        <f t="shared" si="202"/>
        <v>0</v>
      </c>
      <c r="P240" s="32">
        <f t="shared" si="203"/>
        <v>-36472.651258598111</v>
      </c>
      <c r="Q240" s="32">
        <f t="shared" si="204"/>
        <v>0</v>
      </c>
      <c r="R240" s="32">
        <f t="shared" si="204"/>
        <v>0</v>
      </c>
      <c r="S240" s="32">
        <f t="shared" si="205"/>
        <v>-36472.651258598111</v>
      </c>
      <c r="T240" s="32">
        <f t="shared" si="206"/>
        <v>0</v>
      </c>
      <c r="U240" s="32">
        <f t="shared" si="206"/>
        <v>0</v>
      </c>
      <c r="V240" s="32">
        <f t="shared" si="207"/>
        <v>-36472.651258598111</v>
      </c>
      <c r="W240" s="32">
        <f t="shared" si="208"/>
        <v>0</v>
      </c>
      <c r="X240" s="32">
        <f t="shared" si="208"/>
        <v>0</v>
      </c>
      <c r="Y240" s="32">
        <f t="shared" si="211"/>
        <v>-36472.651258598111</v>
      </c>
      <c r="Z240" s="32">
        <f t="shared" si="211"/>
        <v>0</v>
      </c>
      <c r="AA240" s="32">
        <f t="shared" si="211"/>
        <v>0</v>
      </c>
      <c r="AB240" s="32">
        <f t="shared" si="211"/>
        <v>31635.852748932626</v>
      </c>
      <c r="AC240" s="32">
        <f t="shared" si="211"/>
        <v>0</v>
      </c>
      <c r="AD240" s="32">
        <f t="shared" si="211"/>
        <v>0</v>
      </c>
      <c r="AE240" s="32">
        <f t="shared" si="211"/>
        <v>31635.852748932626</v>
      </c>
      <c r="AF240" s="32">
        <f t="shared" si="211"/>
        <v>0</v>
      </c>
      <c r="AG240" s="32">
        <f t="shared" si="211"/>
        <v>0</v>
      </c>
      <c r="AH240" s="32">
        <f t="shared" si="211"/>
        <v>31635.852748932626</v>
      </c>
      <c r="AI240" s="32">
        <f t="shared" si="211"/>
        <v>0</v>
      </c>
      <c r="AJ240" s="32">
        <f t="shared" si="211"/>
        <v>0</v>
      </c>
      <c r="AK240" s="32">
        <f t="shared" si="211"/>
        <v>31635.852748932626</v>
      </c>
    </row>
    <row r="241" spans="1:37" x14ac:dyDescent="0.15">
      <c r="A241" s="24" t="s">
        <v>131</v>
      </c>
      <c r="B241" s="24" t="s">
        <v>53</v>
      </c>
      <c r="E241" s="24">
        <f t="shared" si="197"/>
        <v>0</v>
      </c>
      <c r="H241" s="32">
        <f t="shared" si="210"/>
        <v>0</v>
      </c>
      <c r="I241" s="32">
        <f t="shared" si="210"/>
        <v>0</v>
      </c>
      <c r="J241" s="32">
        <f t="shared" si="199"/>
        <v>52835.180374999996</v>
      </c>
      <c r="K241" s="32">
        <f t="shared" si="200"/>
        <v>0</v>
      </c>
      <c r="L241" s="32">
        <f t="shared" si="200"/>
        <v>0</v>
      </c>
      <c r="M241" s="32">
        <f t="shared" si="201"/>
        <v>52835.180374999996</v>
      </c>
      <c r="N241" s="32">
        <f t="shared" si="202"/>
        <v>0</v>
      </c>
      <c r="O241" s="32">
        <f t="shared" si="202"/>
        <v>0</v>
      </c>
      <c r="P241" s="32">
        <f t="shared" si="203"/>
        <v>35970.414999999746</v>
      </c>
      <c r="Q241" s="32">
        <f t="shared" si="204"/>
        <v>0</v>
      </c>
      <c r="R241" s="32">
        <f t="shared" si="204"/>
        <v>0</v>
      </c>
      <c r="S241" s="32">
        <f t="shared" si="205"/>
        <v>35970.414999999746</v>
      </c>
      <c r="T241" s="32">
        <f t="shared" si="206"/>
        <v>0</v>
      </c>
      <c r="U241" s="32">
        <f t="shared" si="206"/>
        <v>0</v>
      </c>
      <c r="V241" s="32">
        <f t="shared" si="207"/>
        <v>35970.414999999746</v>
      </c>
      <c r="W241" s="32">
        <f t="shared" si="208"/>
        <v>0</v>
      </c>
      <c r="X241" s="32">
        <f t="shared" si="208"/>
        <v>0</v>
      </c>
      <c r="Y241" s="32">
        <f t="shared" si="211"/>
        <v>35970.414999999746</v>
      </c>
      <c r="Z241" s="32">
        <f t="shared" si="211"/>
        <v>0</v>
      </c>
      <c r="AA241" s="32">
        <f t="shared" si="211"/>
        <v>0</v>
      </c>
      <c r="AB241" s="32">
        <f t="shared" si="211"/>
        <v>34340.556250000023</v>
      </c>
      <c r="AC241" s="32">
        <f t="shared" si="211"/>
        <v>0</v>
      </c>
      <c r="AD241" s="32">
        <f t="shared" si="211"/>
        <v>0</v>
      </c>
      <c r="AE241" s="32">
        <f t="shared" si="211"/>
        <v>34340.556250000023</v>
      </c>
      <c r="AF241" s="32">
        <f t="shared" si="211"/>
        <v>0</v>
      </c>
      <c r="AG241" s="32">
        <f t="shared" si="211"/>
        <v>0</v>
      </c>
      <c r="AH241" s="32">
        <f t="shared" si="211"/>
        <v>34340.556250000023</v>
      </c>
      <c r="AI241" s="32">
        <f t="shared" si="211"/>
        <v>0</v>
      </c>
      <c r="AJ241" s="32">
        <f t="shared" si="211"/>
        <v>0</v>
      </c>
      <c r="AK241" s="32">
        <f t="shared" si="211"/>
        <v>34340.556250000023</v>
      </c>
    </row>
    <row r="242" spans="1:37" x14ac:dyDescent="0.15">
      <c r="A242" s="24" t="s">
        <v>132</v>
      </c>
      <c r="B242" s="24" t="s">
        <v>53</v>
      </c>
      <c r="E242" s="24">
        <f t="shared" si="197"/>
        <v>0</v>
      </c>
      <c r="H242" s="32">
        <f t="shared" si="210"/>
        <v>0</v>
      </c>
      <c r="I242" s="32">
        <f t="shared" si="210"/>
        <v>0</v>
      </c>
      <c r="J242" s="32">
        <f t="shared" si="199"/>
        <v>-335841.34625</v>
      </c>
      <c r="K242" s="32">
        <f t="shared" si="200"/>
        <v>0</v>
      </c>
      <c r="L242" s="32">
        <f t="shared" si="200"/>
        <v>0</v>
      </c>
      <c r="M242" s="32">
        <f t="shared" si="201"/>
        <v>-335841.34625</v>
      </c>
      <c r="N242" s="32">
        <f t="shared" si="202"/>
        <v>0</v>
      </c>
      <c r="O242" s="32">
        <f t="shared" si="202"/>
        <v>0</v>
      </c>
      <c r="P242" s="32">
        <f t="shared" si="203"/>
        <v>-321796.67937499995</v>
      </c>
      <c r="Q242" s="32">
        <f t="shared" si="204"/>
        <v>0</v>
      </c>
      <c r="R242" s="32">
        <f t="shared" si="204"/>
        <v>0</v>
      </c>
      <c r="S242" s="32">
        <f t="shared" si="205"/>
        <v>-321796.67937499995</v>
      </c>
      <c r="T242" s="32">
        <f t="shared" si="206"/>
        <v>0</v>
      </c>
      <c r="U242" s="32">
        <f t="shared" si="206"/>
        <v>0</v>
      </c>
      <c r="V242" s="32">
        <f t="shared" si="207"/>
        <v>-321796.67937499995</v>
      </c>
      <c r="W242" s="32">
        <f t="shared" si="208"/>
        <v>0</v>
      </c>
      <c r="X242" s="32">
        <f t="shared" si="208"/>
        <v>0</v>
      </c>
      <c r="Y242" s="32">
        <f t="shared" si="211"/>
        <v>-321796.67937499995</v>
      </c>
      <c r="Z242" s="32">
        <f t="shared" si="211"/>
        <v>0</v>
      </c>
      <c r="AA242" s="32">
        <f t="shared" si="211"/>
        <v>0</v>
      </c>
      <c r="AB242" s="32">
        <f t="shared" si="211"/>
        <v>-327537.8615</v>
      </c>
      <c r="AC242" s="32">
        <f t="shared" si="211"/>
        <v>0</v>
      </c>
      <c r="AD242" s="32">
        <f t="shared" si="211"/>
        <v>0</v>
      </c>
      <c r="AE242" s="32">
        <f t="shared" si="211"/>
        <v>-327537.8615</v>
      </c>
      <c r="AF242" s="32">
        <f t="shared" si="211"/>
        <v>0</v>
      </c>
      <c r="AG242" s="32">
        <f t="shared" si="211"/>
        <v>0</v>
      </c>
      <c r="AH242" s="32">
        <f t="shared" si="211"/>
        <v>-327537.8615</v>
      </c>
      <c r="AI242" s="32">
        <f t="shared" si="211"/>
        <v>0</v>
      </c>
      <c r="AJ242" s="32">
        <f t="shared" si="211"/>
        <v>0</v>
      </c>
      <c r="AK242" s="32">
        <f t="shared" si="211"/>
        <v>-327537.8615</v>
      </c>
    </row>
    <row r="243" spans="1:37" x14ac:dyDescent="0.15">
      <c r="A243" s="24" t="s">
        <v>133</v>
      </c>
      <c r="B243" s="24" t="s">
        <v>58</v>
      </c>
      <c r="E243" s="24">
        <f t="shared" si="197"/>
        <v>0</v>
      </c>
      <c r="H243" s="32">
        <f t="shared" si="210"/>
        <v>0</v>
      </c>
      <c r="I243" s="32">
        <f t="shared" si="210"/>
        <v>0</v>
      </c>
      <c r="J243" s="32">
        <f t="shared" si="199"/>
        <v>-9104.8016084365481</v>
      </c>
      <c r="K243" s="32">
        <f t="shared" si="200"/>
        <v>0</v>
      </c>
      <c r="L243" s="32">
        <f t="shared" si="200"/>
        <v>0</v>
      </c>
      <c r="M243" s="32">
        <f t="shared" si="201"/>
        <v>-9104.8016084365481</v>
      </c>
      <c r="N243" s="32">
        <f t="shared" si="202"/>
        <v>0</v>
      </c>
      <c r="O243" s="32">
        <f t="shared" si="202"/>
        <v>0</v>
      </c>
      <c r="P243" s="32">
        <f t="shared" si="203"/>
        <v>-130416.87401113626</v>
      </c>
      <c r="Q243" s="32">
        <f t="shared" si="204"/>
        <v>0</v>
      </c>
      <c r="R243" s="32">
        <f t="shared" si="204"/>
        <v>0</v>
      </c>
      <c r="S243" s="32">
        <f t="shared" si="205"/>
        <v>-130416.87401113626</v>
      </c>
      <c r="T243" s="32">
        <f t="shared" si="206"/>
        <v>0</v>
      </c>
      <c r="U243" s="32">
        <f t="shared" si="206"/>
        <v>0</v>
      </c>
      <c r="V243" s="32">
        <f t="shared" si="207"/>
        <v>-130416.87401113626</v>
      </c>
      <c r="W243" s="32">
        <f t="shared" si="208"/>
        <v>0</v>
      </c>
      <c r="X243" s="32">
        <f t="shared" si="208"/>
        <v>0</v>
      </c>
      <c r="Y243" s="32">
        <f t="shared" si="211"/>
        <v>-130416.87401113626</v>
      </c>
      <c r="Z243" s="32">
        <f t="shared" si="211"/>
        <v>0</v>
      </c>
      <c r="AA243" s="32">
        <f t="shared" si="211"/>
        <v>0</v>
      </c>
      <c r="AB243" s="32">
        <f t="shared" si="211"/>
        <v>-180427.5842779185</v>
      </c>
      <c r="AC243" s="32">
        <f t="shared" si="211"/>
        <v>0</v>
      </c>
      <c r="AD243" s="32">
        <f t="shared" si="211"/>
        <v>0</v>
      </c>
      <c r="AE243" s="32">
        <f t="shared" si="211"/>
        <v>-180427.5842779185</v>
      </c>
      <c r="AF243" s="32">
        <f t="shared" si="211"/>
        <v>0</v>
      </c>
      <c r="AG243" s="32">
        <f t="shared" si="211"/>
        <v>0</v>
      </c>
      <c r="AH243" s="32">
        <f t="shared" si="211"/>
        <v>-180427.5842779185</v>
      </c>
      <c r="AI243" s="32">
        <f t="shared" si="211"/>
        <v>0</v>
      </c>
      <c r="AJ243" s="32">
        <f t="shared" si="211"/>
        <v>0</v>
      </c>
      <c r="AK243" s="32">
        <f t="shared" si="211"/>
        <v>-180427.5842779185</v>
      </c>
    </row>
    <row r="244" spans="1:37" x14ac:dyDescent="0.15">
      <c r="A244" s="24" t="s">
        <v>134</v>
      </c>
      <c r="B244" s="24" t="s">
        <v>58</v>
      </c>
      <c r="E244" s="24">
        <f t="shared" si="197"/>
        <v>0</v>
      </c>
      <c r="H244" s="32">
        <f t="shared" si="210"/>
        <v>0</v>
      </c>
      <c r="I244" s="32">
        <f t="shared" si="210"/>
        <v>0</v>
      </c>
      <c r="J244" s="32">
        <f t="shared" si="199"/>
        <v>0</v>
      </c>
      <c r="K244" s="32">
        <f t="shared" si="200"/>
        <v>0</v>
      </c>
      <c r="L244" s="32">
        <f t="shared" si="200"/>
        <v>0</v>
      </c>
      <c r="M244" s="32">
        <f t="shared" si="201"/>
        <v>0</v>
      </c>
      <c r="N244" s="32">
        <f t="shared" si="202"/>
        <v>0</v>
      </c>
      <c r="O244" s="32">
        <f t="shared" si="202"/>
        <v>0</v>
      </c>
      <c r="P244" s="32">
        <f t="shared" si="203"/>
        <v>0</v>
      </c>
      <c r="Q244" s="32">
        <f t="shared" ref="Q244:R265" si="212">(SUMIF($A$114:$A$155,$A244,Q$114:Q$155)*0.35+SUMIF($A$166:$A$205,$A244,Q$166:Q$205)*0.06*0.65)</f>
        <v>0</v>
      </c>
      <c r="R244" s="32">
        <f t="shared" si="212"/>
        <v>0</v>
      </c>
      <c r="S244" s="32">
        <f t="shared" si="205"/>
        <v>0</v>
      </c>
      <c r="T244" s="32">
        <f t="shared" ref="T244:U265" si="213">(SUMIF($A$114:$A$155,$A244,T$114:T$155)*0.35+SUMIF($A$166:$A$205,$A244,T$166:T$205)*0.06*0.65)</f>
        <v>0</v>
      </c>
      <c r="U244" s="32">
        <f t="shared" si="213"/>
        <v>0</v>
      </c>
      <c r="V244" s="32">
        <f t="shared" si="207"/>
        <v>0</v>
      </c>
      <c r="W244" s="32">
        <f t="shared" ref="W244:X265" si="214">(SUMIF($A$114:$A$155,$A244,W$114:W$155)*0.35+SUMIF($A$166:$A$205,$A244,W$166:W$205)*0.06*0.65)</f>
        <v>0</v>
      </c>
      <c r="X244" s="32">
        <f t="shared" si="214"/>
        <v>0</v>
      </c>
      <c r="Y244" s="32">
        <f t="shared" ref="Y244:AK253" si="215">(SUMIF($A$114:$A$155,$A244,Y$114:Y$155)*0.21+SUMIF($A$166:$A$205,$A244,Y$166:Y$205)*0.05*0.79)</f>
        <v>0</v>
      </c>
      <c r="Z244" s="32">
        <f t="shared" si="215"/>
        <v>0</v>
      </c>
      <c r="AA244" s="32">
        <f t="shared" si="215"/>
        <v>0</v>
      </c>
      <c r="AB244" s="32">
        <f t="shared" si="215"/>
        <v>0</v>
      </c>
      <c r="AC244" s="32">
        <f t="shared" si="215"/>
        <v>0</v>
      </c>
      <c r="AD244" s="32">
        <f t="shared" si="215"/>
        <v>0</v>
      </c>
      <c r="AE244" s="32">
        <f t="shared" si="215"/>
        <v>0</v>
      </c>
      <c r="AF244" s="32">
        <f t="shared" si="215"/>
        <v>0</v>
      </c>
      <c r="AG244" s="32">
        <f t="shared" si="215"/>
        <v>0</v>
      </c>
      <c r="AH244" s="32">
        <f t="shared" si="215"/>
        <v>0</v>
      </c>
      <c r="AI244" s="32">
        <f t="shared" si="215"/>
        <v>0</v>
      </c>
      <c r="AJ244" s="32">
        <f t="shared" si="215"/>
        <v>0</v>
      </c>
      <c r="AK244" s="32">
        <f t="shared" si="215"/>
        <v>0</v>
      </c>
    </row>
    <row r="245" spans="1:37" x14ac:dyDescent="0.15">
      <c r="A245" s="24" t="s">
        <v>124</v>
      </c>
      <c r="B245" s="24" t="s">
        <v>330</v>
      </c>
      <c r="E245" s="24">
        <f t="shared" si="197"/>
        <v>0</v>
      </c>
      <c r="H245" s="32">
        <f t="shared" si="210"/>
        <v>0</v>
      </c>
      <c r="I245" s="32">
        <f t="shared" si="210"/>
        <v>0</v>
      </c>
      <c r="J245" s="32">
        <f t="shared" si="199"/>
        <v>87881.871524999995</v>
      </c>
      <c r="K245" s="32">
        <f t="shared" si="200"/>
        <v>0</v>
      </c>
      <c r="L245" s="32">
        <f t="shared" si="200"/>
        <v>0</v>
      </c>
      <c r="M245" s="32">
        <f t="shared" si="201"/>
        <v>87881.871524999995</v>
      </c>
      <c r="N245" s="32">
        <f t="shared" si="202"/>
        <v>0</v>
      </c>
      <c r="O245" s="32">
        <f t="shared" si="202"/>
        <v>0</v>
      </c>
      <c r="P245" s="32">
        <f t="shared" si="203"/>
        <v>29294.6146075</v>
      </c>
      <c r="Q245" s="32">
        <f t="shared" si="212"/>
        <v>0</v>
      </c>
      <c r="R245" s="32">
        <f t="shared" si="212"/>
        <v>0</v>
      </c>
      <c r="S245" s="32">
        <f t="shared" si="205"/>
        <v>29294.6146075</v>
      </c>
      <c r="T245" s="32">
        <f t="shared" si="213"/>
        <v>0</v>
      </c>
      <c r="U245" s="32">
        <f t="shared" si="213"/>
        <v>0</v>
      </c>
      <c r="V245" s="32">
        <f t="shared" si="207"/>
        <v>29294.6146075</v>
      </c>
      <c r="W245" s="32">
        <f t="shared" si="214"/>
        <v>0</v>
      </c>
      <c r="X245" s="32">
        <f t="shared" si="214"/>
        <v>0</v>
      </c>
      <c r="Y245" s="32">
        <f t="shared" si="215"/>
        <v>29294.6146075</v>
      </c>
      <c r="Z245" s="32">
        <f t="shared" si="215"/>
        <v>0</v>
      </c>
      <c r="AA245" s="32">
        <f t="shared" si="215"/>
        <v>0</v>
      </c>
      <c r="AB245" s="32">
        <f t="shared" si="215"/>
        <v>0</v>
      </c>
      <c r="AC245" s="32">
        <f t="shared" si="215"/>
        <v>0</v>
      </c>
      <c r="AD245" s="32">
        <f t="shared" si="215"/>
        <v>0</v>
      </c>
      <c r="AE245" s="32">
        <f t="shared" si="215"/>
        <v>0</v>
      </c>
      <c r="AF245" s="32">
        <f t="shared" si="215"/>
        <v>0</v>
      </c>
      <c r="AG245" s="32">
        <f t="shared" si="215"/>
        <v>0</v>
      </c>
      <c r="AH245" s="32">
        <f t="shared" si="215"/>
        <v>0</v>
      </c>
      <c r="AI245" s="32">
        <f t="shared" si="215"/>
        <v>0</v>
      </c>
      <c r="AJ245" s="32">
        <f t="shared" si="215"/>
        <v>0</v>
      </c>
      <c r="AK245" s="32">
        <f t="shared" si="215"/>
        <v>0</v>
      </c>
    </row>
    <row r="246" spans="1:37" x14ac:dyDescent="0.15">
      <c r="A246" s="24" t="s">
        <v>122</v>
      </c>
      <c r="B246" s="24" t="s">
        <v>61</v>
      </c>
      <c r="E246" s="24"/>
      <c r="H246" s="32">
        <f t="shared" si="210"/>
        <v>0</v>
      </c>
      <c r="I246" s="32">
        <f t="shared" si="210"/>
        <v>0</v>
      </c>
      <c r="J246" s="32">
        <f t="shared" si="199"/>
        <v>149165.81559048383</v>
      </c>
      <c r="K246" s="32">
        <f t="shared" si="200"/>
        <v>0</v>
      </c>
      <c r="L246" s="32">
        <f t="shared" si="200"/>
        <v>0</v>
      </c>
      <c r="M246" s="32">
        <f t="shared" si="201"/>
        <v>149165.81559048383</v>
      </c>
      <c r="N246" s="32">
        <f t="shared" si="202"/>
        <v>0</v>
      </c>
      <c r="O246" s="32">
        <f t="shared" si="202"/>
        <v>0</v>
      </c>
      <c r="P246" s="32">
        <f t="shared" si="203"/>
        <v>149165.81828669368</v>
      </c>
      <c r="Q246" s="32">
        <f t="shared" si="212"/>
        <v>0</v>
      </c>
      <c r="R246" s="32">
        <f t="shared" si="212"/>
        <v>0</v>
      </c>
      <c r="S246" s="32">
        <f t="shared" si="205"/>
        <v>149165.81828669368</v>
      </c>
      <c r="T246" s="32">
        <f t="shared" si="213"/>
        <v>0</v>
      </c>
      <c r="U246" s="32">
        <f t="shared" si="213"/>
        <v>0</v>
      </c>
      <c r="V246" s="32">
        <f t="shared" si="207"/>
        <v>149165.81828669368</v>
      </c>
      <c r="W246" s="32">
        <f t="shared" si="214"/>
        <v>0</v>
      </c>
      <c r="X246" s="32">
        <f t="shared" si="214"/>
        <v>0</v>
      </c>
      <c r="Y246" s="32">
        <f t="shared" si="215"/>
        <v>149165.81828669368</v>
      </c>
      <c r="Z246" s="32">
        <f t="shared" si="215"/>
        <v>0</v>
      </c>
      <c r="AA246" s="32">
        <f t="shared" si="215"/>
        <v>0</v>
      </c>
      <c r="AB246" s="32">
        <f t="shared" si="215"/>
        <v>149574.49176145185</v>
      </c>
      <c r="AC246" s="32">
        <f t="shared" si="215"/>
        <v>0</v>
      </c>
      <c r="AD246" s="32">
        <f t="shared" si="215"/>
        <v>0</v>
      </c>
      <c r="AE246" s="32">
        <f t="shared" si="215"/>
        <v>149574.49176145185</v>
      </c>
      <c r="AF246" s="32">
        <f t="shared" si="215"/>
        <v>0</v>
      </c>
      <c r="AG246" s="32">
        <f t="shared" si="215"/>
        <v>0</v>
      </c>
      <c r="AH246" s="32">
        <f t="shared" si="215"/>
        <v>149574.49176145185</v>
      </c>
      <c r="AI246" s="32">
        <f t="shared" si="215"/>
        <v>0</v>
      </c>
      <c r="AJ246" s="32">
        <f t="shared" si="215"/>
        <v>0</v>
      </c>
      <c r="AK246" s="32">
        <f t="shared" si="215"/>
        <v>149574.49176145185</v>
      </c>
    </row>
    <row r="247" spans="1:37" x14ac:dyDescent="0.15">
      <c r="A247" s="24" t="s">
        <v>123</v>
      </c>
      <c r="B247" s="24" t="s">
        <v>60</v>
      </c>
      <c r="E247" s="24"/>
      <c r="H247" s="32">
        <f t="shared" si="210"/>
        <v>0</v>
      </c>
      <c r="I247" s="32">
        <f t="shared" si="210"/>
        <v>0</v>
      </c>
      <c r="J247" s="32">
        <f t="shared" si="199"/>
        <v>-89416.976412499833</v>
      </c>
      <c r="K247" s="32">
        <f t="shared" si="200"/>
        <v>0</v>
      </c>
      <c r="L247" s="32">
        <f t="shared" si="200"/>
        <v>0</v>
      </c>
      <c r="M247" s="32">
        <f t="shared" si="201"/>
        <v>-89416.976412499833</v>
      </c>
      <c r="N247" s="32">
        <f t="shared" si="202"/>
        <v>0</v>
      </c>
      <c r="O247" s="32">
        <f t="shared" si="202"/>
        <v>0</v>
      </c>
      <c r="P247" s="32">
        <f t="shared" si="203"/>
        <v>-89406.839851248806</v>
      </c>
      <c r="Q247" s="32">
        <f t="shared" si="212"/>
        <v>0</v>
      </c>
      <c r="R247" s="32">
        <f t="shared" si="212"/>
        <v>0</v>
      </c>
      <c r="S247" s="32">
        <f t="shared" si="205"/>
        <v>-89406.839851248806</v>
      </c>
      <c r="T247" s="32">
        <f t="shared" si="213"/>
        <v>0</v>
      </c>
      <c r="U247" s="32">
        <f t="shared" si="213"/>
        <v>0</v>
      </c>
      <c r="V247" s="32">
        <f t="shared" si="207"/>
        <v>-89406.839851248806</v>
      </c>
      <c r="W247" s="32">
        <f t="shared" si="214"/>
        <v>0</v>
      </c>
      <c r="X247" s="32">
        <f t="shared" si="214"/>
        <v>0</v>
      </c>
      <c r="Y247" s="32">
        <f t="shared" si="215"/>
        <v>-89406.839851248806</v>
      </c>
      <c r="Z247" s="32">
        <f t="shared" si="215"/>
        <v>0</v>
      </c>
      <c r="AA247" s="32">
        <f t="shared" si="215"/>
        <v>0</v>
      </c>
      <c r="AB247" s="32">
        <f t="shared" si="215"/>
        <v>-89651.789594999165</v>
      </c>
      <c r="AC247" s="32">
        <f t="shared" si="215"/>
        <v>0</v>
      </c>
      <c r="AD247" s="32">
        <f t="shared" si="215"/>
        <v>0</v>
      </c>
      <c r="AE247" s="32">
        <f t="shared" si="215"/>
        <v>-89651.789594999165</v>
      </c>
      <c r="AF247" s="32">
        <f t="shared" si="215"/>
        <v>0</v>
      </c>
      <c r="AG247" s="32">
        <f t="shared" si="215"/>
        <v>0</v>
      </c>
      <c r="AH247" s="32">
        <f t="shared" si="215"/>
        <v>-89651.789594999165</v>
      </c>
      <c r="AI247" s="32">
        <f t="shared" si="215"/>
        <v>0</v>
      </c>
      <c r="AJ247" s="32">
        <f t="shared" si="215"/>
        <v>0</v>
      </c>
      <c r="AK247" s="32">
        <f t="shared" si="215"/>
        <v>-89651.789594999165</v>
      </c>
    </row>
    <row r="248" spans="1:37" x14ac:dyDescent="0.15">
      <c r="A248" s="24" t="s">
        <v>59</v>
      </c>
      <c r="B248" s="24" t="s">
        <v>327</v>
      </c>
      <c r="E248" s="24">
        <f t="shared" ref="E248:E274" si="216">COUNTIF($A$22:$A$96,A248)</f>
        <v>0</v>
      </c>
      <c r="H248" s="32">
        <f t="shared" si="210"/>
        <v>0</v>
      </c>
      <c r="I248" s="32">
        <f t="shared" si="210"/>
        <v>0</v>
      </c>
      <c r="J248" s="32">
        <f t="shared" si="199"/>
        <v>613844.04025349871</v>
      </c>
      <c r="K248" s="32">
        <f t="shared" si="200"/>
        <v>0</v>
      </c>
      <c r="L248" s="32">
        <f t="shared" si="200"/>
        <v>0</v>
      </c>
      <c r="M248" s="32">
        <f t="shared" si="201"/>
        <v>613844.04025349871</v>
      </c>
      <c r="N248" s="32">
        <f t="shared" si="202"/>
        <v>0</v>
      </c>
      <c r="O248" s="32">
        <f t="shared" si="202"/>
        <v>0</v>
      </c>
      <c r="P248" s="32">
        <f t="shared" si="203"/>
        <v>658013.79920002026</v>
      </c>
      <c r="Q248" s="32">
        <f t="shared" si="212"/>
        <v>0</v>
      </c>
      <c r="R248" s="32">
        <f t="shared" si="212"/>
        <v>0</v>
      </c>
      <c r="S248" s="32">
        <f t="shared" si="205"/>
        <v>658013.79920002026</v>
      </c>
      <c r="T248" s="32">
        <f t="shared" si="213"/>
        <v>0</v>
      </c>
      <c r="U248" s="32">
        <f t="shared" si="213"/>
        <v>0</v>
      </c>
      <c r="V248" s="32">
        <f t="shared" si="207"/>
        <v>658013.79920002026</v>
      </c>
      <c r="W248" s="32">
        <f t="shared" si="214"/>
        <v>0</v>
      </c>
      <c r="X248" s="32">
        <f t="shared" si="214"/>
        <v>0</v>
      </c>
      <c r="Y248" s="32">
        <f t="shared" si="215"/>
        <v>658013.79920002026</v>
      </c>
      <c r="Z248" s="32">
        <f t="shared" si="215"/>
        <v>0</v>
      </c>
      <c r="AA248" s="32">
        <f t="shared" si="215"/>
        <v>0</v>
      </c>
      <c r="AB248" s="32">
        <f t="shared" si="215"/>
        <v>396952.67297400511</v>
      </c>
      <c r="AC248" s="32">
        <f t="shared" si="215"/>
        <v>0</v>
      </c>
      <c r="AD248" s="32">
        <f t="shared" si="215"/>
        <v>0</v>
      </c>
      <c r="AE248" s="32">
        <f t="shared" si="215"/>
        <v>396952.67297400511</v>
      </c>
      <c r="AF248" s="32">
        <f t="shared" si="215"/>
        <v>0</v>
      </c>
      <c r="AG248" s="32">
        <f t="shared" si="215"/>
        <v>0</v>
      </c>
      <c r="AH248" s="32">
        <f t="shared" si="215"/>
        <v>396952.67297400511</v>
      </c>
      <c r="AI248" s="32">
        <f t="shared" si="215"/>
        <v>0</v>
      </c>
      <c r="AJ248" s="32">
        <f t="shared" si="215"/>
        <v>0</v>
      </c>
      <c r="AK248" s="32">
        <f t="shared" si="215"/>
        <v>396952.67297400511</v>
      </c>
    </row>
    <row r="249" spans="1:37" x14ac:dyDescent="0.15">
      <c r="A249" s="24" t="s">
        <v>373</v>
      </c>
      <c r="B249" s="24" t="s">
        <v>373</v>
      </c>
      <c r="E249" s="24">
        <f t="shared" si="216"/>
        <v>1</v>
      </c>
      <c r="H249" s="32"/>
      <c r="J249" s="32">
        <f t="shared" si="199"/>
        <v>-43810.391125000002</v>
      </c>
      <c r="M249" s="32">
        <f t="shared" si="201"/>
        <v>-43810.391125000002</v>
      </c>
      <c r="O249" s="32">
        <f t="shared" ref="O249:O265" si="217">(SUMIF($A$114:$A$155,$A249,O$114:O$155)*0.35+SUMIF($A$166:$A$205,$A249,O$166:O$205)*0.06*0.65)</f>
        <v>0</v>
      </c>
      <c r="P249" s="32">
        <f t="shared" si="203"/>
        <v>-1316214.0464999999</v>
      </c>
      <c r="Q249" s="32">
        <f t="shared" si="212"/>
        <v>0</v>
      </c>
      <c r="R249" s="32">
        <f t="shared" si="212"/>
        <v>0</v>
      </c>
      <c r="S249" s="32">
        <f t="shared" si="205"/>
        <v>-1316214.0464999999</v>
      </c>
      <c r="T249" s="32">
        <f t="shared" si="213"/>
        <v>0</v>
      </c>
      <c r="U249" s="32">
        <f t="shared" si="213"/>
        <v>0</v>
      </c>
      <c r="V249" s="32">
        <f t="shared" si="207"/>
        <v>-1316214.0464999999</v>
      </c>
      <c r="W249" s="32">
        <f t="shared" si="214"/>
        <v>0</v>
      </c>
      <c r="X249" s="32">
        <f t="shared" si="214"/>
        <v>0</v>
      </c>
      <c r="Y249" s="32">
        <f t="shared" si="215"/>
        <v>-1316214.0464999999</v>
      </c>
      <c r="Z249" s="32">
        <f t="shared" si="215"/>
        <v>0</v>
      </c>
      <c r="AA249" s="32">
        <f t="shared" si="215"/>
        <v>0</v>
      </c>
      <c r="AB249" s="32">
        <f t="shared" si="215"/>
        <v>-37206.375625000001</v>
      </c>
      <c r="AC249" s="32">
        <f t="shared" si="215"/>
        <v>0</v>
      </c>
      <c r="AD249" s="32">
        <f t="shared" si="215"/>
        <v>0</v>
      </c>
      <c r="AE249" s="32">
        <f t="shared" si="215"/>
        <v>-37206.375625000001</v>
      </c>
      <c r="AF249" s="32">
        <f t="shared" si="215"/>
        <v>0</v>
      </c>
      <c r="AG249" s="32">
        <f t="shared" si="215"/>
        <v>0</v>
      </c>
      <c r="AH249" s="32">
        <f t="shared" si="215"/>
        <v>-37206.375625000001</v>
      </c>
      <c r="AI249" s="32">
        <f t="shared" si="215"/>
        <v>0</v>
      </c>
      <c r="AJ249" s="32">
        <f t="shared" si="215"/>
        <v>0</v>
      </c>
      <c r="AK249" s="32">
        <f t="shared" si="215"/>
        <v>-37206.375625000001</v>
      </c>
    </row>
    <row r="250" spans="1:37" x14ac:dyDescent="0.15">
      <c r="A250" s="24" t="s">
        <v>62</v>
      </c>
      <c r="B250" s="24" t="s">
        <v>62</v>
      </c>
      <c r="E250" s="24">
        <f t="shared" si="216"/>
        <v>1</v>
      </c>
      <c r="H250" s="32">
        <f t="shared" ref="H250:I263" si="218">(SUMIF($A$114:$A$155,$A250,H$114:H$155)*0.35+SUMIF($A$166:$A$205,$A250,H$166:H$205)*0.06*0.65)</f>
        <v>0</v>
      </c>
      <c r="I250" s="32">
        <f t="shared" si="218"/>
        <v>0</v>
      </c>
      <c r="J250" s="32">
        <f t="shared" si="199"/>
        <v>0</v>
      </c>
      <c r="K250" s="32">
        <f t="shared" ref="K250:L263" si="219">(SUMIF($A$114:$A$155,$A250,K$114:K$155)*0.35+SUMIF($A$166:$A$205,$A250,K$166:K$205)*0.06*0.65)</f>
        <v>0</v>
      </c>
      <c r="L250" s="32">
        <f t="shared" si="219"/>
        <v>0</v>
      </c>
      <c r="M250" s="32">
        <f t="shared" si="201"/>
        <v>0</v>
      </c>
      <c r="N250" s="32">
        <f t="shared" ref="N250:N265" si="220">(SUMIF($A$114:$A$155,$A250,N$114:N$155)*0.35+SUMIF($A$166:$A$205,$A250,N$166:N$205)*0.06*0.65)</f>
        <v>0</v>
      </c>
      <c r="O250" s="32">
        <f t="shared" si="217"/>
        <v>0</v>
      </c>
      <c r="P250" s="32">
        <f t="shared" si="203"/>
        <v>0</v>
      </c>
      <c r="Q250" s="32">
        <f t="shared" si="212"/>
        <v>0</v>
      </c>
      <c r="R250" s="32">
        <f t="shared" si="212"/>
        <v>0</v>
      </c>
      <c r="S250" s="32">
        <f t="shared" si="205"/>
        <v>0</v>
      </c>
      <c r="T250" s="32">
        <f t="shared" si="213"/>
        <v>0</v>
      </c>
      <c r="U250" s="32">
        <f t="shared" si="213"/>
        <v>0</v>
      </c>
      <c r="V250" s="32">
        <f t="shared" si="207"/>
        <v>0</v>
      </c>
      <c r="W250" s="32">
        <f t="shared" si="214"/>
        <v>0</v>
      </c>
      <c r="X250" s="32">
        <f t="shared" si="214"/>
        <v>0</v>
      </c>
      <c r="Y250" s="32">
        <f t="shared" si="215"/>
        <v>0</v>
      </c>
      <c r="Z250" s="32">
        <f t="shared" si="215"/>
        <v>0</v>
      </c>
      <c r="AA250" s="32">
        <f t="shared" si="215"/>
        <v>0</v>
      </c>
      <c r="AB250" s="32">
        <f t="shared" si="215"/>
        <v>0</v>
      </c>
      <c r="AC250" s="32">
        <f t="shared" si="215"/>
        <v>0</v>
      </c>
      <c r="AD250" s="32">
        <f t="shared" si="215"/>
        <v>0</v>
      </c>
      <c r="AE250" s="32">
        <f t="shared" si="215"/>
        <v>0</v>
      </c>
      <c r="AF250" s="32">
        <f t="shared" si="215"/>
        <v>0</v>
      </c>
      <c r="AG250" s="32">
        <f t="shared" si="215"/>
        <v>0</v>
      </c>
      <c r="AH250" s="32">
        <f t="shared" si="215"/>
        <v>0</v>
      </c>
      <c r="AI250" s="32">
        <f t="shared" si="215"/>
        <v>0</v>
      </c>
      <c r="AJ250" s="32">
        <f t="shared" si="215"/>
        <v>0</v>
      </c>
      <c r="AK250" s="32">
        <f t="shared" si="215"/>
        <v>0</v>
      </c>
    </row>
    <row r="251" spans="1:37" x14ac:dyDescent="0.15">
      <c r="A251" s="24" t="s">
        <v>126</v>
      </c>
      <c r="B251" s="24" t="s">
        <v>331</v>
      </c>
      <c r="E251" s="24">
        <f t="shared" si="216"/>
        <v>0</v>
      </c>
      <c r="H251" s="32">
        <f t="shared" si="218"/>
        <v>0</v>
      </c>
      <c r="I251" s="32">
        <f t="shared" si="218"/>
        <v>0</v>
      </c>
      <c r="J251" s="32">
        <f t="shared" si="199"/>
        <v>407790.20640750002</v>
      </c>
      <c r="K251" s="32">
        <f t="shared" si="219"/>
        <v>0</v>
      </c>
      <c r="L251" s="32">
        <f t="shared" si="219"/>
        <v>0</v>
      </c>
      <c r="M251" s="32">
        <f t="shared" si="201"/>
        <v>407790.20640750002</v>
      </c>
      <c r="N251" s="32">
        <f t="shared" si="220"/>
        <v>0</v>
      </c>
      <c r="O251" s="32">
        <f t="shared" si="217"/>
        <v>0</v>
      </c>
      <c r="P251" s="32">
        <f t="shared" si="203"/>
        <v>0</v>
      </c>
      <c r="Q251" s="32">
        <f t="shared" si="212"/>
        <v>0</v>
      </c>
      <c r="R251" s="32">
        <f t="shared" si="212"/>
        <v>0</v>
      </c>
      <c r="S251" s="32">
        <f t="shared" si="205"/>
        <v>0</v>
      </c>
      <c r="T251" s="32">
        <f t="shared" si="213"/>
        <v>0</v>
      </c>
      <c r="U251" s="32">
        <f t="shared" si="213"/>
        <v>0</v>
      </c>
      <c r="V251" s="32">
        <f t="shared" si="207"/>
        <v>0</v>
      </c>
      <c r="W251" s="32">
        <f t="shared" si="214"/>
        <v>0</v>
      </c>
      <c r="X251" s="32">
        <f t="shared" si="214"/>
        <v>0</v>
      </c>
      <c r="Y251" s="32">
        <f t="shared" si="215"/>
        <v>0</v>
      </c>
      <c r="Z251" s="32">
        <f t="shared" si="215"/>
        <v>0</v>
      </c>
      <c r="AA251" s="32">
        <f t="shared" si="215"/>
        <v>0</v>
      </c>
      <c r="AB251" s="32">
        <f t="shared" si="215"/>
        <v>0</v>
      </c>
      <c r="AC251" s="32">
        <f t="shared" si="215"/>
        <v>0</v>
      </c>
      <c r="AD251" s="32">
        <f t="shared" si="215"/>
        <v>0</v>
      </c>
      <c r="AE251" s="32">
        <f t="shared" si="215"/>
        <v>0</v>
      </c>
      <c r="AF251" s="32">
        <f t="shared" si="215"/>
        <v>0</v>
      </c>
      <c r="AG251" s="32">
        <f t="shared" si="215"/>
        <v>0</v>
      </c>
      <c r="AH251" s="32">
        <f t="shared" si="215"/>
        <v>0</v>
      </c>
      <c r="AI251" s="32">
        <f t="shared" si="215"/>
        <v>0</v>
      </c>
      <c r="AJ251" s="32">
        <f t="shared" si="215"/>
        <v>0</v>
      </c>
      <c r="AK251" s="32">
        <f t="shared" si="215"/>
        <v>0</v>
      </c>
    </row>
    <row r="252" spans="1:37" x14ac:dyDescent="0.15">
      <c r="A252" s="24" t="s">
        <v>125</v>
      </c>
      <c r="B252" s="24" t="s">
        <v>98</v>
      </c>
      <c r="E252" s="24">
        <f t="shared" si="216"/>
        <v>0</v>
      </c>
      <c r="H252" s="32">
        <f t="shared" si="218"/>
        <v>0</v>
      </c>
      <c r="I252" s="32">
        <f t="shared" si="218"/>
        <v>0</v>
      </c>
      <c r="J252" s="32">
        <f t="shared" si="199"/>
        <v>0</v>
      </c>
      <c r="K252" s="32">
        <f t="shared" si="219"/>
        <v>0</v>
      </c>
      <c r="L252" s="32">
        <f t="shared" si="219"/>
        <v>0</v>
      </c>
      <c r="M252" s="32">
        <f t="shared" si="201"/>
        <v>0</v>
      </c>
      <c r="N252" s="32">
        <f t="shared" si="220"/>
        <v>0</v>
      </c>
      <c r="O252" s="32">
        <f t="shared" si="217"/>
        <v>0</v>
      </c>
      <c r="P252" s="32">
        <f t="shared" si="203"/>
        <v>0</v>
      </c>
      <c r="Q252" s="32">
        <f t="shared" si="212"/>
        <v>0</v>
      </c>
      <c r="R252" s="32">
        <f t="shared" si="212"/>
        <v>0</v>
      </c>
      <c r="S252" s="32">
        <f t="shared" si="205"/>
        <v>0</v>
      </c>
      <c r="T252" s="32">
        <f t="shared" si="213"/>
        <v>0</v>
      </c>
      <c r="U252" s="32">
        <f t="shared" si="213"/>
        <v>0</v>
      </c>
      <c r="V252" s="32">
        <f t="shared" si="207"/>
        <v>0</v>
      </c>
      <c r="W252" s="32">
        <f t="shared" si="214"/>
        <v>0</v>
      </c>
      <c r="X252" s="32">
        <f t="shared" si="214"/>
        <v>0</v>
      </c>
      <c r="Y252" s="32">
        <f t="shared" si="215"/>
        <v>0</v>
      </c>
      <c r="Z252" s="32">
        <f t="shared" si="215"/>
        <v>0</v>
      </c>
      <c r="AA252" s="32">
        <f t="shared" si="215"/>
        <v>0</v>
      </c>
      <c r="AB252" s="32">
        <f t="shared" si="215"/>
        <v>0</v>
      </c>
      <c r="AC252" s="32">
        <f t="shared" si="215"/>
        <v>0</v>
      </c>
      <c r="AD252" s="32">
        <f t="shared" si="215"/>
        <v>0</v>
      </c>
      <c r="AE252" s="32">
        <f t="shared" si="215"/>
        <v>0</v>
      </c>
      <c r="AF252" s="32">
        <f t="shared" si="215"/>
        <v>0</v>
      </c>
      <c r="AG252" s="32">
        <f t="shared" si="215"/>
        <v>0</v>
      </c>
      <c r="AH252" s="32">
        <f t="shared" si="215"/>
        <v>0</v>
      </c>
      <c r="AI252" s="32">
        <f t="shared" si="215"/>
        <v>0</v>
      </c>
      <c r="AJ252" s="32">
        <f t="shared" si="215"/>
        <v>0</v>
      </c>
      <c r="AK252" s="32">
        <f t="shared" si="215"/>
        <v>0</v>
      </c>
    </row>
    <row r="253" spans="1:37" x14ac:dyDescent="0.15">
      <c r="A253" s="24" t="s">
        <v>128</v>
      </c>
      <c r="B253" s="24" t="s">
        <v>99</v>
      </c>
      <c r="E253" s="24">
        <f t="shared" si="216"/>
        <v>0</v>
      </c>
      <c r="H253" s="32">
        <f t="shared" si="218"/>
        <v>0</v>
      </c>
      <c r="I253" s="32">
        <f t="shared" si="218"/>
        <v>0</v>
      </c>
      <c r="J253" s="32">
        <f t="shared" si="199"/>
        <v>-1739.7564692788856</v>
      </c>
      <c r="K253" s="32">
        <f t="shared" si="219"/>
        <v>0</v>
      </c>
      <c r="L253" s="32">
        <f t="shared" si="219"/>
        <v>0</v>
      </c>
      <c r="M253" s="32">
        <f t="shared" si="201"/>
        <v>-1739.7564692788856</v>
      </c>
      <c r="N253" s="32">
        <f t="shared" si="220"/>
        <v>0</v>
      </c>
      <c r="O253" s="32">
        <f t="shared" si="217"/>
        <v>0</v>
      </c>
      <c r="P253" s="32">
        <f t="shared" si="203"/>
        <v>781.30380815421506</v>
      </c>
      <c r="Q253" s="32">
        <f t="shared" si="212"/>
        <v>0</v>
      </c>
      <c r="R253" s="32">
        <f t="shared" si="212"/>
        <v>0</v>
      </c>
      <c r="S253" s="32">
        <f t="shared" si="205"/>
        <v>781.30380815421506</v>
      </c>
      <c r="T253" s="32">
        <f t="shared" si="213"/>
        <v>0</v>
      </c>
      <c r="U253" s="32">
        <f t="shared" si="213"/>
        <v>0</v>
      </c>
      <c r="V253" s="32">
        <f t="shared" si="207"/>
        <v>781.30380815421506</v>
      </c>
      <c r="W253" s="32">
        <f t="shared" si="214"/>
        <v>0</v>
      </c>
      <c r="X253" s="32">
        <f t="shared" si="214"/>
        <v>0</v>
      </c>
      <c r="Y253" s="32">
        <f t="shared" si="215"/>
        <v>781.30380815421506</v>
      </c>
      <c r="Z253" s="32">
        <f t="shared" si="215"/>
        <v>0</v>
      </c>
      <c r="AA253" s="32">
        <f t="shared" si="215"/>
        <v>0</v>
      </c>
      <c r="AB253" s="32">
        <f t="shared" si="215"/>
        <v>392.9229935373653</v>
      </c>
      <c r="AC253" s="32">
        <f t="shared" si="215"/>
        <v>0</v>
      </c>
      <c r="AD253" s="32">
        <f t="shared" si="215"/>
        <v>0</v>
      </c>
      <c r="AE253" s="32">
        <f t="shared" si="215"/>
        <v>392.9229935373653</v>
      </c>
      <c r="AF253" s="32">
        <f t="shared" si="215"/>
        <v>0</v>
      </c>
      <c r="AG253" s="32">
        <f t="shared" si="215"/>
        <v>0</v>
      </c>
      <c r="AH253" s="32">
        <f t="shared" si="215"/>
        <v>392.9229935373653</v>
      </c>
      <c r="AI253" s="32">
        <f t="shared" si="215"/>
        <v>0</v>
      </c>
      <c r="AJ253" s="32">
        <f t="shared" si="215"/>
        <v>0</v>
      </c>
      <c r="AK253" s="32">
        <f t="shared" si="215"/>
        <v>392.9229935373653</v>
      </c>
    </row>
    <row r="254" spans="1:37" x14ac:dyDescent="0.15">
      <c r="A254" s="24" t="s">
        <v>412</v>
      </c>
      <c r="B254" s="24" t="s">
        <v>412</v>
      </c>
      <c r="E254" s="24">
        <f t="shared" si="216"/>
        <v>1</v>
      </c>
      <c r="H254" s="32">
        <f t="shared" si="218"/>
        <v>0</v>
      </c>
      <c r="I254" s="32">
        <f t="shared" si="218"/>
        <v>0</v>
      </c>
      <c r="J254" s="32">
        <f t="shared" si="199"/>
        <v>-205813.23694100662</v>
      </c>
      <c r="K254" s="32">
        <f t="shared" si="219"/>
        <v>0</v>
      </c>
      <c r="L254" s="32">
        <f t="shared" si="219"/>
        <v>0</v>
      </c>
      <c r="M254" s="32">
        <f t="shared" si="201"/>
        <v>-205813.23694100662</v>
      </c>
      <c r="N254" s="32">
        <f t="shared" si="220"/>
        <v>0</v>
      </c>
      <c r="O254" s="32">
        <f t="shared" si="217"/>
        <v>0</v>
      </c>
      <c r="P254" s="32">
        <f t="shared" si="203"/>
        <v>-467109.69334507873</v>
      </c>
      <c r="Q254" s="32">
        <f t="shared" si="212"/>
        <v>0</v>
      </c>
      <c r="R254" s="32">
        <f t="shared" si="212"/>
        <v>0</v>
      </c>
      <c r="S254" s="32">
        <f t="shared" si="205"/>
        <v>-467109.69334507873</v>
      </c>
      <c r="T254" s="32">
        <f t="shared" si="213"/>
        <v>0</v>
      </c>
      <c r="U254" s="32">
        <f t="shared" si="213"/>
        <v>0</v>
      </c>
      <c r="V254" s="32">
        <f t="shared" si="207"/>
        <v>-467109.69334507873</v>
      </c>
      <c r="W254" s="32">
        <f t="shared" si="214"/>
        <v>0</v>
      </c>
      <c r="X254" s="32">
        <f t="shared" si="214"/>
        <v>0</v>
      </c>
      <c r="Y254" s="32">
        <f t="shared" ref="Y254:AK265" si="221">(SUMIF($A$114:$A$155,$A254,Y$114:Y$155)*0.21+SUMIF($A$166:$A$205,$A254,Y$166:Y$205)*0.05*0.79)</f>
        <v>-467109.69334507873</v>
      </c>
      <c r="Z254" s="32">
        <f t="shared" si="221"/>
        <v>0</v>
      </c>
      <c r="AA254" s="32">
        <f t="shared" si="221"/>
        <v>0</v>
      </c>
      <c r="AB254" s="32">
        <f t="shared" si="221"/>
        <v>-649590.8068873093</v>
      </c>
      <c r="AC254" s="32">
        <f t="shared" si="221"/>
        <v>0</v>
      </c>
      <c r="AD254" s="32">
        <f t="shared" si="221"/>
        <v>0</v>
      </c>
      <c r="AE254" s="32">
        <f t="shared" si="221"/>
        <v>-649590.8068873093</v>
      </c>
      <c r="AF254" s="32">
        <f t="shared" si="221"/>
        <v>0</v>
      </c>
      <c r="AG254" s="32">
        <f t="shared" si="221"/>
        <v>0</v>
      </c>
      <c r="AH254" s="32">
        <f t="shared" si="221"/>
        <v>-649590.8068873093</v>
      </c>
      <c r="AI254" s="32">
        <f t="shared" si="221"/>
        <v>0</v>
      </c>
      <c r="AJ254" s="32">
        <f t="shared" si="221"/>
        <v>0</v>
      </c>
      <c r="AK254" s="32">
        <f t="shared" si="221"/>
        <v>-649590.8068873093</v>
      </c>
    </row>
    <row r="255" spans="1:37" x14ac:dyDescent="0.15">
      <c r="A255" s="24" t="s">
        <v>127</v>
      </c>
      <c r="B255" s="24" t="s">
        <v>413</v>
      </c>
      <c r="E255" s="24">
        <f t="shared" si="216"/>
        <v>0</v>
      </c>
      <c r="H255" s="32">
        <f t="shared" si="218"/>
        <v>0</v>
      </c>
      <c r="I255" s="32">
        <f t="shared" si="218"/>
        <v>0</v>
      </c>
      <c r="J255" s="32">
        <f t="shared" si="199"/>
        <v>19636.856332499985</v>
      </c>
      <c r="K255" s="32">
        <f t="shared" si="219"/>
        <v>0</v>
      </c>
      <c r="L255" s="32">
        <f t="shared" si="219"/>
        <v>0</v>
      </c>
      <c r="M255" s="32">
        <f t="shared" si="201"/>
        <v>19636.856332499985</v>
      </c>
      <c r="N255" s="32">
        <f t="shared" si="220"/>
        <v>0</v>
      </c>
      <c r="O255" s="32">
        <f t="shared" si="217"/>
        <v>0</v>
      </c>
      <c r="P255" s="32">
        <f t="shared" si="203"/>
        <v>19620.101160000038</v>
      </c>
      <c r="Q255" s="32">
        <f t="shared" si="212"/>
        <v>0</v>
      </c>
      <c r="R255" s="32">
        <f t="shared" si="212"/>
        <v>0</v>
      </c>
      <c r="S255" s="32">
        <f t="shared" si="205"/>
        <v>19620.101160000038</v>
      </c>
      <c r="T255" s="32">
        <f t="shared" si="213"/>
        <v>0</v>
      </c>
      <c r="U255" s="32">
        <f t="shared" si="213"/>
        <v>0</v>
      </c>
      <c r="V255" s="32">
        <f t="shared" si="207"/>
        <v>19620.101160000038</v>
      </c>
      <c r="W255" s="32">
        <f t="shared" si="214"/>
        <v>0</v>
      </c>
      <c r="X255" s="32">
        <f t="shared" si="214"/>
        <v>0</v>
      </c>
      <c r="Y255" s="32">
        <f t="shared" si="221"/>
        <v>19620.101160000038</v>
      </c>
      <c r="Z255" s="32">
        <f t="shared" si="221"/>
        <v>0</v>
      </c>
      <c r="AA255" s="32">
        <f t="shared" si="221"/>
        <v>0</v>
      </c>
      <c r="AB255" s="32">
        <f t="shared" si="221"/>
        <v>19620.101160000017</v>
      </c>
      <c r="AC255" s="32">
        <f t="shared" si="221"/>
        <v>0</v>
      </c>
      <c r="AD255" s="32">
        <f t="shared" si="221"/>
        <v>0</v>
      </c>
      <c r="AE255" s="32">
        <f t="shared" si="221"/>
        <v>19620.101160000017</v>
      </c>
      <c r="AF255" s="32">
        <f t="shared" si="221"/>
        <v>0</v>
      </c>
      <c r="AG255" s="32">
        <f t="shared" si="221"/>
        <v>0</v>
      </c>
      <c r="AH255" s="32">
        <f t="shared" si="221"/>
        <v>19620.101160000017</v>
      </c>
      <c r="AI255" s="32">
        <f t="shared" si="221"/>
        <v>0</v>
      </c>
      <c r="AJ255" s="32">
        <f t="shared" si="221"/>
        <v>0</v>
      </c>
      <c r="AK255" s="32">
        <f t="shared" si="221"/>
        <v>19620.101160000017</v>
      </c>
    </row>
    <row r="256" spans="1:37" x14ac:dyDescent="0.15">
      <c r="A256" s="24" t="s">
        <v>130</v>
      </c>
      <c r="B256" s="24" t="s">
        <v>336</v>
      </c>
      <c r="E256" s="24">
        <f t="shared" si="216"/>
        <v>0</v>
      </c>
      <c r="H256" s="32">
        <f t="shared" si="218"/>
        <v>0</v>
      </c>
      <c r="I256" s="32">
        <f t="shared" si="218"/>
        <v>0</v>
      </c>
      <c r="J256" s="32">
        <f t="shared" si="199"/>
        <v>-41561.141140000123</v>
      </c>
      <c r="K256" s="32">
        <f t="shared" si="219"/>
        <v>0</v>
      </c>
      <c r="L256" s="32">
        <f t="shared" si="219"/>
        <v>0</v>
      </c>
      <c r="M256" s="32">
        <f t="shared" si="201"/>
        <v>-41561.141140000123</v>
      </c>
      <c r="N256" s="32">
        <f t="shared" si="220"/>
        <v>0</v>
      </c>
      <c r="O256" s="32">
        <f t="shared" si="217"/>
        <v>0</v>
      </c>
      <c r="P256" s="32">
        <f t="shared" si="203"/>
        <v>-48602.569713108642</v>
      </c>
      <c r="Q256" s="32">
        <f t="shared" si="212"/>
        <v>0</v>
      </c>
      <c r="R256" s="32">
        <f t="shared" si="212"/>
        <v>0</v>
      </c>
      <c r="S256" s="32">
        <f t="shared" si="205"/>
        <v>-48602.569713108642</v>
      </c>
      <c r="T256" s="32">
        <f t="shared" si="213"/>
        <v>0</v>
      </c>
      <c r="U256" s="32">
        <f t="shared" si="213"/>
        <v>0</v>
      </c>
      <c r="V256" s="32">
        <f t="shared" si="207"/>
        <v>-48602.569713108642</v>
      </c>
      <c r="W256" s="32">
        <f t="shared" si="214"/>
        <v>0</v>
      </c>
      <c r="X256" s="32">
        <f t="shared" si="214"/>
        <v>0</v>
      </c>
      <c r="Y256" s="32">
        <f t="shared" si="221"/>
        <v>-48602.569713108642</v>
      </c>
      <c r="Z256" s="32">
        <f t="shared" si="221"/>
        <v>0</v>
      </c>
      <c r="AA256" s="32">
        <f t="shared" si="221"/>
        <v>0</v>
      </c>
      <c r="AB256" s="32">
        <f t="shared" si="221"/>
        <v>-49928.861327787963</v>
      </c>
      <c r="AC256" s="32">
        <f t="shared" si="221"/>
        <v>0</v>
      </c>
      <c r="AD256" s="32">
        <f t="shared" si="221"/>
        <v>0</v>
      </c>
      <c r="AE256" s="32">
        <f t="shared" si="221"/>
        <v>-49928.861327787963</v>
      </c>
      <c r="AF256" s="32">
        <f t="shared" si="221"/>
        <v>0</v>
      </c>
      <c r="AG256" s="32">
        <f t="shared" si="221"/>
        <v>0</v>
      </c>
      <c r="AH256" s="32">
        <f t="shared" si="221"/>
        <v>-49928.861327787963</v>
      </c>
      <c r="AI256" s="32">
        <f t="shared" si="221"/>
        <v>0</v>
      </c>
      <c r="AJ256" s="32">
        <f t="shared" si="221"/>
        <v>0</v>
      </c>
      <c r="AK256" s="32">
        <f t="shared" si="221"/>
        <v>-49928.861327787963</v>
      </c>
    </row>
    <row r="257" spans="1:37" x14ac:dyDescent="0.15">
      <c r="A257" s="24" t="s">
        <v>129</v>
      </c>
      <c r="B257" s="24" t="s">
        <v>337</v>
      </c>
      <c r="E257" s="24">
        <f t="shared" si="216"/>
        <v>0</v>
      </c>
      <c r="H257" s="32">
        <f t="shared" si="218"/>
        <v>0</v>
      </c>
      <c r="I257" s="32">
        <f t="shared" si="218"/>
        <v>0</v>
      </c>
      <c r="J257" s="32">
        <f t="shared" si="199"/>
        <v>3053.8999599999806</v>
      </c>
      <c r="K257" s="32">
        <f t="shared" si="219"/>
        <v>0</v>
      </c>
      <c r="L257" s="32">
        <f t="shared" si="219"/>
        <v>0</v>
      </c>
      <c r="M257" s="32">
        <f t="shared" si="201"/>
        <v>3053.8999599999806</v>
      </c>
      <c r="N257" s="32">
        <f t="shared" si="220"/>
        <v>0</v>
      </c>
      <c r="O257" s="32">
        <f t="shared" si="217"/>
        <v>0</v>
      </c>
      <c r="P257" s="32">
        <f t="shared" si="203"/>
        <v>-9751.8172800000084</v>
      </c>
      <c r="Q257" s="32">
        <f t="shared" si="212"/>
        <v>0</v>
      </c>
      <c r="R257" s="32">
        <f t="shared" si="212"/>
        <v>0</v>
      </c>
      <c r="S257" s="32">
        <f t="shared" si="205"/>
        <v>-9751.8172800000084</v>
      </c>
      <c r="T257" s="32">
        <f t="shared" si="213"/>
        <v>0</v>
      </c>
      <c r="U257" s="32">
        <f t="shared" si="213"/>
        <v>0</v>
      </c>
      <c r="V257" s="32">
        <f t="shared" si="207"/>
        <v>-9751.8172800000084</v>
      </c>
      <c r="W257" s="32">
        <f t="shared" si="214"/>
        <v>0</v>
      </c>
      <c r="X257" s="32">
        <f t="shared" si="214"/>
        <v>0</v>
      </c>
      <c r="Y257" s="32">
        <f t="shared" si="221"/>
        <v>-9751.8172800000084</v>
      </c>
      <c r="Z257" s="32">
        <f t="shared" si="221"/>
        <v>0</v>
      </c>
      <c r="AA257" s="32">
        <f t="shared" si="221"/>
        <v>0</v>
      </c>
      <c r="AB257" s="32">
        <f t="shared" si="221"/>
        <v>-9247.7848649999996</v>
      </c>
      <c r="AC257" s="32">
        <f t="shared" si="221"/>
        <v>0</v>
      </c>
      <c r="AD257" s="32">
        <f t="shared" si="221"/>
        <v>0</v>
      </c>
      <c r="AE257" s="32">
        <f t="shared" si="221"/>
        <v>-9247.7848649999996</v>
      </c>
      <c r="AF257" s="32">
        <f t="shared" si="221"/>
        <v>0</v>
      </c>
      <c r="AG257" s="32">
        <f t="shared" si="221"/>
        <v>0</v>
      </c>
      <c r="AH257" s="32">
        <f t="shared" si="221"/>
        <v>-9247.7848649999996</v>
      </c>
      <c r="AI257" s="32">
        <f t="shared" si="221"/>
        <v>0</v>
      </c>
      <c r="AJ257" s="32">
        <f t="shared" si="221"/>
        <v>0</v>
      </c>
      <c r="AK257" s="32">
        <f t="shared" si="221"/>
        <v>-9247.7848649999996</v>
      </c>
    </row>
    <row r="258" spans="1:37" x14ac:dyDescent="0.15">
      <c r="A258" s="24" t="s">
        <v>65</v>
      </c>
      <c r="B258" s="24" t="s">
        <v>65</v>
      </c>
      <c r="E258" s="24">
        <f t="shared" si="216"/>
        <v>1</v>
      </c>
      <c r="H258" s="32">
        <f t="shared" si="218"/>
        <v>0</v>
      </c>
      <c r="I258" s="32">
        <f t="shared" si="218"/>
        <v>0</v>
      </c>
      <c r="J258" s="32">
        <f t="shared" si="199"/>
        <v>-84663.279688158102</v>
      </c>
      <c r="K258" s="32">
        <f t="shared" si="219"/>
        <v>0</v>
      </c>
      <c r="L258" s="32">
        <f t="shared" si="219"/>
        <v>0</v>
      </c>
      <c r="M258" s="32">
        <f t="shared" si="201"/>
        <v>-84663.279688158102</v>
      </c>
      <c r="N258" s="32">
        <f t="shared" si="220"/>
        <v>0</v>
      </c>
      <c r="O258" s="32">
        <f t="shared" si="217"/>
        <v>0</v>
      </c>
      <c r="P258" s="32">
        <f t="shared" si="203"/>
        <v>53497.113347488012</v>
      </c>
      <c r="Q258" s="32">
        <f t="shared" si="212"/>
        <v>0</v>
      </c>
      <c r="R258" s="32">
        <f t="shared" si="212"/>
        <v>0</v>
      </c>
      <c r="S258" s="32">
        <f t="shared" si="205"/>
        <v>53497.113347488012</v>
      </c>
      <c r="T258" s="32">
        <f t="shared" si="213"/>
        <v>0</v>
      </c>
      <c r="U258" s="32">
        <f t="shared" si="213"/>
        <v>0</v>
      </c>
      <c r="V258" s="32">
        <f t="shared" si="207"/>
        <v>53497.113347488012</v>
      </c>
      <c r="W258" s="32">
        <f t="shared" si="214"/>
        <v>0</v>
      </c>
      <c r="X258" s="32">
        <f t="shared" si="214"/>
        <v>0</v>
      </c>
      <c r="Y258" s="32">
        <f t="shared" si="221"/>
        <v>53497.113347488012</v>
      </c>
      <c r="Z258" s="32">
        <f t="shared" si="221"/>
        <v>0</v>
      </c>
      <c r="AA258" s="32">
        <f t="shared" si="221"/>
        <v>0</v>
      </c>
      <c r="AB258" s="32">
        <f t="shared" si="221"/>
        <v>96520.700244929962</v>
      </c>
      <c r="AC258" s="32">
        <f t="shared" si="221"/>
        <v>0</v>
      </c>
      <c r="AD258" s="32">
        <f t="shared" si="221"/>
        <v>0</v>
      </c>
      <c r="AE258" s="32">
        <f t="shared" si="221"/>
        <v>96520.700244929962</v>
      </c>
      <c r="AF258" s="32">
        <f t="shared" si="221"/>
        <v>0</v>
      </c>
      <c r="AG258" s="32">
        <f t="shared" si="221"/>
        <v>0</v>
      </c>
      <c r="AH258" s="32">
        <f t="shared" si="221"/>
        <v>96520.700244929962</v>
      </c>
      <c r="AI258" s="32">
        <f t="shared" si="221"/>
        <v>0</v>
      </c>
      <c r="AJ258" s="32">
        <f t="shared" si="221"/>
        <v>0</v>
      </c>
      <c r="AK258" s="32">
        <f t="shared" si="221"/>
        <v>96520.700244929962</v>
      </c>
    </row>
    <row r="259" spans="1:37" x14ac:dyDescent="0.15">
      <c r="A259" s="24" t="s">
        <v>68</v>
      </c>
      <c r="B259" s="24" t="s">
        <v>68</v>
      </c>
      <c r="E259" s="24">
        <f t="shared" si="216"/>
        <v>1</v>
      </c>
      <c r="H259" s="32">
        <f t="shared" si="218"/>
        <v>0</v>
      </c>
      <c r="I259" s="32">
        <f t="shared" si="218"/>
        <v>0</v>
      </c>
      <c r="J259" s="32">
        <f t="shared" si="199"/>
        <v>-19960275.946138788</v>
      </c>
      <c r="K259" s="32">
        <f t="shared" si="219"/>
        <v>0</v>
      </c>
      <c r="L259" s="32">
        <f t="shared" si="219"/>
        <v>0</v>
      </c>
      <c r="M259" s="32">
        <f t="shared" si="201"/>
        <v>-15305335.199038789</v>
      </c>
      <c r="N259" s="32">
        <f t="shared" si="220"/>
        <v>0</v>
      </c>
      <c r="O259" s="32">
        <f t="shared" si="217"/>
        <v>0</v>
      </c>
      <c r="P259" s="32">
        <f t="shared" si="203"/>
        <v>-16299833.803130414</v>
      </c>
      <c r="Q259" s="32">
        <f t="shared" si="212"/>
        <v>0</v>
      </c>
      <c r="R259" s="32">
        <f t="shared" si="212"/>
        <v>0</v>
      </c>
      <c r="S259" s="32">
        <f t="shared" si="205"/>
        <v>-16299833.803130414</v>
      </c>
      <c r="T259" s="32">
        <f t="shared" si="213"/>
        <v>0</v>
      </c>
      <c r="U259" s="32">
        <f t="shared" si="213"/>
        <v>0</v>
      </c>
      <c r="V259" s="32">
        <f t="shared" si="207"/>
        <v>-16299833.803130414</v>
      </c>
      <c r="W259" s="32">
        <f t="shared" si="214"/>
        <v>0</v>
      </c>
      <c r="X259" s="32">
        <f t="shared" si="214"/>
        <v>0</v>
      </c>
      <c r="Y259" s="32">
        <f t="shared" si="221"/>
        <v>-16299833.803130414</v>
      </c>
      <c r="Z259" s="32">
        <f t="shared" si="221"/>
        <v>0</v>
      </c>
      <c r="AA259" s="32">
        <f t="shared" si="221"/>
        <v>0</v>
      </c>
      <c r="AB259" s="32">
        <f t="shared" si="221"/>
        <v>-17221853.724377967</v>
      </c>
      <c r="AC259" s="32">
        <f t="shared" si="221"/>
        <v>0</v>
      </c>
      <c r="AD259" s="32">
        <f t="shared" si="221"/>
        <v>0</v>
      </c>
      <c r="AE259" s="32">
        <f t="shared" si="221"/>
        <v>-17221853.724377967</v>
      </c>
      <c r="AF259" s="32">
        <f t="shared" si="221"/>
        <v>0</v>
      </c>
      <c r="AG259" s="32">
        <f t="shared" si="221"/>
        <v>0</v>
      </c>
      <c r="AH259" s="32">
        <f t="shared" si="221"/>
        <v>-17221853.724377967</v>
      </c>
      <c r="AI259" s="32">
        <f t="shared" si="221"/>
        <v>0</v>
      </c>
      <c r="AJ259" s="32">
        <f t="shared" si="221"/>
        <v>0</v>
      </c>
      <c r="AK259" s="32">
        <f t="shared" si="221"/>
        <v>-17221853.724377967</v>
      </c>
    </row>
    <row r="260" spans="1:37" x14ac:dyDescent="0.15">
      <c r="A260" s="24" t="s">
        <v>141</v>
      </c>
      <c r="B260" s="24" t="s">
        <v>141</v>
      </c>
      <c r="E260" s="24">
        <f t="shared" si="216"/>
        <v>1</v>
      </c>
      <c r="H260" s="32">
        <f t="shared" si="218"/>
        <v>0</v>
      </c>
      <c r="I260" s="32">
        <f t="shared" si="218"/>
        <v>0</v>
      </c>
      <c r="J260" s="32">
        <f t="shared" si="199"/>
        <v>0</v>
      </c>
      <c r="K260" s="32">
        <f t="shared" si="219"/>
        <v>0</v>
      </c>
      <c r="L260" s="32">
        <f t="shared" si="219"/>
        <v>0</v>
      </c>
      <c r="M260" s="32">
        <f t="shared" si="201"/>
        <v>0</v>
      </c>
      <c r="N260" s="32">
        <f t="shared" si="220"/>
        <v>0</v>
      </c>
      <c r="O260" s="32">
        <f t="shared" si="217"/>
        <v>0</v>
      </c>
      <c r="P260" s="32">
        <f t="shared" si="203"/>
        <v>0</v>
      </c>
      <c r="Q260" s="32">
        <f t="shared" si="212"/>
        <v>0</v>
      </c>
      <c r="R260" s="32">
        <f t="shared" si="212"/>
        <v>0</v>
      </c>
      <c r="S260" s="32">
        <f t="shared" si="205"/>
        <v>0</v>
      </c>
      <c r="T260" s="32">
        <f t="shared" si="213"/>
        <v>0</v>
      </c>
      <c r="U260" s="32">
        <f t="shared" si="213"/>
        <v>0</v>
      </c>
      <c r="V260" s="32">
        <f t="shared" si="207"/>
        <v>0</v>
      </c>
      <c r="W260" s="32">
        <f t="shared" si="214"/>
        <v>0</v>
      </c>
      <c r="X260" s="32">
        <f t="shared" si="214"/>
        <v>0</v>
      </c>
      <c r="Y260" s="32">
        <f t="shared" si="221"/>
        <v>0</v>
      </c>
      <c r="Z260" s="32">
        <f t="shared" si="221"/>
        <v>0</v>
      </c>
      <c r="AA260" s="32">
        <f t="shared" si="221"/>
        <v>0</v>
      </c>
      <c r="AB260" s="32">
        <f t="shared" si="221"/>
        <v>0</v>
      </c>
      <c r="AC260" s="32">
        <f t="shared" si="221"/>
        <v>0</v>
      </c>
      <c r="AD260" s="32">
        <f t="shared" si="221"/>
        <v>0</v>
      </c>
      <c r="AE260" s="32">
        <f t="shared" si="221"/>
        <v>0</v>
      </c>
      <c r="AF260" s="32">
        <f t="shared" si="221"/>
        <v>0</v>
      </c>
      <c r="AG260" s="32">
        <f t="shared" si="221"/>
        <v>0</v>
      </c>
      <c r="AH260" s="32">
        <f t="shared" si="221"/>
        <v>0</v>
      </c>
      <c r="AI260" s="32">
        <f t="shared" si="221"/>
        <v>0</v>
      </c>
      <c r="AJ260" s="32">
        <f t="shared" si="221"/>
        <v>0</v>
      </c>
      <c r="AK260" s="32">
        <f t="shared" si="221"/>
        <v>0</v>
      </c>
    </row>
    <row r="261" spans="1:37" x14ac:dyDescent="0.15">
      <c r="A261" s="24" t="s">
        <v>70</v>
      </c>
      <c r="B261" s="24" t="s">
        <v>70</v>
      </c>
      <c r="E261" s="24">
        <f t="shared" si="216"/>
        <v>1</v>
      </c>
      <c r="H261" s="32">
        <f t="shared" si="218"/>
        <v>0</v>
      </c>
      <c r="I261" s="32">
        <f t="shared" si="218"/>
        <v>0</v>
      </c>
      <c r="J261" s="32">
        <f t="shared" si="199"/>
        <v>-1871250</v>
      </c>
      <c r="K261" s="32">
        <f t="shared" si="219"/>
        <v>0</v>
      </c>
      <c r="L261" s="32">
        <f t="shared" si="219"/>
        <v>0</v>
      </c>
      <c r="M261" s="32">
        <f t="shared" si="201"/>
        <v>-1871250</v>
      </c>
      <c r="N261" s="32">
        <f t="shared" si="220"/>
        <v>0</v>
      </c>
      <c r="O261" s="32">
        <f t="shared" si="217"/>
        <v>0</v>
      </c>
      <c r="P261" s="32">
        <f t="shared" si="203"/>
        <v>-1871250</v>
      </c>
      <c r="Q261" s="32">
        <f t="shared" si="212"/>
        <v>0</v>
      </c>
      <c r="R261" s="32">
        <f t="shared" si="212"/>
        <v>0</v>
      </c>
      <c r="S261" s="32">
        <f t="shared" si="205"/>
        <v>-1871250</v>
      </c>
      <c r="T261" s="32">
        <f t="shared" si="213"/>
        <v>0</v>
      </c>
      <c r="U261" s="32">
        <f t="shared" si="213"/>
        <v>0</v>
      </c>
      <c r="V261" s="32">
        <f t="shared" si="207"/>
        <v>-1871250</v>
      </c>
      <c r="W261" s="32">
        <f t="shared" si="214"/>
        <v>0</v>
      </c>
      <c r="X261" s="32">
        <f t="shared" si="214"/>
        <v>0</v>
      </c>
      <c r="Y261" s="32">
        <f t="shared" si="221"/>
        <v>-1871250</v>
      </c>
      <c r="Z261" s="32">
        <f t="shared" si="221"/>
        <v>0</v>
      </c>
      <c r="AA261" s="32">
        <f t="shared" si="221"/>
        <v>0</v>
      </c>
      <c r="AB261" s="32">
        <f t="shared" si="221"/>
        <v>-1871250</v>
      </c>
      <c r="AC261" s="32">
        <f t="shared" si="221"/>
        <v>0</v>
      </c>
      <c r="AD261" s="32">
        <f t="shared" si="221"/>
        <v>0</v>
      </c>
      <c r="AE261" s="32">
        <f t="shared" si="221"/>
        <v>-1871250</v>
      </c>
      <c r="AF261" s="32">
        <f t="shared" si="221"/>
        <v>0</v>
      </c>
      <c r="AG261" s="32">
        <f t="shared" si="221"/>
        <v>0</v>
      </c>
      <c r="AH261" s="32">
        <f t="shared" si="221"/>
        <v>-1871250</v>
      </c>
      <c r="AI261" s="32">
        <f t="shared" si="221"/>
        <v>0</v>
      </c>
      <c r="AJ261" s="32">
        <f t="shared" si="221"/>
        <v>0</v>
      </c>
      <c r="AK261" s="32">
        <f t="shared" si="221"/>
        <v>-1871250</v>
      </c>
    </row>
    <row r="262" spans="1:37" x14ac:dyDescent="0.15">
      <c r="A262" s="24" t="s">
        <v>119</v>
      </c>
      <c r="B262" s="24" t="s">
        <v>119</v>
      </c>
      <c r="E262" s="24">
        <f t="shared" si="216"/>
        <v>1</v>
      </c>
      <c r="H262" s="32">
        <f t="shared" si="218"/>
        <v>0</v>
      </c>
      <c r="I262" s="32">
        <f t="shared" si="218"/>
        <v>0</v>
      </c>
      <c r="J262" s="32">
        <f t="shared" si="199"/>
        <v>0</v>
      </c>
      <c r="K262" s="32">
        <f t="shared" si="219"/>
        <v>0</v>
      </c>
      <c r="L262" s="32">
        <f t="shared" si="219"/>
        <v>0</v>
      </c>
      <c r="M262" s="32">
        <f t="shared" si="201"/>
        <v>0</v>
      </c>
      <c r="N262" s="32">
        <f t="shared" si="220"/>
        <v>0</v>
      </c>
      <c r="O262" s="32">
        <f t="shared" si="217"/>
        <v>0</v>
      </c>
      <c r="P262" s="32">
        <f t="shared" si="203"/>
        <v>0</v>
      </c>
      <c r="Q262" s="32">
        <f t="shared" si="212"/>
        <v>0</v>
      </c>
      <c r="R262" s="32">
        <f t="shared" si="212"/>
        <v>0</v>
      </c>
      <c r="S262" s="32">
        <f t="shared" si="205"/>
        <v>0</v>
      </c>
      <c r="T262" s="32">
        <f t="shared" si="213"/>
        <v>0</v>
      </c>
      <c r="U262" s="32">
        <f t="shared" si="213"/>
        <v>0</v>
      </c>
      <c r="V262" s="32">
        <f t="shared" si="207"/>
        <v>0</v>
      </c>
      <c r="W262" s="32">
        <f t="shared" si="214"/>
        <v>0</v>
      </c>
      <c r="X262" s="32">
        <f t="shared" si="214"/>
        <v>0</v>
      </c>
      <c r="Y262" s="32">
        <f t="shared" si="221"/>
        <v>0</v>
      </c>
      <c r="Z262" s="32">
        <f t="shared" si="221"/>
        <v>0</v>
      </c>
      <c r="AA262" s="32">
        <f t="shared" si="221"/>
        <v>0</v>
      </c>
      <c r="AB262" s="32">
        <f t="shared" si="221"/>
        <v>0</v>
      </c>
      <c r="AC262" s="32">
        <f t="shared" si="221"/>
        <v>0</v>
      </c>
      <c r="AD262" s="32">
        <f t="shared" si="221"/>
        <v>0</v>
      </c>
      <c r="AE262" s="32">
        <f t="shared" si="221"/>
        <v>0</v>
      </c>
      <c r="AF262" s="32">
        <f t="shared" si="221"/>
        <v>0</v>
      </c>
      <c r="AG262" s="32">
        <f t="shared" si="221"/>
        <v>0</v>
      </c>
      <c r="AH262" s="32">
        <f t="shared" si="221"/>
        <v>0</v>
      </c>
      <c r="AI262" s="32">
        <f t="shared" si="221"/>
        <v>0</v>
      </c>
      <c r="AJ262" s="32">
        <f t="shared" si="221"/>
        <v>0</v>
      </c>
      <c r="AK262" s="32">
        <f t="shared" si="221"/>
        <v>0</v>
      </c>
    </row>
    <row r="263" spans="1:37" x14ac:dyDescent="0.15">
      <c r="A263" s="24" t="s">
        <v>135</v>
      </c>
      <c r="B263" s="24" t="s">
        <v>338</v>
      </c>
      <c r="E263" s="24">
        <f t="shared" si="216"/>
        <v>0</v>
      </c>
      <c r="H263" s="32">
        <f t="shared" si="218"/>
        <v>0</v>
      </c>
      <c r="I263" s="32">
        <f t="shared" si="218"/>
        <v>0</v>
      </c>
      <c r="J263" s="32">
        <f t="shared" si="199"/>
        <v>-60441.376247499997</v>
      </c>
      <c r="K263" s="32">
        <f t="shared" si="219"/>
        <v>0</v>
      </c>
      <c r="L263" s="32">
        <f t="shared" si="219"/>
        <v>0</v>
      </c>
      <c r="M263" s="32">
        <f t="shared" si="201"/>
        <v>-60441.376247499997</v>
      </c>
      <c r="N263" s="32">
        <f t="shared" si="220"/>
        <v>0</v>
      </c>
      <c r="O263" s="32">
        <f t="shared" si="217"/>
        <v>0</v>
      </c>
      <c r="P263" s="32">
        <f t="shared" si="203"/>
        <v>3687.9226546874834</v>
      </c>
      <c r="Q263" s="32">
        <f t="shared" si="212"/>
        <v>0</v>
      </c>
      <c r="R263" s="32">
        <f t="shared" si="212"/>
        <v>0</v>
      </c>
      <c r="S263" s="32">
        <f t="shared" si="205"/>
        <v>3687.9226546874834</v>
      </c>
      <c r="T263" s="32">
        <f t="shared" si="213"/>
        <v>0</v>
      </c>
      <c r="U263" s="32">
        <f t="shared" si="213"/>
        <v>0</v>
      </c>
      <c r="V263" s="32">
        <f t="shared" si="207"/>
        <v>3687.9226546874834</v>
      </c>
      <c r="W263" s="32">
        <f t="shared" si="214"/>
        <v>0</v>
      </c>
      <c r="X263" s="32">
        <f t="shared" si="214"/>
        <v>0</v>
      </c>
      <c r="Y263" s="32">
        <f t="shared" si="221"/>
        <v>3687.9226546874834</v>
      </c>
      <c r="Z263" s="32">
        <f t="shared" si="221"/>
        <v>0</v>
      </c>
      <c r="AA263" s="32">
        <f t="shared" si="221"/>
        <v>0</v>
      </c>
      <c r="AB263" s="32">
        <f t="shared" si="221"/>
        <v>3360.4535928124942</v>
      </c>
      <c r="AC263" s="32">
        <f t="shared" si="221"/>
        <v>0</v>
      </c>
      <c r="AD263" s="32">
        <f t="shared" si="221"/>
        <v>0</v>
      </c>
      <c r="AE263" s="32">
        <f t="shared" si="221"/>
        <v>3360.4535928124942</v>
      </c>
      <c r="AF263" s="32">
        <f t="shared" si="221"/>
        <v>0</v>
      </c>
      <c r="AG263" s="32">
        <f t="shared" si="221"/>
        <v>0</v>
      </c>
      <c r="AH263" s="32">
        <f t="shared" si="221"/>
        <v>3360.4535928124942</v>
      </c>
      <c r="AI263" s="32">
        <f t="shared" si="221"/>
        <v>0</v>
      </c>
      <c r="AJ263" s="32">
        <f t="shared" si="221"/>
        <v>0</v>
      </c>
      <c r="AK263" s="32">
        <f t="shared" si="221"/>
        <v>3360.4535928124942</v>
      </c>
    </row>
    <row r="264" spans="1:37" x14ac:dyDescent="0.15">
      <c r="A264" s="24" t="s">
        <v>146</v>
      </c>
      <c r="B264" s="24" t="s">
        <v>332</v>
      </c>
      <c r="E264" s="24">
        <f t="shared" si="216"/>
        <v>0</v>
      </c>
      <c r="H264" s="32">
        <f>(SUMIF($A$114:$A$155,$A264,H$114:H$155)*0.21+SUMIF($A$166:$A$205,$A264,H$166:H$205)*0.05*0.79)</f>
        <v>0</v>
      </c>
      <c r="I264" s="32">
        <f>(SUMIF($A$114:$A$155,$A264,I$114:I$155)*0.21+SUMIF($A$166:$A$205,$A264,I$166:I$205)*0.05*0.79)</f>
        <v>0</v>
      </c>
      <c r="J264" s="32">
        <f t="shared" si="199"/>
        <v>-5114045.8425000003</v>
      </c>
      <c r="K264" s="32">
        <f>(SUMIF($A$114:$A$155,$A264,K$114:K$155)*0.21+SUMIF($A$166:$A$205,$A264,K$166:K$205)*0.05*0.79)</f>
        <v>0</v>
      </c>
      <c r="L264" s="32">
        <f>(SUMIF($A$114:$A$155,$A264,L$114:L$155)*0.21+SUMIF($A$166:$A$205,$A264,L$166:L$205)*0.05*0.79)</f>
        <v>0</v>
      </c>
      <c r="M264" s="32">
        <f t="shared" si="201"/>
        <v>-3854045.9474999998</v>
      </c>
      <c r="N264" s="32">
        <f t="shared" si="220"/>
        <v>0</v>
      </c>
      <c r="O264" s="32">
        <f t="shared" si="217"/>
        <v>0</v>
      </c>
      <c r="P264" s="32">
        <f t="shared" si="203"/>
        <v>0</v>
      </c>
      <c r="Q264" s="32">
        <f t="shared" si="212"/>
        <v>0</v>
      </c>
      <c r="R264" s="32">
        <f t="shared" si="212"/>
        <v>0</v>
      </c>
      <c r="S264" s="32">
        <f t="shared" si="205"/>
        <v>0</v>
      </c>
      <c r="T264" s="32">
        <f t="shared" si="213"/>
        <v>0</v>
      </c>
      <c r="U264" s="32">
        <f t="shared" si="213"/>
        <v>0</v>
      </c>
      <c r="V264" s="32">
        <f t="shared" si="207"/>
        <v>0</v>
      </c>
      <c r="W264" s="32">
        <f t="shared" si="214"/>
        <v>0</v>
      </c>
      <c r="X264" s="32">
        <f t="shared" si="214"/>
        <v>0</v>
      </c>
      <c r="Y264" s="32">
        <f t="shared" si="221"/>
        <v>0</v>
      </c>
      <c r="Z264" s="32">
        <f t="shared" si="221"/>
        <v>0</v>
      </c>
      <c r="AA264" s="32">
        <f t="shared" si="221"/>
        <v>0</v>
      </c>
      <c r="AB264" s="32">
        <f t="shared" si="221"/>
        <v>0</v>
      </c>
      <c r="AC264" s="32">
        <f t="shared" si="221"/>
        <v>0</v>
      </c>
      <c r="AD264" s="32">
        <f t="shared" si="221"/>
        <v>0</v>
      </c>
      <c r="AE264" s="32">
        <f t="shared" si="221"/>
        <v>0</v>
      </c>
      <c r="AF264" s="32">
        <f t="shared" si="221"/>
        <v>0</v>
      </c>
      <c r="AG264" s="32">
        <f t="shared" si="221"/>
        <v>0</v>
      </c>
      <c r="AH264" s="32">
        <f t="shared" si="221"/>
        <v>0</v>
      </c>
      <c r="AI264" s="32">
        <f t="shared" si="221"/>
        <v>0</v>
      </c>
      <c r="AJ264" s="32">
        <f t="shared" si="221"/>
        <v>0</v>
      </c>
      <c r="AK264" s="32">
        <f t="shared" si="221"/>
        <v>0</v>
      </c>
    </row>
    <row r="265" spans="1:37" x14ac:dyDescent="0.15">
      <c r="A265" s="24" t="s">
        <v>69</v>
      </c>
      <c r="B265" s="24" t="s">
        <v>69</v>
      </c>
      <c r="E265" s="24">
        <f t="shared" si="216"/>
        <v>1</v>
      </c>
      <c r="H265" s="32">
        <f>(SUMIF($A$114:$A$155,$A265,H$114:H$155)*0.35+SUMIF($A$166:$A$205,$A265,H$166:H$205)*0.06*0.65)</f>
        <v>0</v>
      </c>
      <c r="I265" s="32">
        <f>(SUMIF($A$114:$A$155,$A265,I$114:I$155)*0.35+SUMIF($A$166:$A$205,$A265,I$166:I$205)*0.06*0.65)</f>
        <v>0</v>
      </c>
      <c r="J265" s="32">
        <f t="shared" si="199"/>
        <v>-4277513.5266605588</v>
      </c>
      <c r="K265" s="32">
        <f>(SUMIF($A$114:$A$155,$A265,K$114:K$155)*0.35+SUMIF($A$166:$A$205,$A265,K$166:K$205)*0.06*0.65)</f>
        <v>0</v>
      </c>
      <c r="L265" s="32">
        <f>(SUMIF($A$114:$A$155,$A265,L$114:L$155)*0.35+SUMIF($A$166:$A$205,$A265,L$166:L$205)*0.06*0.65)</f>
        <v>0</v>
      </c>
      <c r="M265" s="32">
        <f t="shared" si="201"/>
        <v>-4277513.5266605588</v>
      </c>
      <c r="N265" s="32">
        <f t="shared" si="220"/>
        <v>0</v>
      </c>
      <c r="O265" s="32">
        <f t="shared" si="217"/>
        <v>0</v>
      </c>
      <c r="P265" s="32">
        <f t="shared" si="203"/>
        <v>-4435306.9162495965</v>
      </c>
      <c r="Q265" s="32">
        <f t="shared" si="212"/>
        <v>0</v>
      </c>
      <c r="R265" s="32">
        <f t="shared" si="212"/>
        <v>0</v>
      </c>
      <c r="S265" s="32">
        <f t="shared" si="205"/>
        <v>-4435306.9162495965</v>
      </c>
      <c r="T265" s="32">
        <f t="shared" si="213"/>
        <v>0</v>
      </c>
      <c r="U265" s="32">
        <f t="shared" si="213"/>
        <v>0</v>
      </c>
      <c r="V265" s="32">
        <f t="shared" si="207"/>
        <v>-4435306.9162495965</v>
      </c>
      <c r="W265" s="32">
        <f t="shared" si="214"/>
        <v>0</v>
      </c>
      <c r="X265" s="32">
        <f t="shared" si="214"/>
        <v>0</v>
      </c>
      <c r="Y265" s="32">
        <f t="shared" si="221"/>
        <v>-4435306.9162495965</v>
      </c>
      <c r="Z265" s="32">
        <f t="shared" si="221"/>
        <v>0</v>
      </c>
      <c r="AA265" s="32">
        <f t="shared" si="221"/>
        <v>0</v>
      </c>
      <c r="AB265" s="32">
        <f t="shared" si="221"/>
        <v>-4487363.5407035807</v>
      </c>
      <c r="AC265" s="32">
        <f t="shared" si="221"/>
        <v>0</v>
      </c>
      <c r="AD265" s="32">
        <f t="shared" si="221"/>
        <v>0</v>
      </c>
      <c r="AE265" s="32">
        <f t="shared" si="221"/>
        <v>-4487363.5407035807</v>
      </c>
      <c r="AF265" s="32">
        <f t="shared" si="221"/>
        <v>0</v>
      </c>
      <c r="AG265" s="32">
        <f t="shared" si="221"/>
        <v>0</v>
      </c>
      <c r="AH265" s="32">
        <f t="shared" si="221"/>
        <v>-4487363.5407035807</v>
      </c>
      <c r="AI265" s="32">
        <f t="shared" si="221"/>
        <v>0</v>
      </c>
      <c r="AJ265" s="32">
        <f t="shared" si="221"/>
        <v>0</v>
      </c>
      <c r="AK265" s="32">
        <f t="shared" si="221"/>
        <v>-4487363.5407035807</v>
      </c>
    </row>
    <row r="266" spans="1:37" x14ac:dyDescent="0.15">
      <c r="A266" s="24" t="s">
        <v>97</v>
      </c>
      <c r="B266" s="24" t="s">
        <v>97</v>
      </c>
      <c r="E266" s="24">
        <f t="shared" si="216"/>
        <v>1</v>
      </c>
      <c r="H266" s="32">
        <f t="shared" ref="H266:AK266" si="222">+H160</f>
        <v>0</v>
      </c>
      <c r="I266" s="32">
        <f t="shared" si="222"/>
        <v>0</v>
      </c>
      <c r="J266" s="32">
        <f t="shared" si="222"/>
        <v>226079.572426673</v>
      </c>
      <c r="K266" s="32">
        <f t="shared" si="222"/>
        <v>0</v>
      </c>
      <c r="L266" s="32">
        <f t="shared" si="222"/>
        <v>0</v>
      </c>
      <c r="M266" s="32">
        <f t="shared" si="222"/>
        <v>-580634.86797429505</v>
      </c>
      <c r="N266" s="32">
        <f t="shared" si="222"/>
        <v>0</v>
      </c>
      <c r="O266" s="32">
        <f t="shared" si="222"/>
        <v>0</v>
      </c>
      <c r="P266" s="32">
        <f t="shared" si="222"/>
        <v>1891375.6144963799</v>
      </c>
      <c r="Q266" s="32">
        <f t="shared" si="222"/>
        <v>0</v>
      </c>
      <c r="R266" s="32">
        <f t="shared" si="222"/>
        <v>0</v>
      </c>
      <c r="S266" s="32">
        <f t="shared" si="222"/>
        <v>-1283191.5299712</v>
      </c>
      <c r="T266" s="32">
        <f t="shared" si="222"/>
        <v>0</v>
      </c>
      <c r="U266" s="32">
        <f t="shared" si="222"/>
        <v>0</v>
      </c>
      <c r="V266" s="32">
        <f t="shared" si="222"/>
        <v>464328.84713009099</v>
      </c>
      <c r="W266" s="32">
        <f t="shared" si="222"/>
        <v>0</v>
      </c>
      <c r="X266" s="32">
        <f t="shared" si="222"/>
        <v>0</v>
      </c>
      <c r="Y266" s="32">
        <f t="shared" si="222"/>
        <v>-1072512.93165526</v>
      </c>
      <c r="Z266" s="32">
        <f t="shared" si="222"/>
        <v>0</v>
      </c>
      <c r="AA266" s="32">
        <f t="shared" si="222"/>
        <v>0</v>
      </c>
      <c r="AB266" s="32">
        <f t="shared" si="222"/>
        <v>2452861.6247357097</v>
      </c>
      <c r="AC266" s="32">
        <f t="shared" si="222"/>
        <v>-561486.00951267802</v>
      </c>
      <c r="AD266" s="32">
        <f t="shared" si="222"/>
        <v>561486.00951267802</v>
      </c>
      <c r="AE266" s="32">
        <f t="shared" si="222"/>
        <v>-2061823.0861084298</v>
      </c>
      <c r="AF266" s="32">
        <f t="shared" si="222"/>
        <v>0</v>
      </c>
      <c r="AG266" s="32">
        <f t="shared" si="222"/>
        <v>0</v>
      </c>
      <c r="AH266" s="32">
        <f t="shared" si="222"/>
        <v>956888.74925835896</v>
      </c>
      <c r="AI266" s="32">
        <f t="shared" si="222"/>
        <v>0</v>
      </c>
      <c r="AJ266" s="32">
        <f t="shared" si="222"/>
        <v>0</v>
      </c>
      <c r="AK266" s="32">
        <f t="shared" si="222"/>
        <v>-1347927.28788563</v>
      </c>
    </row>
    <row r="267" spans="1:37" x14ac:dyDescent="0.15">
      <c r="A267" s="24" t="s">
        <v>322</v>
      </c>
      <c r="B267" s="24" t="s">
        <v>100</v>
      </c>
      <c r="E267" s="24">
        <f t="shared" si="216"/>
        <v>0</v>
      </c>
      <c r="H267" s="32">
        <f t="shared" ref="H267:AK267" si="223">+H161</f>
        <v>0</v>
      </c>
      <c r="I267" s="32">
        <f t="shared" si="223"/>
        <v>0</v>
      </c>
      <c r="J267" s="32">
        <f t="shared" si="223"/>
        <v>-1390853.5</v>
      </c>
      <c r="K267" s="32">
        <f t="shared" si="223"/>
        <v>0</v>
      </c>
      <c r="L267" s="32">
        <f t="shared" si="223"/>
        <v>0</v>
      </c>
      <c r="M267" s="32">
        <f t="shared" si="223"/>
        <v>-1390853.5</v>
      </c>
      <c r="N267" s="32">
        <f t="shared" si="223"/>
        <v>0</v>
      </c>
      <c r="O267" s="32">
        <f t="shared" si="223"/>
        <v>0</v>
      </c>
      <c r="P267" s="32">
        <f t="shared" si="223"/>
        <v>0</v>
      </c>
      <c r="Q267" s="32">
        <f t="shared" si="223"/>
        <v>0</v>
      </c>
      <c r="R267" s="32">
        <f t="shared" si="223"/>
        <v>0</v>
      </c>
      <c r="S267" s="32">
        <f t="shared" si="223"/>
        <v>0</v>
      </c>
      <c r="T267" s="32">
        <f t="shared" si="223"/>
        <v>0</v>
      </c>
      <c r="U267" s="32">
        <f t="shared" si="223"/>
        <v>0</v>
      </c>
      <c r="V267" s="32">
        <f t="shared" si="223"/>
        <v>0</v>
      </c>
      <c r="W267" s="32">
        <f t="shared" si="223"/>
        <v>0</v>
      </c>
      <c r="X267" s="32">
        <f t="shared" si="223"/>
        <v>0</v>
      </c>
      <c r="Y267" s="32">
        <f t="shared" si="223"/>
        <v>0</v>
      </c>
      <c r="Z267" s="32">
        <f t="shared" si="223"/>
        <v>0</v>
      </c>
      <c r="AA267" s="32">
        <f t="shared" si="223"/>
        <v>0</v>
      </c>
      <c r="AB267" s="32">
        <f t="shared" si="223"/>
        <v>0</v>
      </c>
      <c r="AC267" s="32">
        <f t="shared" si="223"/>
        <v>0</v>
      </c>
      <c r="AD267" s="32">
        <f t="shared" si="223"/>
        <v>0</v>
      </c>
      <c r="AE267" s="32">
        <f t="shared" si="223"/>
        <v>0</v>
      </c>
      <c r="AF267" s="32">
        <f t="shared" si="223"/>
        <v>0</v>
      </c>
      <c r="AG267" s="32">
        <f t="shared" si="223"/>
        <v>0</v>
      </c>
      <c r="AH267" s="32">
        <f t="shared" si="223"/>
        <v>0</v>
      </c>
      <c r="AI267" s="32">
        <f t="shared" si="223"/>
        <v>0</v>
      </c>
      <c r="AJ267" s="32">
        <f t="shared" si="223"/>
        <v>0</v>
      </c>
      <c r="AK267" s="32">
        <f t="shared" si="223"/>
        <v>0</v>
      </c>
    </row>
    <row r="268" spans="1:37" x14ac:dyDescent="0.15">
      <c r="A268" s="24" t="s">
        <v>83</v>
      </c>
      <c r="B268" s="24" t="s">
        <v>48</v>
      </c>
      <c r="E268" s="24">
        <f t="shared" si="216"/>
        <v>0</v>
      </c>
      <c r="H268" s="32">
        <f>+H162-H269*0.35</f>
        <v>0</v>
      </c>
      <c r="I268" s="32">
        <f>+I162-I269*0.35</f>
        <v>0</v>
      </c>
      <c r="J268" s="32">
        <f>+J162-J269*0.21</f>
        <v>2295048.5641506715</v>
      </c>
      <c r="K268" s="32">
        <f>+K162-K269*0.35</f>
        <v>0</v>
      </c>
      <c r="L268" s="32">
        <f>+L162-L269*0.35</f>
        <v>0</v>
      </c>
      <c r="M268" s="32">
        <f>+M162-M269*0.21</f>
        <v>2562500.7515484453</v>
      </c>
      <c r="N268" s="32">
        <f>+N162-N269*0.35</f>
        <v>0</v>
      </c>
      <c r="O268" s="32">
        <f>+O162-O269*0.35</f>
        <v>0</v>
      </c>
      <c r="P268" s="32">
        <f>+P162-P269*0.21</f>
        <v>3730074.9708684501</v>
      </c>
      <c r="Q268" s="32">
        <f>+Q162-Q269*0.35</f>
        <v>1300872.1985141668</v>
      </c>
      <c r="R268" s="32">
        <f>+R162-R269*0.35</f>
        <v>0</v>
      </c>
      <c r="S268" s="32">
        <f>+S162-S269*0.21</f>
        <v>2437104.7723542834</v>
      </c>
      <c r="T268" s="32">
        <f>+T162-T269*0.35</f>
        <v>0</v>
      </c>
      <c r="U268" s="32">
        <f>+U162-U269*0.35</f>
        <v>0</v>
      </c>
      <c r="V268" s="32">
        <f>+V162-V269*0.21</f>
        <v>3741928.9708684501</v>
      </c>
      <c r="W268" s="32">
        <f>+W162-W269*0.35</f>
        <v>0</v>
      </c>
      <c r="X268" s="32">
        <f>+X162-X269*0.35</f>
        <v>0</v>
      </c>
      <c r="Y268" s="32">
        <f t="shared" ref="Y268:AK268" si="224">+Y162-Y269*0.21</f>
        <v>3741928.5048113018</v>
      </c>
      <c r="Z268" s="32">
        <f t="shared" si="224"/>
        <v>0</v>
      </c>
      <c r="AA268" s="32">
        <f t="shared" si="224"/>
        <v>0</v>
      </c>
      <c r="AB268" s="32">
        <f t="shared" si="224"/>
        <v>4557125.2914418988</v>
      </c>
      <c r="AC268" s="32">
        <f t="shared" si="224"/>
        <v>1585378.9663979176</v>
      </c>
      <c r="AD268" s="32">
        <f t="shared" si="224"/>
        <v>0</v>
      </c>
      <c r="AE268" s="32">
        <f t="shared" si="224"/>
        <v>2971746.325043981</v>
      </c>
      <c r="AF268" s="32">
        <f t="shared" si="224"/>
        <v>0</v>
      </c>
      <c r="AG268" s="32">
        <f t="shared" si="224"/>
        <v>0</v>
      </c>
      <c r="AH268" s="32">
        <f t="shared" si="224"/>
        <v>4557125.2914418988</v>
      </c>
      <c r="AI268" s="32">
        <f t="shared" si="224"/>
        <v>0</v>
      </c>
      <c r="AJ268" s="32">
        <f t="shared" si="224"/>
        <v>0</v>
      </c>
      <c r="AK268" s="32">
        <f t="shared" si="224"/>
        <v>4557125.2914418988</v>
      </c>
    </row>
    <row r="269" spans="1:37" x14ac:dyDescent="0.15">
      <c r="A269" s="24" t="s">
        <v>85</v>
      </c>
      <c r="B269" s="24" t="s">
        <v>49</v>
      </c>
      <c r="E269" s="24">
        <f t="shared" si="216"/>
        <v>0</v>
      </c>
      <c r="H269" s="32">
        <f t="shared" ref="H269:AK269" si="225">+H208</f>
        <v>0</v>
      </c>
      <c r="I269" s="32">
        <f t="shared" si="225"/>
        <v>0</v>
      </c>
      <c r="J269" s="32">
        <f t="shared" si="225"/>
        <v>203137.02885917679</v>
      </c>
      <c r="K269" s="32">
        <f t="shared" si="225"/>
        <v>0</v>
      </c>
      <c r="L269" s="32">
        <f t="shared" si="225"/>
        <v>0</v>
      </c>
      <c r="M269" s="32">
        <f t="shared" si="225"/>
        <v>266167.67628639226</v>
      </c>
      <c r="N269" s="32">
        <f t="shared" si="225"/>
        <v>0</v>
      </c>
      <c r="O269" s="32">
        <f t="shared" si="225"/>
        <v>0</v>
      </c>
      <c r="P269" s="32">
        <f t="shared" si="225"/>
        <v>378914.62467405002</v>
      </c>
      <c r="Q269" s="32">
        <f t="shared" si="225"/>
        <v>0</v>
      </c>
      <c r="R269" s="32">
        <f t="shared" si="225"/>
        <v>0</v>
      </c>
      <c r="S269" s="32">
        <f t="shared" si="225"/>
        <v>378914.62467405002</v>
      </c>
      <c r="T269" s="32">
        <f t="shared" si="225"/>
        <v>0</v>
      </c>
      <c r="U269" s="32">
        <f t="shared" si="225"/>
        <v>0</v>
      </c>
      <c r="V269" s="32">
        <f t="shared" si="225"/>
        <v>378914.62467405002</v>
      </c>
      <c r="W269" s="32">
        <f t="shared" si="225"/>
        <v>0</v>
      </c>
      <c r="X269" s="32">
        <f t="shared" si="225"/>
        <v>0</v>
      </c>
      <c r="Y269" s="32">
        <f t="shared" si="225"/>
        <v>378914.62467405002</v>
      </c>
      <c r="Z269" s="32">
        <f t="shared" si="225"/>
        <v>0</v>
      </c>
      <c r="AA269" s="32">
        <f t="shared" si="225"/>
        <v>0</v>
      </c>
      <c r="AB269" s="32">
        <f t="shared" si="225"/>
        <v>398894.94328322797</v>
      </c>
      <c r="AC269" s="32">
        <f t="shared" si="225"/>
        <v>0</v>
      </c>
      <c r="AD269" s="32">
        <f t="shared" si="225"/>
        <v>0</v>
      </c>
      <c r="AE269" s="32">
        <f t="shared" si="225"/>
        <v>398894.94328322797</v>
      </c>
      <c r="AF269" s="32">
        <f t="shared" si="225"/>
        <v>0</v>
      </c>
      <c r="AG269" s="32">
        <f t="shared" si="225"/>
        <v>0</v>
      </c>
      <c r="AH269" s="32">
        <f t="shared" si="225"/>
        <v>398894.94328322797</v>
      </c>
      <c r="AI269" s="32">
        <f t="shared" si="225"/>
        <v>0</v>
      </c>
      <c r="AJ269" s="32">
        <f t="shared" si="225"/>
        <v>0</v>
      </c>
      <c r="AK269" s="32">
        <f t="shared" si="225"/>
        <v>398894.94328322797</v>
      </c>
    </row>
    <row r="270" spans="1:37" x14ac:dyDescent="0.15">
      <c r="A270" s="24" t="s">
        <v>84</v>
      </c>
      <c r="B270" s="24" t="s">
        <v>71</v>
      </c>
      <c r="E270" s="24">
        <f t="shared" si="216"/>
        <v>0</v>
      </c>
      <c r="H270" s="32">
        <f t="shared" ref="H270:M270" si="226">+H163+H209*0.79</f>
        <v>-42348.397499999897</v>
      </c>
      <c r="I270" s="32">
        <f t="shared" si="226"/>
        <v>-42348.397499999897</v>
      </c>
      <c r="J270" s="32">
        <f t="shared" si="226"/>
        <v>-43790.427499999903</v>
      </c>
      <c r="K270" s="32">
        <f t="shared" si="226"/>
        <v>-42348.301665999898</v>
      </c>
      <c r="L270" s="32">
        <f t="shared" si="226"/>
        <v>-42348.301665999898</v>
      </c>
      <c r="M270" s="32">
        <f t="shared" si="226"/>
        <v>-43790.619167999903</v>
      </c>
      <c r="N270" s="32">
        <f>+N163+N209*0.65</f>
        <v>-42348.301665999898</v>
      </c>
      <c r="O270" s="32">
        <f>+O163+O209*0.65</f>
        <v>-42348.301665999898</v>
      </c>
      <c r="P270" s="32">
        <f>+P163+P209*0.79</f>
        <v>-43790.385642419904</v>
      </c>
      <c r="Q270" s="32">
        <f>+Q163+Q209*0.79</f>
        <v>-42348.301665999898</v>
      </c>
      <c r="R270" s="32">
        <f>+R163+R209*0.79</f>
        <v>-35023.207499999997</v>
      </c>
      <c r="S270" s="32">
        <f>+S163+S209*0.79</f>
        <v>-37057.017500000002</v>
      </c>
      <c r="T270" s="32">
        <f>+T163+T209*0.65</f>
        <v>-35023.537499999999</v>
      </c>
      <c r="U270" s="32">
        <f>+U163+U209*0.65</f>
        <v>-35023.537499999999</v>
      </c>
      <c r="V270" s="32">
        <f>+V163+V209*0.79</f>
        <v>-37353.029599999994</v>
      </c>
      <c r="W270" s="32">
        <f>+W163+W209*0.65</f>
        <v>-35023.537499999999</v>
      </c>
      <c r="X270" s="32">
        <f>+X163+X209*0.65</f>
        <v>-35023.537499999999</v>
      </c>
      <c r="Y270" s="32">
        <f t="shared" ref="Y270:AK270" si="227">+Y163+Y209*0.79</f>
        <v>-37353.029599999994</v>
      </c>
      <c r="Z270" s="32">
        <f t="shared" si="227"/>
        <v>-35023.537499999999</v>
      </c>
      <c r="AA270" s="32">
        <f t="shared" si="227"/>
        <v>-35023.537499999999</v>
      </c>
      <c r="AB270" s="32">
        <f t="shared" si="227"/>
        <v>-37353.029599999994</v>
      </c>
      <c r="AC270" s="32">
        <f t="shared" si="227"/>
        <v>-35023.537499999999</v>
      </c>
      <c r="AD270" s="32">
        <f t="shared" si="227"/>
        <v>-35023.537499999999</v>
      </c>
      <c r="AE270" s="32">
        <f t="shared" si="227"/>
        <v>-37353.029599999994</v>
      </c>
      <c r="AF270" s="32">
        <f t="shared" si="227"/>
        <v>-35023.537499999999</v>
      </c>
      <c r="AG270" s="32">
        <f t="shared" si="227"/>
        <v>-35023.537499999999</v>
      </c>
      <c r="AH270" s="32">
        <f t="shared" si="227"/>
        <v>-37353.029599999994</v>
      </c>
      <c r="AI270" s="32">
        <f t="shared" si="227"/>
        <v>-35023.537499999999</v>
      </c>
      <c r="AJ270" s="32">
        <f t="shared" si="227"/>
        <v>-35023.537499999999</v>
      </c>
      <c r="AK270" s="32">
        <f t="shared" si="227"/>
        <v>-37353.029599999994</v>
      </c>
    </row>
    <row r="271" spans="1:37" x14ac:dyDescent="0.15">
      <c r="A271" s="24" t="s">
        <v>80</v>
      </c>
      <c r="B271" s="24"/>
      <c r="E271" s="24">
        <f t="shared" si="216"/>
        <v>0</v>
      </c>
      <c r="H271" s="128">
        <f t="shared" ref="H271:AK271" si="228">+H212</f>
        <v>0</v>
      </c>
      <c r="I271" s="128">
        <f t="shared" si="228"/>
        <v>0</v>
      </c>
      <c r="J271" s="128">
        <f t="shared" si="228"/>
        <v>-185654.26315789483</v>
      </c>
      <c r="K271" s="128">
        <f t="shared" si="228"/>
        <v>0</v>
      </c>
      <c r="L271" s="128">
        <f t="shared" si="228"/>
        <v>0</v>
      </c>
      <c r="M271" s="128">
        <f t="shared" si="228"/>
        <v>-185654.26315789483</v>
      </c>
      <c r="N271" s="128">
        <f t="shared" si="228"/>
        <v>0</v>
      </c>
      <c r="O271" s="128">
        <f t="shared" si="228"/>
        <v>0</v>
      </c>
      <c r="P271" s="128">
        <f t="shared" si="228"/>
        <v>-185654.26315789483</v>
      </c>
      <c r="Q271" s="128">
        <f t="shared" si="228"/>
        <v>-54148.010381967608</v>
      </c>
      <c r="R271" s="128">
        <f t="shared" si="228"/>
        <v>0</v>
      </c>
      <c r="S271" s="128">
        <f t="shared" si="228"/>
        <v>-112774.7480013325</v>
      </c>
      <c r="T271" s="128">
        <f t="shared" si="228"/>
        <v>0</v>
      </c>
      <c r="U271" s="128">
        <f t="shared" si="228"/>
        <v>0</v>
      </c>
      <c r="V271" s="128">
        <f t="shared" si="228"/>
        <v>-157557.00599600276</v>
      </c>
      <c r="W271" s="128">
        <f t="shared" si="228"/>
        <v>0</v>
      </c>
      <c r="X271" s="128">
        <f t="shared" si="228"/>
        <v>0</v>
      </c>
      <c r="Y271" s="128">
        <f t="shared" si="228"/>
        <v>-157557.00599600276</v>
      </c>
      <c r="Z271" s="128">
        <f t="shared" si="228"/>
        <v>0</v>
      </c>
      <c r="AA271" s="128">
        <f t="shared" si="228"/>
        <v>0</v>
      </c>
      <c r="AB271" s="128">
        <f t="shared" si="228"/>
        <v>-157557.00599600276</v>
      </c>
      <c r="AC271" s="128">
        <f t="shared" si="228"/>
        <v>-52519.001998667583</v>
      </c>
      <c r="AD271" s="128">
        <f t="shared" si="228"/>
        <v>0</v>
      </c>
      <c r="AE271" s="128">
        <f t="shared" si="228"/>
        <v>-105038.00399733517</v>
      </c>
      <c r="AF271" s="128">
        <f t="shared" si="228"/>
        <v>0</v>
      </c>
      <c r="AG271" s="128">
        <f t="shared" si="228"/>
        <v>0</v>
      </c>
      <c r="AH271" s="128">
        <f t="shared" si="228"/>
        <v>-157557.00599600276</v>
      </c>
      <c r="AI271" s="128">
        <f t="shared" si="228"/>
        <v>0</v>
      </c>
      <c r="AJ271" s="128">
        <f t="shared" si="228"/>
        <v>0</v>
      </c>
      <c r="AK271" s="128">
        <f t="shared" si="228"/>
        <v>-157557.00599600276</v>
      </c>
    </row>
    <row r="272" spans="1:37" x14ac:dyDescent="0.15">
      <c r="A272" s="24" t="s">
        <v>94</v>
      </c>
      <c r="B272" s="24"/>
      <c r="E272" s="24">
        <f t="shared" si="216"/>
        <v>0</v>
      </c>
      <c r="H272" s="128">
        <f t="shared" ref="H272:AK272" si="229">+H213</f>
        <v>0</v>
      </c>
      <c r="I272" s="128">
        <f t="shared" si="229"/>
        <v>0</v>
      </c>
      <c r="J272" s="128">
        <f t="shared" si="229"/>
        <v>-3328694.99401712</v>
      </c>
      <c r="K272" s="128">
        <f t="shared" si="229"/>
        <v>0</v>
      </c>
      <c r="L272" s="128">
        <f t="shared" si="229"/>
        <v>0</v>
      </c>
      <c r="M272" s="128">
        <f t="shared" si="229"/>
        <v>-3769045.2069751341</v>
      </c>
      <c r="N272" s="128">
        <f t="shared" si="229"/>
        <v>0</v>
      </c>
      <c r="O272" s="128">
        <f t="shared" si="229"/>
        <v>0</v>
      </c>
      <c r="P272" s="128">
        <f t="shared" si="229"/>
        <v>-5475791.5996568967</v>
      </c>
      <c r="Q272" s="128">
        <f t="shared" si="229"/>
        <v>-1733340.7042160786</v>
      </c>
      <c r="R272" s="128">
        <f t="shared" si="229"/>
        <v>0</v>
      </c>
      <c r="S272" s="128">
        <f t="shared" si="229"/>
        <v>-3752191.0686586727</v>
      </c>
      <c r="T272" s="128">
        <f t="shared" si="229"/>
        <v>0</v>
      </c>
      <c r="U272" s="128">
        <f t="shared" si="229"/>
        <v>0</v>
      </c>
      <c r="V272" s="128">
        <f t="shared" si="229"/>
        <v>-5490403.1919287154</v>
      </c>
      <c r="W272" s="128">
        <f t="shared" si="229"/>
        <v>0</v>
      </c>
      <c r="X272" s="128">
        <f t="shared" si="229"/>
        <v>0</v>
      </c>
      <c r="Y272" s="128">
        <f t="shared" si="229"/>
        <v>-5490402.5709331818</v>
      </c>
      <c r="Z272" s="128">
        <f t="shared" si="229"/>
        <v>0</v>
      </c>
      <c r="AA272" s="128">
        <f t="shared" si="229"/>
        <v>0</v>
      </c>
      <c r="AB272" s="128">
        <f t="shared" si="229"/>
        <v>-6603624.5632579979</v>
      </c>
      <c r="AC272" s="128">
        <f t="shared" si="229"/>
        <v>-2112430.3349739076</v>
      </c>
      <c r="AD272" s="128">
        <f t="shared" si="229"/>
        <v>0</v>
      </c>
      <c r="AE272" s="128">
        <f t="shared" si="229"/>
        <v>-4491194.2282840898</v>
      </c>
      <c r="AF272" s="128">
        <f t="shared" si="229"/>
        <v>0</v>
      </c>
      <c r="AG272" s="128">
        <f t="shared" si="229"/>
        <v>0</v>
      </c>
      <c r="AH272" s="128">
        <f t="shared" si="229"/>
        <v>-6603624.5632579979</v>
      </c>
      <c r="AI272" s="128">
        <f t="shared" si="229"/>
        <v>0</v>
      </c>
      <c r="AJ272" s="128">
        <f t="shared" si="229"/>
        <v>0</v>
      </c>
      <c r="AK272" s="128">
        <f t="shared" si="229"/>
        <v>-6603624.5632579979</v>
      </c>
    </row>
    <row r="273" spans="1:37" s="134" customFormat="1" x14ac:dyDescent="0.15">
      <c r="A273" s="133" t="s">
        <v>95</v>
      </c>
      <c r="B273" s="133"/>
      <c r="E273" s="133">
        <f t="shared" si="216"/>
        <v>0</v>
      </c>
      <c r="H273" s="128">
        <f t="shared" ref="H273:AK273" si="230">+H214</f>
        <v>0</v>
      </c>
      <c r="I273" s="128">
        <f t="shared" si="230"/>
        <v>0</v>
      </c>
      <c r="J273" s="128">
        <f t="shared" si="230"/>
        <v>171201.85926049302</v>
      </c>
      <c r="K273" s="128">
        <f t="shared" si="230"/>
        <v>0</v>
      </c>
      <c r="L273" s="128">
        <f t="shared" si="230"/>
        <v>0</v>
      </c>
      <c r="M273" s="128">
        <f t="shared" si="230"/>
        <v>171201.85926049302</v>
      </c>
      <c r="N273" s="128">
        <f t="shared" si="230"/>
        <v>0</v>
      </c>
      <c r="O273" s="128">
        <f t="shared" si="230"/>
        <v>0</v>
      </c>
      <c r="P273" s="128">
        <f t="shared" si="230"/>
        <v>171201.85926049302</v>
      </c>
      <c r="Q273" s="128">
        <f t="shared" si="230"/>
        <v>54148.010381967593</v>
      </c>
      <c r="R273" s="128">
        <f t="shared" si="230"/>
        <v>0</v>
      </c>
      <c r="S273" s="128">
        <f t="shared" si="230"/>
        <v>98322.344103930736</v>
      </c>
      <c r="T273" s="128">
        <f t="shared" si="230"/>
        <v>0</v>
      </c>
      <c r="U273" s="128">
        <f t="shared" si="230"/>
        <v>0</v>
      </c>
      <c r="V273" s="128">
        <f t="shared" si="230"/>
        <v>143104.60209860094</v>
      </c>
      <c r="W273" s="128">
        <f t="shared" si="230"/>
        <v>0</v>
      </c>
      <c r="X273" s="128">
        <f t="shared" si="230"/>
        <v>0</v>
      </c>
      <c r="Y273" s="128">
        <f t="shared" si="230"/>
        <v>143104.60209860094</v>
      </c>
      <c r="Z273" s="128">
        <f t="shared" si="230"/>
        <v>0</v>
      </c>
      <c r="AA273" s="128">
        <f t="shared" si="230"/>
        <v>0</v>
      </c>
      <c r="AB273" s="128">
        <f t="shared" si="230"/>
        <v>143104.60209860094</v>
      </c>
      <c r="AC273" s="128">
        <f t="shared" si="230"/>
        <v>52519.001998667562</v>
      </c>
      <c r="AD273" s="128">
        <f t="shared" si="230"/>
        <v>0</v>
      </c>
      <c r="AE273" s="128">
        <f t="shared" si="230"/>
        <v>90585.600099933377</v>
      </c>
      <c r="AF273" s="128">
        <f t="shared" si="230"/>
        <v>0</v>
      </c>
      <c r="AG273" s="128">
        <f t="shared" si="230"/>
        <v>0</v>
      </c>
      <c r="AH273" s="128">
        <f t="shared" si="230"/>
        <v>143104.60209860094</v>
      </c>
      <c r="AI273" s="128">
        <f t="shared" si="230"/>
        <v>0</v>
      </c>
      <c r="AJ273" s="128">
        <f t="shared" si="230"/>
        <v>0</v>
      </c>
      <c r="AK273" s="128">
        <f t="shared" si="230"/>
        <v>143104.60209860094</v>
      </c>
    </row>
    <row r="274" spans="1:37" x14ac:dyDescent="0.15">
      <c r="A274" s="24" t="s">
        <v>351</v>
      </c>
      <c r="B274" s="24"/>
      <c r="E274" s="24">
        <f t="shared" si="216"/>
        <v>0</v>
      </c>
      <c r="H274" s="130">
        <f t="shared" ref="H274:AK274" si="231">+H215</f>
        <v>0</v>
      </c>
      <c r="I274" s="130">
        <f t="shared" si="231"/>
        <v>0</v>
      </c>
      <c r="J274" s="130">
        <f t="shared" si="231"/>
        <v>56575.1769132892</v>
      </c>
      <c r="K274" s="130">
        <f t="shared" si="231"/>
        <v>0</v>
      </c>
      <c r="L274" s="130">
        <f t="shared" si="231"/>
        <v>0</v>
      </c>
      <c r="M274" s="130">
        <f t="shared" si="231"/>
        <v>67472.951460547891</v>
      </c>
      <c r="N274" s="130">
        <f t="shared" si="231"/>
        <v>0</v>
      </c>
      <c r="O274" s="130">
        <f t="shared" si="231"/>
        <v>0</v>
      </c>
      <c r="P274" s="130">
        <f t="shared" si="231"/>
        <v>65228.315448901885</v>
      </c>
      <c r="Q274" s="130">
        <f t="shared" si="231"/>
        <v>0</v>
      </c>
      <c r="R274" s="130">
        <f t="shared" si="231"/>
        <v>0</v>
      </c>
      <c r="S274" s="130">
        <f t="shared" si="231"/>
        <v>65228.315448901885</v>
      </c>
      <c r="T274" s="130">
        <f t="shared" si="231"/>
        <v>0</v>
      </c>
      <c r="U274" s="130">
        <f t="shared" si="231"/>
        <v>0</v>
      </c>
      <c r="V274" s="130">
        <f t="shared" si="231"/>
        <v>65228.315448901885</v>
      </c>
      <c r="W274" s="130">
        <f t="shared" si="231"/>
        <v>0</v>
      </c>
      <c r="X274" s="130">
        <f t="shared" si="231"/>
        <v>0</v>
      </c>
      <c r="Y274" s="130">
        <f t="shared" si="231"/>
        <v>65228.315448901885</v>
      </c>
      <c r="Z274" s="130">
        <f t="shared" si="231"/>
        <v>0</v>
      </c>
      <c r="AA274" s="130">
        <f t="shared" si="231"/>
        <v>0</v>
      </c>
      <c r="AB274" s="130">
        <f t="shared" si="231"/>
        <v>66444.820538110012</v>
      </c>
      <c r="AC274" s="130">
        <f t="shared" si="231"/>
        <v>0</v>
      </c>
      <c r="AD274" s="130">
        <f t="shared" si="231"/>
        <v>0</v>
      </c>
      <c r="AE274" s="130">
        <f t="shared" si="231"/>
        <v>66444.820538110012</v>
      </c>
      <c r="AF274" s="130">
        <f t="shared" si="231"/>
        <v>0</v>
      </c>
      <c r="AG274" s="130">
        <f t="shared" si="231"/>
        <v>0</v>
      </c>
      <c r="AH274" s="130">
        <f t="shared" si="231"/>
        <v>66444.820538110012</v>
      </c>
      <c r="AI274" s="130">
        <f t="shared" si="231"/>
        <v>0</v>
      </c>
      <c r="AJ274" s="130">
        <f t="shared" si="231"/>
        <v>0</v>
      </c>
      <c r="AK274" s="130">
        <f t="shared" si="231"/>
        <v>66444.820538110012</v>
      </c>
    </row>
    <row r="275" spans="1:37" x14ac:dyDescent="0.15">
      <c r="H275" s="32">
        <f t="shared" ref="H275:AK275" si="232">SUM(H224:H274)</f>
        <v>-42348.397499999897</v>
      </c>
      <c r="I275" s="32">
        <f t="shared" si="232"/>
        <v>-42348.397499999897</v>
      </c>
      <c r="J275" s="32">
        <f t="shared" si="232"/>
        <v>-33933078.093150541</v>
      </c>
      <c r="K275" s="32">
        <f t="shared" si="232"/>
        <v>-42348.301665999898</v>
      </c>
      <c r="L275" s="32">
        <f t="shared" si="232"/>
        <v>-42348.301665999898</v>
      </c>
      <c r="M275" s="32">
        <f t="shared" si="232"/>
        <v>-18488626.426705282</v>
      </c>
      <c r="N275" s="32">
        <f t="shared" si="232"/>
        <v>-42348.301665999898</v>
      </c>
      <c r="O275" s="32">
        <f t="shared" si="232"/>
        <v>-42348.301665999898</v>
      </c>
      <c r="P275" s="32">
        <f t="shared" si="232"/>
        <v>-15201879.374220777</v>
      </c>
      <c r="Q275" s="32">
        <f t="shared" si="232"/>
        <v>-474816.80736791174</v>
      </c>
      <c r="R275" s="32">
        <f t="shared" si="232"/>
        <v>-35023.207499999997</v>
      </c>
      <c r="S275" s="32">
        <f t="shared" si="232"/>
        <v>-17939082.818061881</v>
      </c>
      <c r="T275" s="32">
        <f t="shared" si="232"/>
        <v>-35023.537499999999</v>
      </c>
      <c r="U275" s="32">
        <f t="shared" si="232"/>
        <v>-35023.537499999999</v>
      </c>
      <c r="V275" s="32">
        <f t="shared" si="232"/>
        <v>-16625246.377816463</v>
      </c>
      <c r="W275" s="32">
        <f t="shared" si="232"/>
        <v>-35023.537499999999</v>
      </c>
      <c r="X275" s="32">
        <f t="shared" si="232"/>
        <v>-35023.537499999999</v>
      </c>
      <c r="Y275" s="32">
        <f t="shared" si="232"/>
        <v>-18162088.001663432</v>
      </c>
      <c r="Z275" s="32">
        <f t="shared" si="232"/>
        <v>-35023.537499999999</v>
      </c>
      <c r="AA275" s="32">
        <f t="shared" si="232"/>
        <v>-35023.537499999999</v>
      </c>
      <c r="AB275" s="32">
        <f t="shared" si="232"/>
        <v>-3492862.4524172982</v>
      </c>
      <c r="AC275" s="32">
        <f t="shared" si="232"/>
        <v>-1123560.9155886681</v>
      </c>
      <c r="AD275" s="32">
        <f t="shared" si="232"/>
        <v>526462.47201267804</v>
      </c>
      <c r="AE275" s="32">
        <f t="shared" si="232"/>
        <v>-7480495.7946854476</v>
      </c>
      <c r="AF275" s="32">
        <f t="shared" si="232"/>
        <v>-35023.537499999999</v>
      </c>
      <c r="AG275" s="32">
        <f t="shared" si="232"/>
        <v>-35023.537499999999</v>
      </c>
      <c r="AH275" s="32">
        <f t="shared" si="232"/>
        <v>-4988835.3278946485</v>
      </c>
      <c r="AI275" s="32">
        <f t="shared" si="232"/>
        <v>-35023.537499999999</v>
      </c>
      <c r="AJ275" s="32">
        <f t="shared" si="232"/>
        <v>-35023.537499999999</v>
      </c>
      <c r="AK275" s="32">
        <f t="shared" si="232"/>
        <v>-7293651.3650386371</v>
      </c>
    </row>
    <row r="276" spans="1:37" x14ac:dyDescent="0.15">
      <c r="H276" s="32">
        <f t="shared" ref="H276:AK276" si="233">+H275-H218</f>
        <v>0</v>
      </c>
      <c r="I276" s="32">
        <f t="shared" si="233"/>
        <v>0</v>
      </c>
      <c r="J276" s="32">
        <f t="shared" si="233"/>
        <v>0</v>
      </c>
      <c r="K276" s="32">
        <f t="shared" si="233"/>
        <v>0</v>
      </c>
      <c r="L276" s="32">
        <f t="shared" si="233"/>
        <v>0</v>
      </c>
      <c r="M276" s="32">
        <f t="shared" si="233"/>
        <v>0</v>
      </c>
      <c r="N276" s="32">
        <f t="shared" si="233"/>
        <v>0</v>
      </c>
      <c r="O276" s="32">
        <f t="shared" si="233"/>
        <v>0</v>
      </c>
      <c r="P276" s="32">
        <f t="shared" si="233"/>
        <v>0</v>
      </c>
      <c r="Q276" s="32">
        <f t="shared" si="233"/>
        <v>0</v>
      </c>
      <c r="R276" s="32">
        <f t="shared" si="233"/>
        <v>0</v>
      </c>
      <c r="S276" s="32">
        <f t="shared" si="233"/>
        <v>0</v>
      </c>
      <c r="T276" s="32">
        <f t="shared" si="233"/>
        <v>0</v>
      </c>
      <c r="U276" s="32">
        <f t="shared" si="233"/>
        <v>0</v>
      </c>
      <c r="V276" s="32">
        <f t="shared" si="233"/>
        <v>0</v>
      </c>
      <c r="W276" s="32">
        <f t="shared" si="233"/>
        <v>0</v>
      </c>
      <c r="X276" s="32">
        <f t="shared" si="233"/>
        <v>0</v>
      </c>
      <c r="Y276" s="32">
        <f t="shared" si="233"/>
        <v>0</v>
      </c>
      <c r="Z276" s="32">
        <f t="shared" si="233"/>
        <v>0</v>
      </c>
      <c r="AA276" s="32">
        <f t="shared" si="233"/>
        <v>0</v>
      </c>
      <c r="AB276" s="32">
        <f t="shared" si="233"/>
        <v>0</v>
      </c>
      <c r="AC276" s="32">
        <f t="shared" si="233"/>
        <v>0</v>
      </c>
      <c r="AD276" s="32">
        <f t="shared" si="233"/>
        <v>0</v>
      </c>
      <c r="AE276" s="32">
        <f t="shared" si="233"/>
        <v>0</v>
      </c>
      <c r="AF276" s="32">
        <f t="shared" si="233"/>
        <v>0</v>
      </c>
      <c r="AG276" s="32">
        <f t="shared" si="233"/>
        <v>0</v>
      </c>
      <c r="AH276" s="32">
        <f t="shared" si="233"/>
        <v>0</v>
      </c>
      <c r="AI276" s="32">
        <f t="shared" si="233"/>
        <v>0</v>
      </c>
      <c r="AJ276" s="32">
        <f t="shared" si="233"/>
        <v>0</v>
      </c>
      <c r="AK276" s="32">
        <f t="shared" si="233"/>
        <v>0</v>
      </c>
    </row>
    <row r="277" spans="1:37" x14ac:dyDescent="0.15">
      <c r="H277" s="32"/>
    </row>
    <row r="278" spans="1:37" x14ac:dyDescent="0.15"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</row>
  </sheetData>
  <pageMargins left="0.75" right="0.75" top="1" bottom="1" header="0.5" footer="0.5"/>
  <pageSetup scale="67" fitToWidth="14" orientation="portrait" r:id="rId1"/>
  <rowBreaks count="2" manualBreakCount="2">
    <brk id="110" min="6" max="52" man="1"/>
    <brk id="197" min="6" max="52" man="1"/>
  </rowBreaks>
  <colBreaks count="3" manualBreakCount="3">
    <brk id="16" min="3" max="109" man="1"/>
    <brk id="26" min="3" max="109" man="1"/>
    <brk id="38" min="3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zoomScale="90" zoomScaleNormal="90" workbookViewId="0">
      <pane xSplit="2" ySplit="4" topLeftCell="C5" activePane="bottomRight" state="frozen"/>
      <selection activeCell="H116" sqref="H116"/>
      <selection pane="topRight" activeCell="H116" sqref="H116"/>
      <selection pane="bottomLeft" activeCell="H116" sqref="H116"/>
      <selection pane="bottomRight" activeCell="A2" sqref="A2:A3"/>
    </sheetView>
  </sheetViews>
  <sheetFormatPr defaultColWidth="9.109375" defaultRowHeight="14.4" x14ac:dyDescent="0.3"/>
  <cols>
    <col min="1" max="1" width="1.88671875" style="7" customWidth="1"/>
    <col min="2" max="2" width="40.6640625" style="5" customWidth="1"/>
    <col min="3" max="5" width="16.44140625" style="6" customWidth="1"/>
    <col min="6" max="16384" width="9.109375" style="6"/>
  </cols>
  <sheetData>
    <row r="1" spans="1:5" x14ac:dyDescent="0.3">
      <c r="A1" s="4" t="str">
        <f>+'UIGET-KU'!B4</f>
        <v>Kentucky Utilities</v>
      </c>
    </row>
    <row r="4" spans="1:5" ht="16.2" x14ac:dyDescent="0.45">
      <c r="C4" s="8" t="s">
        <v>103</v>
      </c>
      <c r="D4" s="8" t="s">
        <v>104</v>
      </c>
      <c r="E4" s="8" t="s">
        <v>105</v>
      </c>
    </row>
    <row r="5" spans="1:5" s="11" customFormat="1" x14ac:dyDescent="0.3">
      <c r="A5" s="4" t="s">
        <v>106</v>
      </c>
      <c r="B5" s="9"/>
      <c r="C5" s="10">
        <f>+'UIGET-KU'!D7</f>
        <v>342507.88710479374</v>
      </c>
      <c r="D5" s="10">
        <f>+'UIGET-KU'!E7</f>
        <v>278838.40033695684</v>
      </c>
      <c r="E5" s="10">
        <f>+'UIGET-KU'!F7</f>
        <v>243757.83661467937</v>
      </c>
    </row>
    <row r="6" spans="1:5" x14ac:dyDescent="0.3">
      <c r="A6" s="7" t="s">
        <v>107</v>
      </c>
      <c r="C6" s="12"/>
      <c r="D6" s="12"/>
      <c r="E6" s="12"/>
    </row>
    <row r="7" spans="1:5" s="5" customFormat="1" x14ac:dyDescent="0.3">
      <c r="A7" s="7"/>
      <c r="B7" s="5" t="s">
        <v>108</v>
      </c>
      <c r="C7" s="12">
        <f>+'UIGET-KU'!D27</f>
        <v>500</v>
      </c>
      <c r="D7" s="12">
        <f>+'UIGET-KU'!E27</f>
        <v>500</v>
      </c>
      <c r="E7" s="12">
        <f>+'UIGET-KU'!F27</f>
        <v>500</v>
      </c>
    </row>
    <row r="8" spans="1:5" s="5" customFormat="1" x14ac:dyDescent="0.3">
      <c r="A8" s="7"/>
      <c r="B8" s="5" t="s">
        <v>109</v>
      </c>
      <c r="C8" s="13">
        <f>+'UIGET-KU'!D28</f>
        <v>-161</v>
      </c>
      <c r="D8" s="13">
        <f>+'UIGET-KU'!E28</f>
        <v>-161</v>
      </c>
      <c r="E8" s="13">
        <f>+'UIGET-KU'!F28</f>
        <v>-161</v>
      </c>
    </row>
    <row r="9" spans="1:5" s="5" customFormat="1" x14ac:dyDescent="0.3">
      <c r="A9" s="7"/>
      <c r="B9" s="5" t="s">
        <v>110</v>
      </c>
      <c r="C9" s="13">
        <f>+'UIGET-KU'!D29</f>
        <v>795.27263999999991</v>
      </c>
      <c r="D9" s="13">
        <f>+'UIGET-KU'!E29</f>
        <v>830.52300000000002</v>
      </c>
      <c r="E9" s="13">
        <f>+'UIGET-KU'!F29</f>
        <v>844.10400000000004</v>
      </c>
    </row>
    <row r="10" spans="1:5" s="5" customFormat="1" x14ac:dyDescent="0.3">
      <c r="A10" s="7"/>
      <c r="B10" s="5" t="s">
        <v>111</v>
      </c>
      <c r="C10" s="13">
        <f>+'UIGET-KU'!D30</f>
        <v>-1631.4708700000001</v>
      </c>
      <c r="D10" s="13">
        <f>+'UIGET-KU'!E30</f>
        <v>-1714.0559999999998</v>
      </c>
      <c r="E10" s="13">
        <f>+'UIGET-KU'!F30</f>
        <v>-1748.3279999999997</v>
      </c>
    </row>
    <row r="11" spans="1:5" s="5" customFormat="1" x14ac:dyDescent="0.3">
      <c r="A11" s="7"/>
      <c r="B11" s="5" t="s">
        <v>112</v>
      </c>
      <c r="C11" s="13">
        <v>0</v>
      </c>
      <c r="D11" s="13">
        <v>0</v>
      </c>
      <c r="E11" s="13">
        <v>0</v>
      </c>
    </row>
    <row r="12" spans="1:5" s="15" customFormat="1" x14ac:dyDescent="0.3">
      <c r="A12" s="7"/>
      <c r="B12" s="5" t="s">
        <v>113</v>
      </c>
      <c r="C12" s="14">
        <f>+'UIGET-KU'!D8</f>
        <v>0</v>
      </c>
      <c r="D12" s="14">
        <f>+'UIGET-KU'!E8</f>
        <v>0</v>
      </c>
      <c r="E12" s="14">
        <f>+'UIGET-KU'!F8</f>
        <v>0</v>
      </c>
    </row>
    <row r="13" spans="1:5" s="11" customFormat="1" x14ac:dyDescent="0.3">
      <c r="A13" s="4" t="s">
        <v>114</v>
      </c>
      <c r="B13" s="9"/>
      <c r="C13" s="10">
        <f>SUM(C7:C12)</f>
        <v>-497.19823000000019</v>
      </c>
      <c r="D13" s="10">
        <f>SUM(D7:D12)</f>
        <v>-544.53299999999967</v>
      </c>
      <c r="E13" s="10">
        <f>SUM(E7:E12)</f>
        <v>-565.22399999999971</v>
      </c>
    </row>
    <row r="14" spans="1:5" x14ac:dyDescent="0.3">
      <c r="A14" s="7" t="s">
        <v>115</v>
      </c>
      <c r="C14" s="12"/>
      <c r="D14" s="12"/>
      <c r="E14" s="12"/>
    </row>
    <row r="15" spans="1:5" s="15" customFormat="1" x14ac:dyDescent="0.3">
      <c r="A15" s="7"/>
      <c r="B15" s="5" t="s">
        <v>116</v>
      </c>
      <c r="C15" s="14">
        <f>+'UIGET-KU'!D35+'UIGET-KU'!D36</f>
        <v>482.81365889605092</v>
      </c>
      <c r="D15" s="14">
        <f>+'UIGET-KU'!E35+'UIGET-KU'!E36</f>
        <v>784.83127445933235</v>
      </c>
      <c r="E15" s="14">
        <f>+'UIGET-KU'!F35+'UIGET-KU'!F36</f>
        <v>799.46834170503507</v>
      </c>
    </row>
    <row r="16" spans="1:5" s="11" customFormat="1" x14ac:dyDescent="0.3">
      <c r="A16" s="4" t="s">
        <v>117</v>
      </c>
      <c r="B16" s="9"/>
      <c r="C16" s="10">
        <f>SUM(C15)</f>
        <v>482.81365889605092</v>
      </c>
      <c r="D16" s="10">
        <f>SUM(D15)</f>
        <v>784.83127445933235</v>
      </c>
      <c r="E16" s="10">
        <f>SUM(E15)</f>
        <v>799.46834170503507</v>
      </c>
    </row>
    <row r="17" spans="1:5" x14ac:dyDescent="0.3">
      <c r="A17" s="7" t="s">
        <v>118</v>
      </c>
      <c r="C17" s="12"/>
      <c r="D17" s="12"/>
      <c r="E17" s="12"/>
    </row>
    <row r="18" spans="1:5" x14ac:dyDescent="0.3">
      <c r="B18" s="5" t="s">
        <v>51</v>
      </c>
      <c r="C18" s="12">
        <f>'UIGET-KU'!H100</f>
        <v>8910.4179690854435</v>
      </c>
      <c r="D18" s="12">
        <f>'UIGET-KU'!I100</f>
        <v>-6496.4143183143769</v>
      </c>
      <c r="E18" s="12">
        <f>'UIGET-KU'!J100</f>
        <v>-728.2156423618635</v>
      </c>
    </row>
    <row r="19" spans="1:5" x14ac:dyDescent="0.3">
      <c r="B19" s="5" t="s">
        <v>76</v>
      </c>
      <c r="C19" s="12"/>
      <c r="D19" s="12"/>
      <c r="E19" s="12"/>
    </row>
    <row r="20" spans="1:5" x14ac:dyDescent="0.3">
      <c r="B20" s="5" t="s">
        <v>119</v>
      </c>
      <c r="C20" s="12">
        <f>'UIGET-KU'!H103</f>
        <v>0</v>
      </c>
      <c r="D20" s="12">
        <f>'UIGET-KU'!I103</f>
        <v>0</v>
      </c>
      <c r="E20" s="12">
        <f>'UIGET-KU'!J103</f>
        <v>0</v>
      </c>
    </row>
    <row r="21" spans="1:5" x14ac:dyDescent="0.3">
      <c r="B21" s="5" t="s">
        <v>696</v>
      </c>
      <c r="C21" s="12">
        <f>-'UIGET-KU'!H121</f>
        <v>-4723.2744000000002</v>
      </c>
      <c r="D21" s="12">
        <f>-'UIGET-KU'!I121</f>
        <v>629.76991999999927</v>
      </c>
      <c r="E21" s="12">
        <f>-'UIGET-KU'!J121</f>
        <v>944.65488000000369</v>
      </c>
    </row>
    <row r="22" spans="1:5" x14ac:dyDescent="0.3">
      <c r="B22" s="5" t="s">
        <v>75</v>
      </c>
      <c r="C22" s="12"/>
      <c r="D22" s="12"/>
      <c r="E22" s="12"/>
    </row>
    <row r="23" spans="1:5" x14ac:dyDescent="0.3">
      <c r="B23" s="5" t="s">
        <v>120</v>
      </c>
      <c r="C23" s="12"/>
      <c r="D23" s="12"/>
      <c r="E23" s="12"/>
    </row>
    <row r="24" spans="1:5" x14ac:dyDescent="0.3">
      <c r="B24" s="5" t="s">
        <v>121</v>
      </c>
      <c r="C24" s="12"/>
      <c r="D24" s="12"/>
      <c r="E24" s="12"/>
    </row>
    <row r="25" spans="1:5" x14ac:dyDescent="0.3">
      <c r="B25" s="5" t="s">
        <v>33</v>
      </c>
      <c r="C25" s="12">
        <f>'UIGET-KU'!H98</f>
        <v>219.55164000000002</v>
      </c>
      <c r="D25" s="12">
        <f>'UIGET-KU'!I98</f>
        <v>157.6268400000001</v>
      </c>
      <c r="E25" s="12">
        <f>'UIGET-KU'!J98</f>
        <v>126.66444000000003</v>
      </c>
    </row>
    <row r="26" spans="1:5" x14ac:dyDescent="0.3">
      <c r="B26" s="5" t="s">
        <v>67</v>
      </c>
      <c r="C26" s="12"/>
      <c r="D26" s="12"/>
      <c r="E26" s="12"/>
    </row>
    <row r="27" spans="1:5" x14ac:dyDescent="0.3">
      <c r="B27" s="5" t="s">
        <v>122</v>
      </c>
      <c r="C27" s="12">
        <f>'UIGET-KU'!H96</f>
        <v>2391.4359212903219</v>
      </c>
      <c r="D27" s="12">
        <f>'UIGET-KU'!I96</f>
        <v>2391.4359645161312</v>
      </c>
      <c r="E27" s="12">
        <f>'UIGET-KU'!J96</f>
        <v>2397.9878438709711</v>
      </c>
    </row>
    <row r="28" spans="1:5" x14ac:dyDescent="0.3">
      <c r="B28" s="5" t="s">
        <v>123</v>
      </c>
      <c r="C28" s="12">
        <f>'UIGET-KU'!H116</f>
        <v>-1433.5386999999973</v>
      </c>
      <c r="D28" s="12">
        <f>'UIGET-KU'!I116</f>
        <v>-1433.3761899999809</v>
      </c>
      <c r="E28" s="12">
        <f>'UIGET-KU'!J116</f>
        <v>-1437.3032399999865</v>
      </c>
    </row>
    <row r="29" spans="1:5" x14ac:dyDescent="0.3">
      <c r="B29" s="5" t="s">
        <v>124</v>
      </c>
      <c r="C29" s="12">
        <f>'UIGET-KU'!H94</f>
        <v>1408.9277999999999</v>
      </c>
      <c r="D29" s="12">
        <f>'UIGET-KU'!I94</f>
        <v>469.65313999999995</v>
      </c>
      <c r="E29" s="12">
        <f>'UIGET-KU'!J94</f>
        <v>0</v>
      </c>
    </row>
    <row r="30" spans="1:5" x14ac:dyDescent="0.3">
      <c r="B30" s="5" t="s">
        <v>42</v>
      </c>
      <c r="C30" s="12">
        <f>'UIGET-KU'!H104</f>
        <v>4.0000000069539965E-5</v>
      </c>
      <c r="D30" s="12">
        <f>'UIGET-KU'!I104</f>
        <v>102.44004000000007</v>
      </c>
      <c r="E30" s="12">
        <f>'UIGET-KU'!J104</f>
        <v>59.756290000000007</v>
      </c>
    </row>
    <row r="31" spans="1:5" x14ac:dyDescent="0.3">
      <c r="B31" s="5" t="s">
        <v>371</v>
      </c>
      <c r="C31" s="12">
        <f>'UIGET-KU'!H107</f>
        <v>0</v>
      </c>
      <c r="D31" s="12">
        <f>'UIGET-KU'!I107</f>
        <v>0</v>
      </c>
      <c r="E31" s="12">
        <f>'UIGET-KU'!J107</f>
        <v>0</v>
      </c>
    </row>
    <row r="32" spans="1:5" x14ac:dyDescent="0.3">
      <c r="B32" s="5" t="s">
        <v>372</v>
      </c>
      <c r="C32" s="12">
        <f>'UIGET-KU'!H108</f>
        <v>0</v>
      </c>
      <c r="D32" s="12">
        <f>'UIGET-KU'!I108</f>
        <v>0</v>
      </c>
      <c r="E32" s="12">
        <f>'UIGET-KU'!J108</f>
        <v>0</v>
      </c>
    </row>
    <row r="33" spans="2:5" x14ac:dyDescent="0.3">
      <c r="B33" s="5" t="s">
        <v>699</v>
      </c>
      <c r="C33" s="12">
        <f>+'UIGET-KU'!H109</f>
        <v>0</v>
      </c>
      <c r="D33" s="12">
        <f>+'UIGET-KU'!I109</f>
        <v>-1462.7270000000001</v>
      </c>
      <c r="E33" s="12">
        <f>+'UIGET-KU'!J109</f>
        <v>626.88300000000004</v>
      </c>
    </row>
    <row r="34" spans="2:5" x14ac:dyDescent="0.3">
      <c r="B34" s="5" t="s">
        <v>412</v>
      </c>
      <c r="C34" s="12">
        <f>'UIGET-KU'!D49+'UIGET-KU'!H105+'UIGET-KU'!H120</f>
        <v>-3299.6110130822699</v>
      </c>
      <c r="D34" s="12">
        <f>'UIGET-KU'!E49+'UIGET-KU'!I105+'UIGET-KU'!I120</f>
        <v>-7488.7325586385377</v>
      </c>
      <c r="E34" s="12">
        <f>'UIGET-KU'!F49+'UIGET-KU'!J105+'UIGET-KU'!J120</f>
        <v>-10414.281473143235</v>
      </c>
    </row>
    <row r="35" spans="2:5" x14ac:dyDescent="0.3">
      <c r="B35" s="5" t="s">
        <v>125</v>
      </c>
      <c r="C35" s="12">
        <f>'UIGET-KU'!D50</f>
        <v>0</v>
      </c>
      <c r="D35" s="12">
        <f>'UIGET-KU'!E50</f>
        <v>0</v>
      </c>
      <c r="E35" s="12">
        <f>'UIGET-KU'!F50</f>
        <v>0</v>
      </c>
    </row>
    <row r="36" spans="2:5" x14ac:dyDescent="0.3">
      <c r="B36" s="5" t="s">
        <v>373</v>
      </c>
      <c r="C36" s="12">
        <f>'UIGET-KU'!D52</f>
        <v>-702.37099999999998</v>
      </c>
      <c r="D36" s="12">
        <f>'UIGET-KU'!E52</f>
        <v>-21101.628000000001</v>
      </c>
      <c r="E36" s="12">
        <f>'UIGET-KU'!F52</f>
        <v>-596.495</v>
      </c>
    </row>
    <row r="37" spans="2:5" x14ac:dyDescent="0.3">
      <c r="B37" s="5" t="s">
        <v>126</v>
      </c>
      <c r="C37" s="12">
        <f>'UIGET-KU'!H95</f>
        <v>6537.7187400000003</v>
      </c>
      <c r="D37" s="12">
        <f>'UIGET-KU'!I95</f>
        <v>0</v>
      </c>
      <c r="E37" s="12">
        <f>'UIGET-KU'!J95</f>
        <v>0</v>
      </c>
    </row>
    <row r="38" spans="2:5" x14ac:dyDescent="0.3">
      <c r="B38" s="5" t="s">
        <v>127</v>
      </c>
      <c r="C38" s="12">
        <f>+'UIGET-KU'!D56</f>
        <v>314.81933999999978</v>
      </c>
      <c r="D38" s="12">
        <f>+'UIGET-KU'!E56</f>
        <v>314.55072000000064</v>
      </c>
      <c r="E38" s="12">
        <f>+'UIGET-KU'!F56</f>
        <v>314.55072000000024</v>
      </c>
    </row>
    <row r="39" spans="2:5" x14ac:dyDescent="0.3">
      <c r="B39" s="5" t="s">
        <v>128</v>
      </c>
      <c r="C39" s="12">
        <f>+'UIGET-KU'!H114</f>
        <v>-27.891887283028222</v>
      </c>
      <c r="D39" s="12">
        <f>+'UIGET-KU'!I114</f>
        <v>12.5259127559794</v>
      </c>
      <c r="E39" s="12">
        <f>+'UIGET-KU'!J114</f>
        <v>6.2993666298575608</v>
      </c>
    </row>
    <row r="40" spans="2:5" x14ac:dyDescent="0.3">
      <c r="B40" s="5" t="s">
        <v>129</v>
      </c>
      <c r="C40" s="12">
        <f>'UIGET-KU'!H119</f>
        <v>48.960319999999683</v>
      </c>
      <c r="D40" s="12">
        <f>'UIGET-KU'!I119</f>
        <v>-156.34176000000016</v>
      </c>
      <c r="E40" s="12">
        <f>'UIGET-KU'!J119</f>
        <v>-148.26107999999999</v>
      </c>
    </row>
    <row r="41" spans="2:5" x14ac:dyDescent="0.3">
      <c r="B41" s="5" t="s">
        <v>130</v>
      </c>
      <c r="C41" s="12">
        <f>'UIGET-KU'!H118</f>
        <v>-666.31088000000182</v>
      </c>
      <c r="D41" s="12">
        <f>'UIGET-KU'!I118</f>
        <v>-779.19951443861555</v>
      </c>
      <c r="E41" s="12">
        <f>'UIGET-KU'!J118</f>
        <v>-800.46270665792326</v>
      </c>
    </row>
    <row r="42" spans="2:5" x14ac:dyDescent="0.3">
      <c r="B42" s="5" t="s">
        <v>52</v>
      </c>
      <c r="C42" s="12">
        <f>'UIGET-KU'!H113</f>
        <v>-81.950886339156568</v>
      </c>
      <c r="D42" s="12">
        <f>'UIGET-KU'!I113</f>
        <v>-584.73188390538053</v>
      </c>
      <c r="E42" s="12">
        <f>'UIGET-KU'!J113</f>
        <v>507.18802002296798</v>
      </c>
    </row>
    <row r="43" spans="2:5" x14ac:dyDescent="0.3">
      <c r="B43" s="5" t="s">
        <v>46</v>
      </c>
      <c r="C43" s="12">
        <f>'UIGET-KU'!H115</f>
        <v>1524.9509800000005</v>
      </c>
      <c r="D43" s="12">
        <f>'UIGET-KU'!I115</f>
        <v>-1041.9939000000002</v>
      </c>
      <c r="E43" s="12">
        <f>'UIGET-KU'!J115</f>
        <v>0</v>
      </c>
    </row>
    <row r="44" spans="2:5" x14ac:dyDescent="0.3">
      <c r="B44" s="5" t="s">
        <v>131</v>
      </c>
      <c r="C44" s="12">
        <f>+'UIGET-KU'!D62</f>
        <v>847.0569999999999</v>
      </c>
      <c r="D44" s="12">
        <f>+'UIGET-KU'!E62</f>
        <v>576.67999999999597</v>
      </c>
      <c r="E44" s="12">
        <f>+'UIGET-KU'!F62</f>
        <v>550.55000000000041</v>
      </c>
    </row>
    <row r="45" spans="2:5" x14ac:dyDescent="0.3">
      <c r="B45" s="5" t="s">
        <v>132</v>
      </c>
      <c r="C45" s="12">
        <f>+'UIGET-KU'!D63</f>
        <v>-5384.23</v>
      </c>
      <c r="D45" s="12">
        <f>+'UIGET-KU'!E63</f>
        <v>-5159.0649999999996</v>
      </c>
      <c r="E45" s="12">
        <f>+'UIGET-KU'!F63</f>
        <v>-5251.1080000000002</v>
      </c>
    </row>
    <row r="46" spans="2:5" x14ac:dyDescent="0.3">
      <c r="B46" s="5" t="s">
        <v>374</v>
      </c>
      <c r="C46" s="12">
        <f>'UIGET-KU'!D55</f>
        <v>0</v>
      </c>
      <c r="D46" s="12">
        <f>'UIGET-KU'!E55</f>
        <v>0</v>
      </c>
      <c r="E46" s="12">
        <f>'UIGET-KU'!F55</f>
        <v>0</v>
      </c>
    </row>
    <row r="47" spans="2:5" x14ac:dyDescent="0.3">
      <c r="B47" s="5" t="s">
        <v>35</v>
      </c>
      <c r="C47" s="12">
        <f>'UIGET-KU'!H106</f>
        <v>381.14253999999892</v>
      </c>
      <c r="D47" s="12">
        <f>'UIGET-KU'!I106</f>
        <v>540.9060460093915</v>
      </c>
      <c r="E47" s="12">
        <f>'UIGET-KU'!J106</f>
        <v>328.82586995337806</v>
      </c>
    </row>
    <row r="48" spans="2:5" x14ac:dyDescent="0.3">
      <c r="B48" s="5" t="s">
        <v>62</v>
      </c>
      <c r="C48" s="12">
        <f>'UIGET-KU'!H97+'UIGET-KU'!H112</f>
        <v>0</v>
      </c>
      <c r="D48" s="12">
        <f>'UIGET-KU'!I97+'UIGET-KU'!I112</f>
        <v>0</v>
      </c>
      <c r="E48" s="12">
        <f>'UIGET-KU'!J97+'UIGET-KU'!J112</f>
        <v>0</v>
      </c>
    </row>
    <row r="49" spans="1:5" x14ac:dyDescent="0.3">
      <c r="B49" s="5" t="s">
        <v>133</v>
      </c>
      <c r="C49" s="12">
        <f>+'UIGET-KU'!D60</f>
        <v>-145.96876326150777</v>
      </c>
      <c r="D49" s="12">
        <f>+'UIGET-KU'!E60</f>
        <v>-2090.8516875532869</v>
      </c>
      <c r="E49" s="12">
        <f>+'UIGET-KU'!F60</f>
        <v>-2892.6266016499958</v>
      </c>
    </row>
    <row r="50" spans="1:5" x14ac:dyDescent="0.3">
      <c r="B50" s="5" t="s">
        <v>134</v>
      </c>
      <c r="C50" s="12">
        <f>'UIGET-KU'!D61</f>
        <v>0</v>
      </c>
      <c r="D50" s="12">
        <f>'UIGET-KU'!E61</f>
        <v>0</v>
      </c>
      <c r="E50" s="12">
        <f>'UIGET-KU'!F61</f>
        <v>0</v>
      </c>
    </row>
    <row r="51" spans="1:5" x14ac:dyDescent="0.3">
      <c r="B51" s="5" t="s">
        <v>135</v>
      </c>
      <c r="C51" s="12">
        <f>'UIGET-KU'!H117</f>
        <v>-969.00002000000006</v>
      </c>
      <c r="D51" s="12">
        <f>'UIGET-KU'!I117</f>
        <v>59.125012499999734</v>
      </c>
      <c r="E51" s="12">
        <f>'UIGET-KU'!J117</f>
        <v>53.875007499999903</v>
      </c>
    </row>
    <row r="52" spans="1:5" x14ac:dyDescent="0.3">
      <c r="B52" s="5" t="s">
        <v>65</v>
      </c>
      <c r="C52" s="12">
        <f>'UIGET-KU'!H102</f>
        <v>-1357.3271292690679</v>
      </c>
      <c r="D52" s="12">
        <f>'UIGET-KU'!I102+'UIGET-KU'!I120</f>
        <v>857.66915186353526</v>
      </c>
      <c r="E52" s="12">
        <f>'UIGET-KU'!J102+'UIGET-KU'!J120</f>
        <v>1547.4260560309413</v>
      </c>
    </row>
    <row r="53" spans="1:5" x14ac:dyDescent="0.3">
      <c r="B53" s="5" t="s">
        <v>375</v>
      </c>
      <c r="C53" s="12">
        <f>'UIGET-KU'!H110+'UIGET-KU'!H111</f>
        <v>8052.2598237743987</v>
      </c>
      <c r="D53" s="12">
        <f>'UIGET-KU'!I110+'UIGET-KU'!I111</f>
        <v>-6776.6989506850805</v>
      </c>
      <c r="E53" s="12">
        <f>'UIGET-KU'!J110+'UIGET-KU'!J111</f>
        <v>0</v>
      </c>
    </row>
    <row r="54" spans="1:5" s="15" customFormat="1" x14ac:dyDescent="0.3">
      <c r="A54" s="7"/>
      <c r="B54" s="5" t="s">
        <v>34</v>
      </c>
      <c r="C54" s="14">
        <f>'UIGET-KU'!H99</f>
        <v>5723.675759999991</v>
      </c>
      <c r="D54" s="14">
        <f>'UIGET-KU'!I99</f>
        <v>4109.3059199999971</v>
      </c>
      <c r="E54" s="14">
        <f>'UIGET-KU'!J99</f>
        <v>3302.1209999999992</v>
      </c>
    </row>
    <row r="55" spans="1:5" s="11" customFormat="1" x14ac:dyDescent="0.3">
      <c r="A55" s="4" t="s">
        <v>136</v>
      </c>
      <c r="B55" s="9"/>
      <c r="C55" s="10">
        <f>SUM(C18:C54)</f>
        <v>17569.443194915126</v>
      </c>
      <c r="D55" s="10">
        <f>SUM(D18:D54)</f>
        <v>-44350.072095890238</v>
      </c>
      <c r="E55" s="10">
        <f>SUM(E18:E54)</f>
        <v>-11501.971249804885</v>
      </c>
    </row>
    <row r="56" spans="1:5" x14ac:dyDescent="0.3">
      <c r="A56" s="7" t="s">
        <v>137</v>
      </c>
      <c r="C56" s="12"/>
      <c r="D56" s="12"/>
      <c r="E56" s="12"/>
    </row>
    <row r="57" spans="1:5" x14ac:dyDescent="0.3">
      <c r="B57" s="5" t="s">
        <v>70</v>
      </c>
      <c r="C57" s="12">
        <f>+'UIGET-KU'!D66</f>
        <v>-30000</v>
      </c>
      <c r="D57" s="12">
        <f>+'UIGET-KU'!E66</f>
        <v>-30000</v>
      </c>
      <c r="E57" s="12">
        <f>+'UIGET-KU'!F66</f>
        <v>-30000</v>
      </c>
    </row>
    <row r="58" spans="1:5" x14ac:dyDescent="0.3">
      <c r="B58" s="5" t="s">
        <v>138</v>
      </c>
      <c r="C58" s="12">
        <f>'UIGET-KU'!D47</f>
        <v>-46244.270299999996</v>
      </c>
      <c r="D58" s="12">
        <f>'UIGET-KU'!E47</f>
        <v>-49340.59792</v>
      </c>
      <c r="E58" s="12">
        <f>'UIGET-KU'!F47</f>
        <v>-50460.309849999991</v>
      </c>
    </row>
    <row r="59" spans="1:5" x14ac:dyDescent="0.3">
      <c r="B59" s="5" t="s">
        <v>139</v>
      </c>
      <c r="C59" s="12">
        <f>'UIGET-KU'!D48</f>
        <v>5423.5624026972546</v>
      </c>
      <c r="D59" s="12">
        <f>'UIGET-KU'!E48</f>
        <v>9778.2731723788347</v>
      </c>
      <c r="E59" s="12">
        <f>'UIGET-KU'!F48</f>
        <v>11332.400361769614</v>
      </c>
    </row>
    <row r="60" spans="1:5" x14ac:dyDescent="0.3">
      <c r="B60" s="5" t="s">
        <v>37</v>
      </c>
      <c r="C60" s="12">
        <f>-'UIGET-KU'!D124+'UIGET-KU'!D15</f>
        <v>-96969.853929999983</v>
      </c>
      <c r="D60" s="12">
        <f>-'UIGET-KU'!E124+'UIGET-KU'!E15</f>
        <v>-125243.30830400001</v>
      </c>
      <c r="E60" s="12">
        <f>-'UIGET-KU'!F124+'UIGET-KU'!F15</f>
        <v>5934.3310000000001</v>
      </c>
    </row>
    <row r="61" spans="1:5" x14ac:dyDescent="0.3">
      <c r="B61" s="5" t="s">
        <v>140</v>
      </c>
      <c r="C61" s="12">
        <f>+'UIGET-KU'!D54</f>
        <v>-225.9544601394019</v>
      </c>
      <c r="D61" s="12">
        <f>+'UIGET-KU'!E54</f>
        <v>-9.3343283877896521</v>
      </c>
      <c r="E61" s="12">
        <f>+'UIGET-KU'!F54</f>
        <v>-0.32716480379248253</v>
      </c>
    </row>
    <row r="62" spans="1:5" x14ac:dyDescent="0.3">
      <c r="B62" s="5" t="s">
        <v>38</v>
      </c>
      <c r="C62" s="12">
        <f>+'UIGET-KU'!D58+'UIGET-KU'!D51</f>
        <v>274932.39261278772</v>
      </c>
      <c r="D62" s="12">
        <f>+'UIGET-KU'!E58+'UIGET-KU'!E51</f>
        <v>331168.90182683943</v>
      </c>
      <c r="E62" s="12">
        <f>+'UIGET-KU'!F58+'UIGET-KU'!F51</f>
        <v>368201.50932923902</v>
      </c>
    </row>
    <row r="63" spans="1:5" x14ac:dyDescent="0.3">
      <c r="B63" s="5" t="s">
        <v>141</v>
      </c>
      <c r="C63" s="12">
        <v>0</v>
      </c>
      <c r="D63" s="12">
        <v>0</v>
      </c>
      <c r="E63" s="12">
        <v>0</v>
      </c>
    </row>
    <row r="64" spans="1:5" x14ac:dyDescent="0.3">
      <c r="B64" s="5" t="s">
        <v>41</v>
      </c>
      <c r="C64" s="12">
        <f>+'UIGET-KU'!D53</f>
        <v>6000</v>
      </c>
      <c r="D64" s="12">
        <f>+'UIGET-KU'!E53</f>
        <v>6000</v>
      </c>
      <c r="E64" s="12">
        <f>+'UIGET-KU'!F53</f>
        <v>6000</v>
      </c>
    </row>
    <row r="65" spans="1:5" x14ac:dyDescent="0.3">
      <c r="B65" s="5" t="s">
        <v>44</v>
      </c>
      <c r="C65" s="12">
        <f>+'UIGET-KU'!D59</f>
        <v>-27781.328000000005</v>
      </c>
      <c r="D65" s="12">
        <f>+'UIGET-KU'!E59</f>
        <v>-43567.805530000012</v>
      </c>
      <c r="E65" s="12">
        <f>+'UIGET-KU'!F59</f>
        <v>-21034.139800000001</v>
      </c>
    </row>
    <row r="66" spans="1:5" x14ac:dyDescent="0.3">
      <c r="B66" s="5" t="s">
        <v>59</v>
      </c>
      <c r="C66" s="12">
        <f>+'UIGET-KU'!D67</f>
        <v>9841.1870180921633</v>
      </c>
      <c r="D66" s="12">
        <f>+'UIGET-KU'!E67</f>
        <v>10549.319426052431</v>
      </c>
      <c r="E66" s="12">
        <f>+'UIGET-KU'!F67</f>
        <v>6363.9707090020856</v>
      </c>
    </row>
    <row r="67" spans="1:5" s="15" customFormat="1" x14ac:dyDescent="0.3">
      <c r="A67" s="7"/>
      <c r="B67" s="5" t="s">
        <v>68</v>
      </c>
      <c r="C67" s="14">
        <f>-'UIGET-KU'!D125</f>
        <v>-293943.1343374055</v>
      </c>
      <c r="D67" s="14">
        <f>-'UIGET-KU'!E125</f>
        <v>-315968.99251753167</v>
      </c>
      <c r="E67" s="14">
        <f>-'UIGET-KU'!F125</f>
        <v>-333969.64003577083</v>
      </c>
    </row>
    <row r="68" spans="1:5" s="11" customFormat="1" x14ac:dyDescent="0.3">
      <c r="A68" s="4" t="s">
        <v>142</v>
      </c>
      <c r="B68" s="9"/>
      <c r="C68" s="10">
        <f>SUM(C57:C67)</f>
        <v>-198967.39899396777</v>
      </c>
      <c r="D68" s="10">
        <f>SUM(D57:D67)</f>
        <v>-206633.54417464876</v>
      </c>
      <c r="E68" s="10">
        <f>SUM(E57:E67)</f>
        <v>-37632.205450563866</v>
      </c>
    </row>
    <row r="69" spans="1:5" s="11" customFormat="1" x14ac:dyDescent="0.3">
      <c r="A69" s="4"/>
      <c r="B69" s="9"/>
      <c r="C69" s="10"/>
      <c r="D69" s="10"/>
      <c r="E69" s="10"/>
    </row>
    <row r="70" spans="1:5" s="11" customFormat="1" x14ac:dyDescent="0.3">
      <c r="A70" s="4" t="s">
        <v>143</v>
      </c>
      <c r="B70" s="9"/>
      <c r="C70" s="10">
        <f>SUM(C5,C13,C16,C55,C68)</f>
        <v>161095.5467346372</v>
      </c>
      <c r="D70" s="10">
        <f>SUM(D5,D13,D16,D55,D68)</f>
        <v>28095.082340877154</v>
      </c>
      <c r="E70" s="10">
        <f>SUM(E5,E13,E16,E55,E68)</f>
        <v>194857.90425601567</v>
      </c>
    </row>
    <row r="71" spans="1:5" s="15" customFormat="1" x14ac:dyDescent="0.3">
      <c r="A71" s="7" t="s">
        <v>144</v>
      </c>
      <c r="B71" s="5"/>
      <c r="C71" s="14">
        <f>-C95</f>
        <v>-4322.1304125803217</v>
      </c>
      <c r="D71" s="14">
        <f>-D95</f>
        <v>611.88105073827603</v>
      </c>
      <c r="E71" s="14">
        <f>-E95</f>
        <v>-1803.8326103939821</v>
      </c>
    </row>
    <row r="72" spans="1:5" s="11" customFormat="1" x14ac:dyDescent="0.3">
      <c r="A72" s="4" t="s">
        <v>145</v>
      </c>
      <c r="B72" s="9"/>
      <c r="C72" s="10">
        <f>SUM(C70:C71)</f>
        <v>156773.41632205687</v>
      </c>
      <c r="D72" s="10">
        <f>SUM(D70:D71)</f>
        <v>28706.963391615431</v>
      </c>
      <c r="E72" s="10">
        <f>SUM(E70:E71)</f>
        <v>193054.07164562168</v>
      </c>
    </row>
    <row r="73" spans="1:5" s="16" customFormat="1" x14ac:dyDescent="0.3">
      <c r="A73" s="4"/>
      <c r="B73" s="5" t="s">
        <v>146</v>
      </c>
      <c r="C73" s="14">
        <f>+'UIGET-KU'!D9+'UIGET-KU'!D10</f>
        <v>-73410.399000000005</v>
      </c>
      <c r="D73" s="14">
        <f>+'UIGET-KU'!E9+'UIGET-KU'!E10</f>
        <v>0</v>
      </c>
      <c r="E73" s="14">
        <f>+'UIGET-KU'!F9+'UIGET-KU'!F10</f>
        <v>0</v>
      </c>
    </row>
    <row r="74" spans="1:5" s="11" customFormat="1" x14ac:dyDescent="0.3">
      <c r="A74" s="4" t="s">
        <v>147</v>
      </c>
      <c r="B74" s="9"/>
      <c r="C74" s="10">
        <f>SUM(C72:C73)</f>
        <v>83363.017322056869</v>
      </c>
      <c r="D74" s="10">
        <f>SUM(D72:D73)</f>
        <v>28706.963391615431</v>
      </c>
      <c r="E74" s="10">
        <f>SUM(E72:E73)</f>
        <v>193054.07164562168</v>
      </c>
    </row>
    <row r="75" spans="1:5" s="15" customFormat="1" x14ac:dyDescent="0.3">
      <c r="A75" s="7" t="s">
        <v>148</v>
      </c>
      <c r="B75" s="5"/>
      <c r="C75" s="17">
        <v>0.21</v>
      </c>
      <c r="D75" s="17">
        <v>0.21</v>
      </c>
      <c r="E75" s="17">
        <v>0.21</v>
      </c>
    </row>
    <row r="76" spans="1:5" s="11" customFormat="1" x14ac:dyDescent="0.3">
      <c r="A76" s="4" t="s">
        <v>155</v>
      </c>
      <c r="B76" s="9"/>
      <c r="C76" s="10">
        <f>+C74*C75</f>
        <v>17506.233637631944</v>
      </c>
      <c r="D76" s="10">
        <f>+D74*D75</f>
        <v>6028.4623122392404</v>
      </c>
      <c r="E76" s="10">
        <f>+E74*E75</f>
        <v>40541.355045580553</v>
      </c>
    </row>
    <row r="77" spans="1:5" x14ac:dyDescent="0.3">
      <c r="A77" s="7" t="s">
        <v>376</v>
      </c>
      <c r="C77" s="12">
        <f>-'UIGET-KU'!D11</f>
        <v>-4612</v>
      </c>
      <c r="D77" s="12">
        <f>-'UIGET-KU'!E11</f>
        <v>0</v>
      </c>
      <c r="E77" s="12">
        <f>-'UIGET-KU'!F11</f>
        <v>0</v>
      </c>
    </row>
    <row r="78" spans="1:5" x14ac:dyDescent="0.3">
      <c r="A78" s="7" t="s">
        <v>377</v>
      </c>
      <c r="C78" s="14">
        <f>'UIGET-KU'!D12</f>
        <v>-1216.414</v>
      </c>
      <c r="D78" s="14">
        <f>'UIGET-KU'!E12</f>
        <v>-265</v>
      </c>
      <c r="E78" s="14">
        <f>'UIGET-KU'!F12</f>
        <v>-265</v>
      </c>
    </row>
    <row r="79" spans="1:5" x14ac:dyDescent="0.3">
      <c r="A79" s="4" t="s">
        <v>149</v>
      </c>
      <c r="C79" s="10">
        <f>SUM(C76:C78)</f>
        <v>11677.819637631943</v>
      </c>
      <c r="D79" s="10">
        <f>SUM(D76:D78)</f>
        <v>5763.4623122392404</v>
      </c>
      <c r="E79" s="10">
        <f>SUM(E76:E78)</f>
        <v>40276.355045580553</v>
      </c>
    </row>
    <row r="80" spans="1:5" x14ac:dyDescent="0.3">
      <c r="C80" s="12"/>
      <c r="D80" s="12"/>
      <c r="E80" s="12"/>
    </row>
    <row r="81" spans="1:5" s="11" customFormat="1" x14ac:dyDescent="0.3">
      <c r="A81" s="4" t="s">
        <v>145</v>
      </c>
      <c r="B81" s="9"/>
      <c r="C81" s="10">
        <f>+C70</f>
        <v>161095.5467346372</v>
      </c>
      <c r="D81" s="10">
        <f>+D70</f>
        <v>28095.082340877154</v>
      </c>
      <c r="E81" s="10">
        <f>+E70</f>
        <v>194857.90425601567</v>
      </c>
    </row>
    <row r="82" spans="1:5" x14ac:dyDescent="0.3">
      <c r="A82" s="7" t="s">
        <v>150</v>
      </c>
      <c r="C82" s="12"/>
      <c r="D82" s="12"/>
      <c r="E82" s="12"/>
    </row>
    <row r="83" spans="1:5" x14ac:dyDescent="0.3">
      <c r="B83" s="5" t="s">
        <v>113</v>
      </c>
      <c r="C83" s="12">
        <f>-C12</f>
        <v>0</v>
      </c>
      <c r="D83" s="12">
        <f>-D12</f>
        <v>0</v>
      </c>
      <c r="E83" s="12">
        <f>-E12</f>
        <v>0</v>
      </c>
    </row>
    <row r="84" spans="1:5" x14ac:dyDescent="0.3">
      <c r="B84" s="5" t="s">
        <v>151</v>
      </c>
      <c r="C84" s="12">
        <f>+'UIGET-KU'!D132</f>
        <v>0</v>
      </c>
      <c r="D84" s="12">
        <f>+'UIGET-KU'!E132</f>
        <v>0</v>
      </c>
      <c r="E84" s="12">
        <f>+'UIGET-KU'!F132</f>
        <v>0</v>
      </c>
    </row>
    <row r="85" spans="1:5" x14ac:dyDescent="0.3">
      <c r="B85" s="5" t="s">
        <v>37</v>
      </c>
      <c r="C85" s="12">
        <f>-C60</f>
        <v>96969.853929999983</v>
      </c>
      <c r="D85" s="12">
        <f>-D60</f>
        <v>125243.30830400001</v>
      </c>
      <c r="E85" s="12">
        <f>-E60</f>
        <v>-5934.3310000000001</v>
      </c>
    </row>
    <row r="86" spans="1:5" x14ac:dyDescent="0.3">
      <c r="B86" s="5" t="s">
        <v>68</v>
      </c>
      <c r="C86" s="12">
        <f>-C67</f>
        <v>293943.1343374055</v>
      </c>
      <c r="D86" s="12">
        <f>-D67</f>
        <v>315968.99251753167</v>
      </c>
      <c r="E86" s="12">
        <f>-E67</f>
        <v>333969.64003577083</v>
      </c>
    </row>
    <row r="87" spans="1:5" s="15" customFormat="1" x14ac:dyDescent="0.3">
      <c r="A87" s="7"/>
      <c r="B87" s="5" t="s">
        <v>69</v>
      </c>
      <c r="C87" s="14">
        <f>-'UIGET-KU'!D126-'UIGET-KU'!D127-'UIGET-KU'!D128</f>
        <v>-433165.92675043625</v>
      </c>
      <c r="D87" s="14">
        <f>-'UIGET-KU'!E126-'UIGET-KU'!E127-'UIGET-KU'!E128</f>
        <v>-449145.00417717436</v>
      </c>
      <c r="E87" s="14">
        <f>-'UIGET-KU'!F126-'UIGET-KU'!F127-'UIGET-KU'!F128</f>
        <v>-454416.56108390685</v>
      </c>
    </row>
    <row r="88" spans="1:5" x14ac:dyDescent="0.3">
      <c r="A88" s="4" t="s">
        <v>152</v>
      </c>
      <c r="C88" s="12">
        <f>SUM(C83:C87)</f>
        <v>-42252.938483030768</v>
      </c>
      <c r="D88" s="12">
        <f>SUM(D83:D87)</f>
        <v>-7932.7033556426759</v>
      </c>
      <c r="E88" s="12">
        <f>SUM(E83:E87)</f>
        <v>-126381.25204813603</v>
      </c>
    </row>
    <row r="89" spans="1:5" x14ac:dyDescent="0.3">
      <c r="C89" s="12"/>
      <c r="D89" s="12"/>
      <c r="E89" s="12"/>
    </row>
    <row r="90" spans="1:5" s="11" customFormat="1" x14ac:dyDescent="0.3">
      <c r="A90" s="4" t="s">
        <v>153</v>
      </c>
      <c r="B90" s="9"/>
      <c r="C90" s="10">
        <f>+C81+C88</f>
        <v>118842.60825160643</v>
      </c>
      <c r="D90" s="10">
        <f>+D81+D88</f>
        <v>20162.378985234478</v>
      </c>
      <c r="E90" s="10">
        <f>+E81+E88</f>
        <v>68476.652207879641</v>
      </c>
    </row>
    <row r="91" spans="1:5" s="11" customFormat="1" x14ac:dyDescent="0.3">
      <c r="A91" s="4"/>
      <c r="B91" s="9" t="s">
        <v>154</v>
      </c>
      <c r="C91" s="10"/>
      <c r="D91" s="10"/>
      <c r="E91" s="10"/>
    </row>
    <row r="92" spans="1:5" s="15" customFormat="1" x14ac:dyDescent="0.3">
      <c r="A92" s="7" t="s">
        <v>148</v>
      </c>
      <c r="B92" s="5"/>
      <c r="C92" s="17">
        <v>0.05</v>
      </c>
      <c r="D92" s="17">
        <v>0.05</v>
      </c>
      <c r="E92" s="17">
        <v>0.05</v>
      </c>
    </row>
    <row r="93" spans="1:5" s="11" customFormat="1" x14ac:dyDescent="0.3">
      <c r="A93" s="4" t="s">
        <v>155</v>
      </c>
      <c r="B93" s="9"/>
      <c r="C93" s="10">
        <f>+C90*C92</f>
        <v>5942.1304125803217</v>
      </c>
      <c r="D93" s="10">
        <f>+D90*D92</f>
        <v>1008.118949261724</v>
      </c>
      <c r="E93" s="10">
        <f>+E90*E92</f>
        <v>3423.8326103939821</v>
      </c>
    </row>
    <row r="94" spans="1:5" s="15" customFormat="1" x14ac:dyDescent="0.3">
      <c r="A94" s="7" t="s">
        <v>156</v>
      </c>
      <c r="B94" s="5"/>
      <c r="C94" s="14">
        <f>+'UIGET-KU'!D133</f>
        <v>-1620</v>
      </c>
      <c r="D94" s="14">
        <f>+'UIGET-KU'!E133</f>
        <v>-1620</v>
      </c>
      <c r="E94" s="14">
        <f>+'UIGET-KU'!F133</f>
        <v>-1620</v>
      </c>
    </row>
    <row r="95" spans="1:5" s="11" customFormat="1" x14ac:dyDescent="0.3">
      <c r="A95" s="4" t="s">
        <v>157</v>
      </c>
      <c r="B95" s="9"/>
      <c r="C95" s="10">
        <f>SUM(C93:C94)</f>
        <v>4322.1304125803217</v>
      </c>
      <c r="D95" s="10">
        <f>SUM(D93:D94)</f>
        <v>-611.88105073827603</v>
      </c>
      <c r="E95" s="10">
        <f>SUM(E93:E94)</f>
        <v>1803.8326103939821</v>
      </c>
    </row>
    <row r="96" spans="1:5" x14ac:dyDescent="0.3">
      <c r="C96" s="18"/>
      <c r="D96" s="18"/>
      <c r="E96" s="18"/>
    </row>
    <row r="97" spans="1:5" s="3" customFormat="1" x14ac:dyDescent="0.3">
      <c r="A97" s="4" t="s">
        <v>158</v>
      </c>
      <c r="B97" s="5"/>
      <c r="C97" s="12"/>
      <c r="D97" s="12"/>
      <c r="E97" s="12"/>
    </row>
    <row r="98" spans="1:5" s="3" customFormat="1" x14ac:dyDescent="0.3">
      <c r="A98" s="7" t="s">
        <v>159</v>
      </c>
      <c r="B98" s="5"/>
      <c r="C98" s="12">
        <f>-(+C55+C68+C73)</f>
        <v>254808.35479905264</v>
      </c>
      <c r="D98" s="12">
        <f>-(+D55+D68+D73)</f>
        <v>250983.616270539</v>
      </c>
      <c r="E98" s="12">
        <f>-(+E55+E68+E73)</f>
        <v>49134.176700368749</v>
      </c>
    </row>
    <row r="99" spans="1:5" s="3" customFormat="1" x14ac:dyDescent="0.3">
      <c r="A99" s="7" t="s">
        <v>160</v>
      </c>
      <c r="B99" s="5"/>
      <c r="C99" s="14">
        <f>-C118</f>
        <v>-11182.544714104171</v>
      </c>
      <c r="D99" s="14">
        <f>-D118</f>
        <v>-12945.815981309084</v>
      </c>
      <c r="E99" s="14">
        <f>-E118</f>
        <v>-8775.7714374252391</v>
      </c>
    </row>
    <row r="100" spans="1:5" s="3" customFormat="1" x14ac:dyDescent="0.3">
      <c r="A100" s="7" t="s">
        <v>161</v>
      </c>
      <c r="B100" s="5"/>
      <c r="C100" s="13">
        <f>SUM(C98:C99)</f>
        <v>243625.81008494846</v>
      </c>
      <c r="D100" s="13">
        <f>SUM(D98:D99)</f>
        <v>238037.80028922993</v>
      </c>
      <c r="E100" s="13">
        <f>SUM(E98:E99)</f>
        <v>40358.40526294351</v>
      </c>
    </row>
    <row r="101" spans="1:5" s="3" customFormat="1" x14ac:dyDescent="0.3">
      <c r="A101" s="7" t="s">
        <v>162</v>
      </c>
      <c r="B101" s="5"/>
      <c r="C101" s="17">
        <v>0.21</v>
      </c>
      <c r="D101" s="17">
        <v>0.21</v>
      </c>
      <c r="E101" s="17">
        <v>0.21</v>
      </c>
    </row>
    <row r="102" spans="1:5" s="3" customFormat="1" x14ac:dyDescent="0.3">
      <c r="A102" s="7" t="s">
        <v>161</v>
      </c>
      <c r="B102" s="5"/>
      <c r="C102" s="13">
        <f>C100*C101</f>
        <v>51161.420117839174</v>
      </c>
      <c r="D102" s="13">
        <f>D100*D101</f>
        <v>49987.938060738285</v>
      </c>
      <c r="E102" s="13">
        <f>E100*E101</f>
        <v>8475.2651052181373</v>
      </c>
    </row>
    <row r="103" spans="1:5" s="3" customFormat="1" x14ac:dyDescent="0.3">
      <c r="A103" s="7" t="s">
        <v>163</v>
      </c>
      <c r="B103" s="5"/>
      <c r="C103" s="12"/>
      <c r="D103" s="12"/>
      <c r="E103" s="12"/>
    </row>
    <row r="104" spans="1:5" s="3" customFormat="1" x14ac:dyDescent="0.3">
      <c r="A104" s="7" t="s">
        <v>164</v>
      </c>
      <c r="B104" s="5"/>
      <c r="C104" s="12">
        <v>0</v>
      </c>
      <c r="D104" s="12">
        <v>0</v>
      </c>
      <c r="E104" s="12">
        <v>0</v>
      </c>
    </row>
    <row r="105" spans="1:5" s="3" customFormat="1" x14ac:dyDescent="0.3">
      <c r="A105" s="7" t="s">
        <v>165</v>
      </c>
      <c r="B105" s="5"/>
      <c r="C105" s="12">
        <f>'UIGET-KU'!D138</f>
        <v>951.41399999999999</v>
      </c>
      <c r="D105" s="12">
        <f>'UIGET-KU'!E138</f>
        <v>0</v>
      </c>
      <c r="E105" s="12">
        <f>'UIGET-KU'!F138</f>
        <v>0</v>
      </c>
    </row>
    <row r="106" spans="1:5" s="3" customFormat="1" x14ac:dyDescent="0.3">
      <c r="A106" s="7" t="s">
        <v>166</v>
      </c>
      <c r="B106" s="5"/>
      <c r="C106" s="12"/>
      <c r="D106" s="12"/>
      <c r="E106" s="12"/>
    </row>
    <row r="107" spans="1:5" s="3" customFormat="1" x14ac:dyDescent="0.3">
      <c r="A107" s="7" t="s">
        <v>378</v>
      </c>
      <c r="B107" s="5"/>
      <c r="C107" s="12">
        <f>'UIGET-KU'!D11</f>
        <v>4612</v>
      </c>
      <c r="D107" s="12">
        <f>'UIGET-KU'!E11</f>
        <v>0</v>
      </c>
      <c r="E107" s="12">
        <f>'UIGET-KU'!F11</f>
        <v>0</v>
      </c>
    </row>
    <row r="108" spans="1:5" s="3" customFormat="1" x14ac:dyDescent="0.3">
      <c r="A108" s="7" t="s">
        <v>167</v>
      </c>
      <c r="B108" s="5"/>
      <c r="C108" s="12">
        <f>+'UIGET-KU'!D139</f>
        <v>-10082.39266533529</v>
      </c>
      <c r="D108" s="12">
        <f>+'UIGET-KU'!E139</f>
        <v>-14951.909417416648</v>
      </c>
      <c r="E108" s="12">
        <f>+'UIGET-KU'!F139</f>
        <v>-18228.501165767608</v>
      </c>
    </row>
    <row r="109" spans="1:5" s="3" customFormat="1" x14ac:dyDescent="0.3">
      <c r="A109" s="7" t="s">
        <v>168</v>
      </c>
      <c r="B109" s="5"/>
      <c r="C109" s="12">
        <f>+'UIGET-KU'!D140</f>
        <v>416.22113149999916</v>
      </c>
      <c r="D109" s="12">
        <f>+'UIGET-KU'!E140</f>
        <v>371.25808749999976</v>
      </c>
      <c r="E109" s="12">
        <f>+'UIGET-KU'!F140</f>
        <v>348.77656550000006</v>
      </c>
    </row>
    <row r="110" spans="1:5" s="3" customFormat="1" x14ac:dyDescent="0.3">
      <c r="A110" s="7" t="s">
        <v>80</v>
      </c>
      <c r="B110" s="5"/>
      <c r="C110" s="14">
        <f>+'UIGET-KU'!D141+'UIGET-KU'!D142</f>
        <v>-2233.8039999999964</v>
      </c>
      <c r="D110" s="14">
        <f>+'UIGET-KU'!E141+'UIGET-KU'!E142</f>
        <v>-2008.4253333333322</v>
      </c>
      <c r="E110" s="14">
        <f>+'UIGET-KU'!F141+'UIGET-KU'!F142</f>
        <v>-1895.7360000000003</v>
      </c>
    </row>
    <row r="111" spans="1:5" s="3" customFormat="1" x14ac:dyDescent="0.3">
      <c r="A111" s="7" t="s">
        <v>169</v>
      </c>
      <c r="B111" s="5"/>
      <c r="C111" s="19">
        <f>SUM(C103:C110)</f>
        <v>-6336.5615338352873</v>
      </c>
      <c r="D111" s="19">
        <f>SUM(D103:D110)</f>
        <v>-16589.07666324998</v>
      </c>
      <c r="E111" s="19">
        <f>SUM(E103:E110)</f>
        <v>-19775.460600267608</v>
      </c>
    </row>
    <row r="112" spans="1:5" s="3" customFormat="1" x14ac:dyDescent="0.3">
      <c r="A112" s="4" t="s">
        <v>170</v>
      </c>
      <c r="B112" s="5"/>
      <c r="C112" s="10">
        <f>C102+C111</f>
        <v>44824.858584003887</v>
      </c>
      <c r="D112" s="10">
        <f>D102+D111</f>
        <v>33398.861397488305</v>
      </c>
      <c r="E112" s="10">
        <f>E102+E111</f>
        <v>-11300.195495049471</v>
      </c>
    </row>
    <row r="113" spans="1:5" s="3" customFormat="1" x14ac:dyDescent="0.3">
      <c r="A113" s="7"/>
      <c r="B113" s="5"/>
      <c r="C113" s="12"/>
      <c r="D113" s="12"/>
      <c r="E113" s="12"/>
    </row>
    <row r="114" spans="1:5" s="3" customFormat="1" x14ac:dyDescent="0.3">
      <c r="A114" s="7" t="s">
        <v>171</v>
      </c>
      <c r="B114" s="5"/>
      <c r="C114" s="12">
        <f>+C98-SUM(C85:C87)-C91+C73</f>
        <v>223650.89428208341</v>
      </c>
      <c r="D114" s="12">
        <f>+D98-SUM(D85:D87)-D91+D73</f>
        <v>258916.31962618168</v>
      </c>
      <c r="E114" s="12">
        <f>+E98-SUM(E85:E87)-E91+E73</f>
        <v>175515.42874850478</v>
      </c>
    </row>
    <row r="115" spans="1:5" s="3" customFormat="1" x14ac:dyDescent="0.3">
      <c r="A115" s="7" t="s">
        <v>172</v>
      </c>
      <c r="B115" s="5"/>
      <c r="C115" s="20">
        <v>1</v>
      </c>
      <c r="D115" s="20">
        <v>1</v>
      </c>
      <c r="E115" s="20">
        <v>1</v>
      </c>
    </row>
    <row r="116" spans="1:5" s="3" customFormat="1" x14ac:dyDescent="0.3">
      <c r="A116" s="7" t="s">
        <v>173</v>
      </c>
      <c r="B116" s="5"/>
      <c r="C116" s="13">
        <f>C114*C115</f>
        <v>223650.89428208341</v>
      </c>
      <c r="D116" s="13">
        <f>D114*D115</f>
        <v>258916.31962618168</v>
      </c>
      <c r="E116" s="13">
        <f>E114*E115</f>
        <v>175515.42874850478</v>
      </c>
    </row>
    <row r="117" spans="1:5" s="3" customFormat="1" x14ac:dyDescent="0.3">
      <c r="A117" s="7" t="s">
        <v>174</v>
      </c>
      <c r="B117" s="5"/>
      <c r="C117" s="17">
        <v>0.05</v>
      </c>
      <c r="D117" s="17">
        <v>0.05</v>
      </c>
      <c r="E117" s="17">
        <v>0.05</v>
      </c>
    </row>
    <row r="118" spans="1:5" s="3" customFormat="1" x14ac:dyDescent="0.3">
      <c r="A118" s="7" t="s">
        <v>161</v>
      </c>
      <c r="B118" s="5"/>
      <c r="C118" s="13">
        <f>C116*C117</f>
        <v>11182.544714104171</v>
      </c>
      <c r="D118" s="13">
        <f>D116*D117</f>
        <v>12945.815981309084</v>
      </c>
      <c r="E118" s="13">
        <f>E116*E117</f>
        <v>8775.7714374252391</v>
      </c>
    </row>
    <row r="119" spans="1:5" s="3" customFormat="1" x14ac:dyDescent="0.3">
      <c r="A119" s="7" t="s">
        <v>175</v>
      </c>
      <c r="B119" s="5"/>
      <c r="C119" s="13"/>
      <c r="D119" s="13"/>
      <c r="E119" s="13"/>
    </row>
    <row r="120" spans="1:5" s="3" customFormat="1" x14ac:dyDescent="0.3">
      <c r="A120" s="7" t="s">
        <v>164</v>
      </c>
      <c r="B120" s="5"/>
      <c r="C120" s="12">
        <v>0</v>
      </c>
      <c r="D120" s="12">
        <v>0</v>
      </c>
      <c r="E120" s="12">
        <v>0</v>
      </c>
    </row>
    <row r="121" spans="1:5" s="3" customFormat="1" x14ac:dyDescent="0.3">
      <c r="A121" s="7" t="s">
        <v>409</v>
      </c>
      <c r="B121" s="5"/>
      <c r="C121" s="12">
        <f>'UIGET-KU'!D144</f>
        <v>0</v>
      </c>
      <c r="D121" s="12">
        <f>'UIGET-KU'!E144</f>
        <v>0</v>
      </c>
      <c r="E121" s="12">
        <f>'UIGET-KU'!F144</f>
        <v>0</v>
      </c>
    </row>
    <row r="122" spans="1:5" s="3" customFormat="1" x14ac:dyDescent="0.3">
      <c r="A122" s="7" t="s">
        <v>167</v>
      </c>
      <c r="B122" s="5"/>
      <c r="C122" s="12">
        <f>+'UIGET-KU'!D143</f>
        <v>-1064.6707051455689</v>
      </c>
      <c r="D122" s="12">
        <f>+'UIGET-KU'!E143</f>
        <v>-1515.6584986962</v>
      </c>
      <c r="E122" s="12">
        <f>+'UIGET-KU'!F143</f>
        <v>-1595.5797731329119</v>
      </c>
    </row>
    <row r="123" spans="1:5" s="3" customFormat="1" x14ac:dyDescent="0.3">
      <c r="A123" s="7" t="s">
        <v>168</v>
      </c>
      <c r="B123" s="5"/>
      <c r="C123" s="14">
        <f>+'UIGET-KU'!D145</f>
        <v>97.726849999999772</v>
      </c>
      <c r="D123" s="14">
        <f>+'UIGET-KU'!E145</f>
        <v>86.457916666666591</v>
      </c>
      <c r="E123" s="14">
        <f>+'UIGET-KU'!F145</f>
        <v>80.823449999999994</v>
      </c>
    </row>
    <row r="124" spans="1:5" s="3" customFormat="1" x14ac:dyDescent="0.3">
      <c r="A124" s="7" t="s">
        <v>176</v>
      </c>
      <c r="B124" s="5"/>
      <c r="C124" s="19">
        <f>SUM(C119:C123)</f>
        <v>-966.94385514556916</v>
      </c>
      <c r="D124" s="19">
        <f>SUM(D119:D123)</f>
        <v>-1429.2005820295335</v>
      </c>
      <c r="E124" s="19">
        <f>SUM(E119:E123)</f>
        <v>-1514.7563231329118</v>
      </c>
    </row>
    <row r="125" spans="1:5" s="3" customFormat="1" x14ac:dyDescent="0.3">
      <c r="A125" s="4" t="s">
        <v>177</v>
      </c>
      <c r="B125" s="5"/>
      <c r="C125" s="21">
        <f>C118+C124</f>
        <v>10215.600858958602</v>
      </c>
      <c r="D125" s="21">
        <f>D118+D124</f>
        <v>11516.615399279552</v>
      </c>
      <c r="E125" s="21">
        <f>E118+E124</f>
        <v>7261.0151142923278</v>
      </c>
    </row>
    <row r="126" spans="1:5" s="3" customFormat="1" x14ac:dyDescent="0.3">
      <c r="A126" s="7"/>
      <c r="B126" s="5"/>
      <c r="C126" s="12"/>
      <c r="D126" s="12"/>
      <c r="E126" s="12"/>
    </row>
    <row r="127" spans="1:5" s="3" customFormat="1" x14ac:dyDescent="0.3">
      <c r="A127" s="4" t="s">
        <v>96</v>
      </c>
      <c r="B127" s="5"/>
      <c r="C127" s="12"/>
      <c r="D127" s="12"/>
      <c r="E127" s="12"/>
    </row>
    <row r="128" spans="1:5" s="3" customFormat="1" x14ac:dyDescent="0.3">
      <c r="A128" s="7" t="s">
        <v>178</v>
      </c>
      <c r="B128" s="5"/>
      <c r="C128" s="12">
        <f>+C5</f>
        <v>342507.88710479374</v>
      </c>
      <c r="D128" s="12">
        <f>+D5</f>
        <v>278838.40033695684</v>
      </c>
      <c r="E128" s="12">
        <f>+E5</f>
        <v>243757.83661467937</v>
      </c>
    </row>
    <row r="129" spans="1:5" s="3" customFormat="1" x14ac:dyDescent="0.3">
      <c r="A129" s="7"/>
      <c r="B129" s="5"/>
      <c r="C129" s="12"/>
      <c r="D129" s="12"/>
      <c r="E129" s="12"/>
    </row>
    <row r="130" spans="1:5" s="3" customFormat="1" x14ac:dyDescent="0.3">
      <c r="A130" s="7" t="s">
        <v>179</v>
      </c>
      <c r="B130" s="5"/>
      <c r="C130" s="12">
        <f>+C79</f>
        <v>11677.819637631943</v>
      </c>
      <c r="D130" s="12">
        <f>+D79</f>
        <v>5763.4623122392404</v>
      </c>
      <c r="E130" s="12">
        <f>+E79</f>
        <v>40276.355045580553</v>
      </c>
    </row>
    <row r="131" spans="1:5" s="3" customFormat="1" x14ac:dyDescent="0.3">
      <c r="A131" s="7" t="s">
        <v>180</v>
      </c>
      <c r="B131" s="5"/>
      <c r="C131" s="12">
        <f>+C95</f>
        <v>4322.1304125803217</v>
      </c>
      <c r="D131" s="12">
        <f>+D95</f>
        <v>-611.88105073827603</v>
      </c>
      <c r="E131" s="12">
        <f>+E95</f>
        <v>1803.8326103939821</v>
      </c>
    </row>
    <row r="132" spans="1:5" s="3" customFormat="1" x14ac:dyDescent="0.3">
      <c r="A132" s="7" t="s">
        <v>181</v>
      </c>
      <c r="B132" s="5"/>
      <c r="C132" s="12">
        <f>+C112-C134</f>
        <v>47058.662584003883</v>
      </c>
      <c r="D132" s="12">
        <f>+D112-D134</f>
        <v>35407.286730821637</v>
      </c>
      <c r="E132" s="12">
        <f>+E112-E134</f>
        <v>-9404.4594950494702</v>
      </c>
    </row>
    <row r="133" spans="1:5" s="3" customFormat="1" x14ac:dyDescent="0.3">
      <c r="A133" s="7" t="s">
        <v>182</v>
      </c>
      <c r="B133" s="5"/>
      <c r="C133" s="12">
        <f>+C125</f>
        <v>10215.600858958602</v>
      </c>
      <c r="D133" s="12">
        <f>+D125</f>
        <v>11516.615399279552</v>
      </c>
      <c r="E133" s="12">
        <f>+E125</f>
        <v>7261.0151142923278</v>
      </c>
    </row>
    <row r="134" spans="1:5" s="3" customFormat="1" x14ac:dyDescent="0.3">
      <c r="A134" s="7" t="s">
        <v>183</v>
      </c>
      <c r="B134" s="5"/>
      <c r="C134" s="14">
        <f>C110</f>
        <v>-2233.8039999999964</v>
      </c>
      <c r="D134" s="14">
        <f>D110</f>
        <v>-2008.4253333333322</v>
      </c>
      <c r="E134" s="14">
        <f>E110</f>
        <v>-1895.7360000000003</v>
      </c>
    </row>
    <row r="135" spans="1:5" s="3" customFormat="1" x14ac:dyDescent="0.3">
      <c r="A135" s="4" t="s">
        <v>184</v>
      </c>
      <c r="B135" s="9"/>
      <c r="C135" s="10">
        <f>SUM(C130:C134)</f>
        <v>71040.409493174753</v>
      </c>
      <c r="D135" s="10">
        <f>SUM(D130:D134)</f>
        <v>50067.05805826882</v>
      </c>
      <c r="E135" s="10">
        <f>SUM(E130:E134)</f>
        <v>38041.007275217395</v>
      </c>
    </row>
    <row r="136" spans="1:5" s="3" customFormat="1" x14ac:dyDescent="0.3">
      <c r="A136" s="7"/>
      <c r="B136" s="5"/>
      <c r="C136" s="12"/>
      <c r="D136" s="12"/>
      <c r="E136" s="12"/>
    </row>
    <row r="137" spans="1:5" s="3" customFormat="1" x14ac:dyDescent="0.3">
      <c r="A137" s="7" t="s">
        <v>185</v>
      </c>
      <c r="B137" s="5"/>
      <c r="C137" s="12">
        <f>C128-C135</f>
        <v>271467.47761161899</v>
      </c>
      <c r="D137" s="12">
        <f>D128-D135</f>
        <v>228771.34227868801</v>
      </c>
      <c r="E137" s="12">
        <f>E128-E135</f>
        <v>205716.82933946198</v>
      </c>
    </row>
    <row r="138" spans="1:5" s="3" customFormat="1" x14ac:dyDescent="0.3">
      <c r="A138" s="7"/>
      <c r="B138" s="5"/>
      <c r="C138" s="6"/>
      <c r="D138" s="6"/>
      <c r="E138" s="6"/>
    </row>
    <row r="139" spans="1:5" s="3" customFormat="1" x14ac:dyDescent="0.3">
      <c r="A139" s="4" t="s">
        <v>186</v>
      </c>
      <c r="B139" s="9"/>
      <c r="C139" s="22">
        <f>C135/C128</f>
        <v>0.20741247769117568</v>
      </c>
      <c r="D139" s="22">
        <f>D135/D128</f>
        <v>0.17955582157180022</v>
      </c>
      <c r="E139" s="22">
        <f>E135/E128</f>
        <v>0.15606065348926929</v>
      </c>
    </row>
    <row r="140" spans="1:5" s="3" customFormat="1" x14ac:dyDescent="0.3">
      <c r="A140" s="7"/>
      <c r="B140" s="5"/>
      <c r="C140" s="6"/>
      <c r="D140" s="6"/>
      <c r="E140" s="6"/>
    </row>
    <row r="141" spans="1:5" s="3" customFormat="1" x14ac:dyDescent="0.3">
      <c r="A141" s="7"/>
      <c r="B141" s="5"/>
      <c r="C141" s="6"/>
      <c r="D141" s="6"/>
      <c r="E141" s="6"/>
    </row>
    <row r="142" spans="1:5" s="3" customFormat="1" x14ac:dyDescent="0.3">
      <c r="A142" s="7"/>
      <c r="B142" s="5"/>
      <c r="C142" s="6"/>
      <c r="D142" s="6"/>
      <c r="E142" s="6"/>
    </row>
    <row r="143" spans="1:5" s="3" customFormat="1" x14ac:dyDescent="0.3">
      <c r="A143" s="7" t="s">
        <v>187</v>
      </c>
      <c r="B143" s="5"/>
      <c r="C143" s="6"/>
      <c r="D143" s="6"/>
      <c r="E143" s="6"/>
    </row>
    <row r="144" spans="1:5" s="3" customFormat="1" x14ac:dyDescent="0.3">
      <c r="A144" s="7"/>
      <c r="B144" s="5"/>
      <c r="C144" s="6"/>
      <c r="D144" s="6"/>
      <c r="E144" s="6"/>
    </row>
    <row r="145" spans="1:5" s="3" customFormat="1" x14ac:dyDescent="0.3">
      <c r="A145" s="7"/>
      <c r="B145" s="5" t="s">
        <v>188</v>
      </c>
      <c r="C145" s="12">
        <f>+'UIGET-KU'!D14</f>
        <v>11677.819637631474</v>
      </c>
      <c r="D145" s="12">
        <f>+'UIGET-KU'!E14</f>
        <v>5763.4623122302146</v>
      </c>
      <c r="E145" s="12">
        <f>+'UIGET-KU'!F14</f>
        <v>40276.355045564691</v>
      </c>
    </row>
    <row r="146" spans="1:5" s="3" customFormat="1" x14ac:dyDescent="0.3">
      <c r="A146" s="7"/>
      <c r="B146" s="5"/>
      <c r="C146" s="12">
        <f>+C145-C79</f>
        <v>-4.6929926611483097E-10</v>
      </c>
      <c r="D146" s="12">
        <f>+D145-D79</f>
        <v>-9.0258254203945398E-9</v>
      </c>
      <c r="E146" s="12">
        <f>+E145-E79</f>
        <v>-1.5861587598919868E-8</v>
      </c>
    </row>
    <row r="147" spans="1:5" s="3" customFormat="1" x14ac:dyDescent="0.3">
      <c r="A147" s="7"/>
      <c r="B147" s="5"/>
      <c r="C147" s="12"/>
      <c r="D147" s="12"/>
      <c r="E147" s="12"/>
    </row>
    <row r="148" spans="1:5" s="3" customFormat="1" x14ac:dyDescent="0.3">
      <c r="A148" s="7"/>
      <c r="B148" s="5" t="s">
        <v>189</v>
      </c>
      <c r="C148" s="12">
        <f>+'UIGET-KU'!D13</f>
        <v>-4322.1304125809138</v>
      </c>
      <c r="D148" s="12">
        <f>+'UIGET-KU'!E13</f>
        <v>611.88105074776968</v>
      </c>
      <c r="E148" s="12">
        <f>+'UIGET-KU'!F13</f>
        <v>-1803.8326103872164</v>
      </c>
    </row>
    <row r="149" spans="1:5" s="3" customFormat="1" x14ac:dyDescent="0.3">
      <c r="A149" s="7"/>
      <c r="B149" s="5"/>
      <c r="C149" s="12">
        <f>+C148+C95</f>
        <v>-5.9208105085417628E-10</v>
      </c>
      <c r="D149" s="12">
        <f>+D148+D95</f>
        <v>9.4936467576189898E-9</v>
      </c>
      <c r="E149" s="12">
        <f>+E148+E95</f>
        <v>6.7657310864888132E-9</v>
      </c>
    </row>
    <row r="150" spans="1:5" s="3" customFormat="1" x14ac:dyDescent="0.3">
      <c r="A150" s="7"/>
      <c r="B150" s="5"/>
      <c r="C150" s="12"/>
      <c r="D150" s="12"/>
      <c r="E150" s="12"/>
    </row>
    <row r="151" spans="1:5" s="3" customFormat="1" x14ac:dyDescent="0.3">
      <c r="A151" s="7"/>
      <c r="B151" s="5" t="s">
        <v>190</v>
      </c>
      <c r="C151" s="12">
        <f>+C167</f>
        <v>70656.435208213297</v>
      </c>
      <c r="D151" s="12">
        <f>+D167</f>
        <v>50067.058058262301</v>
      </c>
      <c r="E151" s="12">
        <f>+E167</f>
        <v>38041.007275215299</v>
      </c>
    </row>
    <row r="152" spans="1:5" s="3" customFormat="1" x14ac:dyDescent="0.3">
      <c r="A152" s="7"/>
      <c r="B152" s="5"/>
      <c r="C152" s="12">
        <f>+C151-C135</f>
        <v>-383.97428496145585</v>
      </c>
      <c r="D152" s="12">
        <f>+D151-D135</f>
        <v>-6.5192580223083496E-9</v>
      </c>
      <c r="E152" s="12">
        <f>+E151-E135</f>
        <v>-2.0954757928848267E-9</v>
      </c>
    </row>
    <row r="153" spans="1:5" s="3" customFormat="1" x14ac:dyDescent="0.3">
      <c r="A153" s="7"/>
      <c r="B153" s="5"/>
      <c r="C153" s="6"/>
      <c r="D153" s="6"/>
      <c r="E153" s="6"/>
    </row>
    <row r="154" spans="1:5" s="3" customFormat="1" x14ac:dyDescent="0.3">
      <c r="A154" s="7"/>
      <c r="B154" s="5"/>
      <c r="C154" s="6"/>
      <c r="D154" s="6"/>
      <c r="E154" s="6"/>
    </row>
    <row r="155" spans="1:5" s="3" customFormat="1" x14ac:dyDescent="0.3">
      <c r="A155" s="7"/>
      <c r="B155" s="5"/>
      <c r="C155" s="6"/>
      <c r="D155" s="6"/>
      <c r="E155" s="6"/>
    </row>
    <row r="156" spans="1:5" s="3" customFormat="1" x14ac:dyDescent="0.3">
      <c r="A156" s="7"/>
      <c r="B156" s="5"/>
      <c r="C156" s="6"/>
      <c r="D156" s="6"/>
      <c r="E156" s="6"/>
    </row>
    <row r="157" spans="1:5" s="3" customFormat="1" x14ac:dyDescent="0.3">
      <c r="A157" s="7"/>
      <c r="B157" s="5"/>
      <c r="C157" s="6"/>
      <c r="D157" s="6"/>
      <c r="E157" s="6"/>
    </row>
    <row r="158" spans="1:5" s="3" customFormat="1" x14ac:dyDescent="0.3">
      <c r="A158" s="23" t="s">
        <v>191</v>
      </c>
      <c r="B158" s="5"/>
      <c r="C158" s="6"/>
      <c r="D158" s="6"/>
      <c r="E158" s="6"/>
    </row>
    <row r="159" spans="1:5" s="3" customFormat="1" x14ac:dyDescent="0.3">
      <c r="A159" s="7"/>
      <c r="B159" s="5"/>
      <c r="C159" s="6"/>
      <c r="D159" s="6"/>
      <c r="E159" s="6"/>
    </row>
    <row r="160" spans="1:5" s="3" customFormat="1" x14ac:dyDescent="0.3">
      <c r="A160" s="7"/>
      <c r="B160" s="5" t="s">
        <v>192</v>
      </c>
      <c r="C160" s="28">
        <v>342507.887104886</v>
      </c>
      <c r="D160" s="28">
        <v>278838.40033820499</v>
      </c>
      <c r="E160" s="28">
        <v>243757.83661482201</v>
      </c>
    </row>
    <row r="161" spans="1:5" s="3" customFormat="1" x14ac:dyDescent="0.3">
      <c r="A161" s="7"/>
      <c r="B161" s="5" t="s">
        <v>193</v>
      </c>
    </row>
    <row r="162" spans="1:5" s="3" customFormat="1" x14ac:dyDescent="0.3">
      <c r="A162" s="7"/>
      <c r="B162" s="5" t="s">
        <v>194</v>
      </c>
    </row>
    <row r="163" spans="1:5" s="3" customFormat="1" x14ac:dyDescent="0.3">
      <c r="A163" s="7"/>
      <c r="B163" s="5" t="s">
        <v>195</v>
      </c>
      <c r="C163" s="29">
        <v>9444.1192799612509</v>
      </c>
      <c r="D163" s="29">
        <v>3755.0369788968801</v>
      </c>
      <c r="E163" s="29">
        <v>38380.619045564599</v>
      </c>
    </row>
    <row r="164" spans="1:5" s="3" customFormat="1" x14ac:dyDescent="0.3">
      <c r="A164" s="7"/>
      <c r="B164" s="5" t="s">
        <v>196</v>
      </c>
      <c r="C164" s="29">
        <v>5617.1143386323301</v>
      </c>
      <c r="D164" s="29">
        <v>-611.881050747769</v>
      </c>
      <c r="E164" s="29">
        <v>1803.83261038721</v>
      </c>
    </row>
    <row r="165" spans="1:5" s="3" customFormat="1" x14ac:dyDescent="0.3">
      <c r="A165" s="7"/>
      <c r="B165" s="5" t="s">
        <v>197</v>
      </c>
      <c r="C165" s="29">
        <v>0</v>
      </c>
      <c r="D165" s="29">
        <v>0</v>
      </c>
      <c r="E165" s="29">
        <v>0</v>
      </c>
    </row>
    <row r="166" spans="1:5" s="3" customFormat="1" ht="15" thickBot="1" x14ac:dyDescent="0.35">
      <c r="A166" s="7" t="s">
        <v>198</v>
      </c>
      <c r="B166" s="5" t="s">
        <v>198</v>
      </c>
      <c r="C166" s="30">
        <v>55595.201589619697</v>
      </c>
      <c r="D166" s="30">
        <v>46923.902130113202</v>
      </c>
      <c r="E166" s="30">
        <v>-2143.4443807366101</v>
      </c>
    </row>
    <row r="167" spans="1:5" s="3" customFormat="1" x14ac:dyDescent="0.3">
      <c r="A167" s="7"/>
      <c r="B167" s="5" t="s">
        <v>199</v>
      </c>
      <c r="C167" s="28">
        <v>70656.435208213297</v>
      </c>
      <c r="D167" s="28">
        <v>50067.058058262301</v>
      </c>
      <c r="E167" s="28">
        <v>38041.007275215299</v>
      </c>
    </row>
    <row r="168" spans="1:5" s="3" customFormat="1" x14ac:dyDescent="0.3">
      <c r="A168" s="7"/>
      <c r="B168" s="5"/>
      <c r="C168" s="6"/>
      <c r="D168" s="6"/>
      <c r="E168" s="6"/>
    </row>
    <row r="169" spans="1:5" x14ac:dyDescent="0.3">
      <c r="A169" s="6"/>
      <c r="C169" s="31"/>
      <c r="D169" s="31"/>
      <c r="E169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workbookViewId="0">
      <pane xSplit="2" ySplit="3" topLeftCell="D4" activePane="bottomRight" state="frozen"/>
      <selection activeCell="H116" sqref="H116"/>
      <selection pane="topRight" activeCell="H116" sqref="H116"/>
      <selection pane="bottomLeft" activeCell="H116" sqref="H116"/>
      <selection pane="bottomRight" activeCell="B3" sqref="B3"/>
    </sheetView>
  </sheetViews>
  <sheetFormatPr defaultRowHeight="14.4" x14ac:dyDescent="0.3"/>
  <cols>
    <col min="1" max="1" width="16.5546875" style="3" customWidth="1"/>
    <col min="2" max="2" width="67.6640625" style="3" bestFit="1" customWidth="1"/>
    <col min="3" max="3" width="19.109375" style="3" customWidth="1"/>
    <col min="4" max="4" width="20" style="3" customWidth="1"/>
    <col min="5" max="6" width="12.5546875" style="3" bestFit="1" customWidth="1"/>
    <col min="7" max="7" width="8.88671875" style="3"/>
    <col min="8" max="9" width="9.6640625" style="3" bestFit="1" customWidth="1"/>
    <col min="10" max="11" width="10.6640625" style="3" bestFit="1" customWidth="1"/>
    <col min="12" max="13" width="9.6640625" style="3" bestFit="1" customWidth="1"/>
    <col min="14" max="14" width="10.6640625" style="3" bestFit="1" customWidth="1"/>
    <col min="15" max="16384" width="8.88671875" style="3"/>
  </cols>
  <sheetData>
    <row r="1" spans="1:6" x14ac:dyDescent="0.3">
      <c r="A1" s="3">
        <v>0</v>
      </c>
      <c r="B1" s="3" t="s">
        <v>200</v>
      </c>
    </row>
    <row r="3" spans="1:6" x14ac:dyDescent="0.3">
      <c r="A3" s="3">
        <v>1505761219</v>
      </c>
      <c r="C3" s="3">
        <v>2017</v>
      </c>
      <c r="D3" s="3">
        <v>2018</v>
      </c>
      <c r="E3" s="3">
        <v>2019</v>
      </c>
      <c r="F3" s="3">
        <v>2020</v>
      </c>
    </row>
    <row r="4" spans="1:6" x14ac:dyDescent="0.3">
      <c r="A4" s="3">
        <v>1504948820</v>
      </c>
      <c r="B4" s="3" t="s">
        <v>349</v>
      </c>
    </row>
    <row r="6" spans="1:6" x14ac:dyDescent="0.3">
      <c r="A6" s="3">
        <v>6340</v>
      </c>
      <c r="B6" s="3" t="s">
        <v>201</v>
      </c>
    </row>
    <row r="7" spans="1:6" x14ac:dyDescent="0.3">
      <c r="A7" s="3">
        <v>6388</v>
      </c>
      <c r="B7" s="3" t="s">
        <v>202</v>
      </c>
      <c r="D7" s="3">
        <v>342507.88710479374</v>
      </c>
      <c r="E7" s="3">
        <v>278838.40033695684</v>
      </c>
      <c r="F7" s="3">
        <v>243757.83661467937</v>
      </c>
    </row>
    <row r="8" spans="1:6" x14ac:dyDescent="0.3">
      <c r="A8" s="3">
        <v>1505129417</v>
      </c>
      <c r="B8" s="3" t="s">
        <v>203</v>
      </c>
      <c r="D8" s="3">
        <v>0</v>
      </c>
      <c r="E8" s="3">
        <v>0</v>
      </c>
      <c r="F8" s="3">
        <v>0</v>
      </c>
    </row>
    <row r="9" spans="1:6" x14ac:dyDescent="0.3">
      <c r="A9" s="3">
        <v>1505091818</v>
      </c>
      <c r="B9" s="3" t="s">
        <v>379</v>
      </c>
      <c r="D9" s="3">
        <v>0</v>
      </c>
      <c r="E9" s="3">
        <v>0</v>
      </c>
      <c r="F9" s="3">
        <v>0</v>
      </c>
    </row>
    <row r="10" spans="1:6" x14ac:dyDescent="0.3">
      <c r="A10" s="3">
        <v>1505172817</v>
      </c>
      <c r="B10" s="3" t="s">
        <v>204</v>
      </c>
      <c r="D10" s="3">
        <v>-73410.399000000005</v>
      </c>
      <c r="E10" s="3">
        <v>0</v>
      </c>
      <c r="F10" s="3">
        <v>0</v>
      </c>
    </row>
    <row r="11" spans="1:6" x14ac:dyDescent="0.3">
      <c r="A11" s="3">
        <v>1505646619</v>
      </c>
      <c r="B11" s="3" t="s">
        <v>380</v>
      </c>
      <c r="D11" s="3">
        <v>4612</v>
      </c>
      <c r="E11" s="3">
        <v>0</v>
      </c>
      <c r="F11" s="3">
        <v>0</v>
      </c>
    </row>
    <row r="12" spans="1:6" x14ac:dyDescent="0.3">
      <c r="A12" s="3">
        <v>1505728017</v>
      </c>
      <c r="B12" s="3" t="s">
        <v>377</v>
      </c>
      <c r="D12" s="3">
        <v>-1216.414</v>
      </c>
      <c r="E12" s="3">
        <v>-265</v>
      </c>
      <c r="F12" s="3">
        <v>-265</v>
      </c>
    </row>
    <row r="13" spans="1:6" x14ac:dyDescent="0.3">
      <c r="A13" s="3">
        <v>6394</v>
      </c>
      <c r="B13" s="3" t="s">
        <v>205</v>
      </c>
      <c r="D13" s="3">
        <v>-4322.1304125809138</v>
      </c>
      <c r="E13" s="3">
        <v>611.88105074776968</v>
      </c>
      <c r="F13" s="3">
        <v>-1803.8326103872164</v>
      </c>
    </row>
    <row r="14" spans="1:6" x14ac:dyDescent="0.3">
      <c r="A14" s="3">
        <v>6400</v>
      </c>
      <c r="B14" s="3" t="s">
        <v>206</v>
      </c>
      <c r="D14" s="3">
        <v>11677.819637631474</v>
      </c>
      <c r="E14" s="3">
        <v>5763.4623122302146</v>
      </c>
      <c r="F14" s="3">
        <v>40276.355045564691</v>
      </c>
    </row>
    <row r="15" spans="1:6" x14ac:dyDescent="0.3">
      <c r="A15" s="3">
        <v>1505440022</v>
      </c>
      <c r="B15" s="3" t="s">
        <v>694</v>
      </c>
      <c r="D15" s="3">
        <v>-61932.443019999992</v>
      </c>
      <c r="E15" s="3">
        <v>-17194.002219999998</v>
      </c>
      <c r="F15" s="3">
        <v>5934.3310000000001</v>
      </c>
    </row>
    <row r="17" spans="1:7" x14ac:dyDescent="0.3">
      <c r="A17" s="3">
        <v>1500232805</v>
      </c>
      <c r="B17" s="3" t="s">
        <v>207</v>
      </c>
    </row>
    <row r="18" spans="1:7" x14ac:dyDescent="0.3">
      <c r="A18" s="33">
        <v>1500279697</v>
      </c>
      <c r="B18" s="34" t="s">
        <v>91</v>
      </c>
      <c r="C18" s="26"/>
      <c r="D18" s="26"/>
      <c r="E18" s="26"/>
      <c r="F18" s="26"/>
      <c r="G18" s="26"/>
    </row>
    <row r="19" spans="1:7" x14ac:dyDescent="0.3">
      <c r="A19" s="33">
        <v>1505157221</v>
      </c>
      <c r="B19" s="34" t="s">
        <v>208</v>
      </c>
      <c r="C19" s="26"/>
      <c r="D19" s="26"/>
      <c r="E19" s="26"/>
      <c r="F19" s="26"/>
      <c r="G19" s="26"/>
    </row>
    <row r="20" spans="1:7" x14ac:dyDescent="0.3">
      <c r="A20" s="33">
        <v>1505117020</v>
      </c>
      <c r="B20" s="34" t="s">
        <v>209</v>
      </c>
      <c r="C20" s="26"/>
      <c r="D20" s="26">
        <v>-46000</v>
      </c>
      <c r="E20" s="26">
        <v>0</v>
      </c>
      <c r="F20" s="26">
        <v>0</v>
      </c>
      <c r="G20" s="26"/>
    </row>
    <row r="21" spans="1:7" x14ac:dyDescent="0.3">
      <c r="A21" s="33">
        <v>1505453220</v>
      </c>
      <c r="B21" s="34" t="s">
        <v>210</v>
      </c>
      <c r="C21" s="26"/>
      <c r="D21" s="26">
        <v>-5384.23</v>
      </c>
      <c r="E21" s="26">
        <v>-5159.0649999999996</v>
      </c>
      <c r="F21" s="26">
        <v>-5251.1080000000002</v>
      </c>
      <c r="G21" s="26"/>
    </row>
    <row r="22" spans="1:7" x14ac:dyDescent="0.3">
      <c r="A22" s="33">
        <v>1505453218</v>
      </c>
      <c r="B22" s="34" t="s">
        <v>211</v>
      </c>
      <c r="C22" s="26"/>
      <c r="D22" s="26">
        <v>3008</v>
      </c>
      <c r="E22" s="26">
        <v>0</v>
      </c>
      <c r="F22" s="26">
        <v>0</v>
      </c>
      <c r="G22" s="26"/>
    </row>
    <row r="23" spans="1:7" x14ac:dyDescent="0.3">
      <c r="A23" s="33">
        <v>1505453219</v>
      </c>
      <c r="B23" s="34" t="s">
        <v>212</v>
      </c>
      <c r="C23" s="26"/>
      <c r="D23" s="26">
        <v>0</v>
      </c>
      <c r="E23" s="26">
        <v>0</v>
      </c>
      <c r="F23" s="26">
        <v>0</v>
      </c>
      <c r="G23" s="26"/>
    </row>
    <row r="24" spans="1:7" x14ac:dyDescent="0.3">
      <c r="A24" s="33">
        <v>1500279696</v>
      </c>
      <c r="B24" s="34" t="s">
        <v>93</v>
      </c>
      <c r="C24" s="26"/>
      <c r="D24" s="26"/>
      <c r="E24" s="26"/>
      <c r="F24" s="26"/>
      <c r="G24" s="26"/>
    </row>
    <row r="25" spans="1:7" x14ac:dyDescent="0.3">
      <c r="A25" s="33">
        <v>1500279695</v>
      </c>
      <c r="B25" s="34" t="s">
        <v>213</v>
      </c>
      <c r="C25" s="26"/>
      <c r="D25" s="26"/>
      <c r="E25" s="26"/>
      <c r="F25" s="26"/>
      <c r="G25" s="26"/>
    </row>
    <row r="26" spans="1:7" x14ac:dyDescent="0.3">
      <c r="A26" s="33">
        <v>1500232808</v>
      </c>
      <c r="B26" s="34" t="s">
        <v>214</v>
      </c>
      <c r="C26" s="26"/>
      <c r="D26" s="26">
        <v>0</v>
      </c>
      <c r="E26" s="26">
        <v>0</v>
      </c>
      <c r="F26" s="26">
        <v>0</v>
      </c>
      <c r="G26" s="26"/>
    </row>
    <row r="27" spans="1:7" x14ac:dyDescent="0.3">
      <c r="A27" s="33">
        <v>1500292926</v>
      </c>
      <c r="B27" s="34" t="s">
        <v>215</v>
      </c>
      <c r="C27" s="26"/>
      <c r="D27" s="26">
        <v>500</v>
      </c>
      <c r="E27" s="26">
        <v>500</v>
      </c>
      <c r="F27" s="26">
        <v>500</v>
      </c>
      <c r="G27" s="26"/>
    </row>
    <row r="28" spans="1:7" x14ac:dyDescent="0.3">
      <c r="A28" s="33">
        <v>1500292925</v>
      </c>
      <c r="B28" s="34" t="s">
        <v>216</v>
      </c>
      <c r="C28" s="26"/>
      <c r="D28" s="26">
        <v>-161</v>
      </c>
      <c r="E28" s="26">
        <v>-161</v>
      </c>
      <c r="F28" s="26">
        <v>-161</v>
      </c>
      <c r="G28" s="26"/>
    </row>
    <row r="29" spans="1:7" x14ac:dyDescent="0.3">
      <c r="A29" s="33">
        <v>1500292924</v>
      </c>
      <c r="B29" s="34" t="s">
        <v>217</v>
      </c>
      <c r="C29" s="26"/>
      <c r="D29" s="26">
        <v>795.27263999999991</v>
      </c>
      <c r="E29" s="26">
        <v>830.52300000000002</v>
      </c>
      <c r="F29" s="26">
        <v>844.10400000000004</v>
      </c>
      <c r="G29" s="26"/>
    </row>
    <row r="30" spans="1:7" x14ac:dyDescent="0.3">
      <c r="A30" s="33">
        <v>1505410219</v>
      </c>
      <c r="B30" s="34" t="s">
        <v>218</v>
      </c>
      <c r="C30" s="26"/>
      <c r="D30" s="26">
        <v>-1631.4708700000001</v>
      </c>
      <c r="E30" s="26">
        <v>-1714.0559999999998</v>
      </c>
      <c r="F30" s="26">
        <v>-1748.3279999999997</v>
      </c>
      <c r="G30" s="26"/>
    </row>
    <row r="31" spans="1:7" x14ac:dyDescent="0.3">
      <c r="A31" s="33">
        <v>1504886017</v>
      </c>
      <c r="B31" s="34" t="s">
        <v>219</v>
      </c>
      <c r="C31" s="26"/>
      <c r="D31" s="26">
        <v>0</v>
      </c>
      <c r="E31" s="26">
        <v>0</v>
      </c>
      <c r="F31" s="26">
        <v>0</v>
      </c>
      <c r="G31" s="26"/>
    </row>
    <row r="32" spans="1:7" x14ac:dyDescent="0.3">
      <c r="A32" s="33">
        <v>1502481616</v>
      </c>
      <c r="B32" s="34" t="s">
        <v>220</v>
      </c>
      <c r="C32" s="26"/>
      <c r="D32" s="26">
        <v>0</v>
      </c>
      <c r="E32" s="26">
        <v>0</v>
      </c>
      <c r="F32" s="26">
        <v>0</v>
      </c>
      <c r="G32" s="26"/>
    </row>
    <row r="33" spans="1:7" x14ac:dyDescent="0.3">
      <c r="A33" s="33">
        <v>1500292922</v>
      </c>
      <c r="B33" s="34" t="s">
        <v>221</v>
      </c>
      <c r="C33" s="26"/>
      <c r="D33" s="26">
        <v>0</v>
      </c>
      <c r="E33" s="26">
        <v>0</v>
      </c>
      <c r="F33" s="26">
        <v>0</v>
      </c>
      <c r="G33" s="26"/>
    </row>
    <row r="34" spans="1:7" x14ac:dyDescent="0.3">
      <c r="A34" s="33">
        <v>1500292920</v>
      </c>
      <c r="B34" s="34" t="s">
        <v>222</v>
      </c>
      <c r="C34" s="26"/>
      <c r="D34" s="26">
        <v>0</v>
      </c>
      <c r="E34" s="26">
        <v>0</v>
      </c>
      <c r="F34" s="26">
        <v>0</v>
      </c>
      <c r="G34" s="26"/>
    </row>
    <row r="35" spans="1:7" x14ac:dyDescent="0.3">
      <c r="A35" s="33">
        <v>1500292919</v>
      </c>
      <c r="B35" s="34" t="s">
        <v>223</v>
      </c>
      <c r="C35" s="26"/>
      <c r="D35" s="26">
        <v>-367.18634110394908</v>
      </c>
      <c r="E35" s="26">
        <v>-15.168725540667642</v>
      </c>
      <c r="F35" s="26">
        <v>-0.53165829496488248</v>
      </c>
      <c r="G35" s="26"/>
    </row>
    <row r="36" spans="1:7" x14ac:dyDescent="0.3">
      <c r="A36" s="33">
        <v>1505335426</v>
      </c>
      <c r="B36" s="34" t="s">
        <v>224</v>
      </c>
      <c r="C36" s="26"/>
      <c r="D36" s="26">
        <v>850</v>
      </c>
      <c r="E36" s="26">
        <v>800</v>
      </c>
      <c r="F36" s="26">
        <v>800</v>
      </c>
      <c r="G36" s="26"/>
    </row>
    <row r="37" spans="1:7" x14ac:dyDescent="0.3">
      <c r="A37" s="33">
        <v>1500292964</v>
      </c>
      <c r="B37" s="34" t="s">
        <v>225</v>
      </c>
      <c r="C37" s="26"/>
      <c r="D37" s="26">
        <v>0</v>
      </c>
      <c r="E37" s="26">
        <v>0</v>
      </c>
      <c r="F37" s="26">
        <v>0</v>
      </c>
      <c r="G37" s="26"/>
    </row>
    <row r="38" spans="1:7" x14ac:dyDescent="0.3">
      <c r="A38" s="33">
        <v>1500292915</v>
      </c>
      <c r="B38" s="34" t="s">
        <v>226</v>
      </c>
      <c r="C38" s="26"/>
      <c r="D38" s="26">
        <v>-14.384571103949156</v>
      </c>
      <c r="E38" s="26">
        <v>240.29827445933245</v>
      </c>
      <c r="F38" s="26">
        <v>234.24434170503491</v>
      </c>
      <c r="G38" s="26"/>
    </row>
    <row r="39" spans="1:7" x14ac:dyDescent="0.3">
      <c r="A39" s="33">
        <v>1500292913</v>
      </c>
      <c r="B39" s="34" t="s">
        <v>227</v>
      </c>
      <c r="C39" s="26"/>
      <c r="D39" s="26"/>
      <c r="E39" s="26"/>
      <c r="F39" s="26"/>
      <c r="G39" s="26"/>
    </row>
    <row r="40" spans="1:7" x14ac:dyDescent="0.3">
      <c r="A40" s="33">
        <v>1500292912</v>
      </c>
      <c r="B40" s="34" t="s">
        <v>228</v>
      </c>
      <c r="C40" s="26"/>
      <c r="D40" s="26"/>
      <c r="E40" s="26"/>
      <c r="F40" s="26"/>
      <c r="G40" s="26"/>
    </row>
    <row r="41" spans="1:7" x14ac:dyDescent="0.3">
      <c r="A41" s="33">
        <v>1500292921</v>
      </c>
      <c r="B41" s="34" t="s">
        <v>229</v>
      </c>
      <c r="C41" s="26"/>
      <c r="D41" s="26">
        <v>0</v>
      </c>
      <c r="E41" s="26">
        <v>0</v>
      </c>
      <c r="F41" s="26">
        <v>0</v>
      </c>
      <c r="G41" s="26"/>
    </row>
    <row r="42" spans="1:7" x14ac:dyDescent="0.3">
      <c r="A42" s="33">
        <v>1500292910</v>
      </c>
      <c r="B42" s="34" t="s">
        <v>230</v>
      </c>
      <c r="C42" s="26"/>
      <c r="D42" s="26">
        <v>0</v>
      </c>
      <c r="E42" s="26">
        <v>0</v>
      </c>
      <c r="F42" s="26">
        <v>0</v>
      </c>
      <c r="G42" s="26"/>
    </row>
    <row r="43" spans="1:7" x14ac:dyDescent="0.3">
      <c r="A43" s="33">
        <v>1505127307</v>
      </c>
      <c r="B43" s="34" t="s">
        <v>231</v>
      </c>
      <c r="C43" s="26"/>
      <c r="D43" s="26"/>
      <c r="E43" s="26"/>
      <c r="F43" s="26"/>
      <c r="G43" s="26"/>
    </row>
    <row r="44" spans="1:7" x14ac:dyDescent="0.3">
      <c r="A44" s="33">
        <v>1500292908</v>
      </c>
      <c r="B44" s="34" t="s">
        <v>232</v>
      </c>
      <c r="C44" s="26"/>
      <c r="D44" s="26">
        <v>-14.384571103949156</v>
      </c>
      <c r="E44" s="26">
        <v>240.29827445933245</v>
      </c>
      <c r="F44" s="26">
        <v>234.24434170503491</v>
      </c>
      <c r="G44" s="26"/>
    </row>
    <row r="45" spans="1:7" x14ac:dyDescent="0.3">
      <c r="A45" s="33">
        <v>1500292905</v>
      </c>
      <c r="B45" s="34" t="s">
        <v>92</v>
      </c>
      <c r="C45" s="26"/>
      <c r="D45" s="26"/>
      <c r="E45" s="26"/>
      <c r="F45" s="26"/>
      <c r="G45" s="26"/>
    </row>
    <row r="46" spans="1:7" x14ac:dyDescent="0.3">
      <c r="A46" s="33">
        <v>1500292937</v>
      </c>
      <c r="B46" s="34" t="s">
        <v>233</v>
      </c>
      <c r="C46" s="26"/>
      <c r="D46" s="26"/>
      <c r="E46" s="26"/>
      <c r="F46" s="26"/>
      <c r="G46" s="26"/>
    </row>
    <row r="47" spans="1:7" x14ac:dyDescent="0.3">
      <c r="A47" s="33">
        <v>1500292916</v>
      </c>
      <c r="B47" s="34" t="s">
        <v>234</v>
      </c>
      <c r="C47" s="26"/>
      <c r="D47" s="26">
        <v>-46244.270299999996</v>
      </c>
      <c r="E47" s="26">
        <v>-49340.59792</v>
      </c>
      <c r="F47" s="26">
        <v>-50460.309849999991</v>
      </c>
      <c r="G47" s="26"/>
    </row>
    <row r="48" spans="1:7" x14ac:dyDescent="0.3">
      <c r="A48" s="33">
        <v>1500292918</v>
      </c>
      <c r="B48" s="34" t="s">
        <v>235</v>
      </c>
      <c r="C48" s="26"/>
      <c r="D48" s="26">
        <v>5423.5624026972546</v>
      </c>
      <c r="E48" s="26">
        <v>9778.2731723788347</v>
      </c>
      <c r="F48" s="26">
        <v>11332.400361769614</v>
      </c>
      <c r="G48" s="26"/>
    </row>
    <row r="49" spans="1:7" x14ac:dyDescent="0.3">
      <c r="A49" s="33">
        <v>1500292917</v>
      </c>
      <c r="B49" s="34" t="s">
        <v>381</v>
      </c>
      <c r="C49" s="26"/>
      <c r="D49" s="26">
        <v>0</v>
      </c>
      <c r="E49" s="26">
        <v>0</v>
      </c>
      <c r="F49" s="26">
        <v>0</v>
      </c>
      <c r="G49" s="26"/>
    </row>
    <row r="50" spans="1:7" x14ac:dyDescent="0.3">
      <c r="A50" s="33">
        <v>1500292954</v>
      </c>
      <c r="B50" s="34" t="s">
        <v>236</v>
      </c>
      <c r="C50" s="26"/>
      <c r="D50" s="26">
        <v>0</v>
      </c>
      <c r="E50" s="26">
        <v>0</v>
      </c>
      <c r="F50" s="26">
        <v>0</v>
      </c>
      <c r="G50" s="26"/>
    </row>
    <row r="51" spans="1:7" x14ac:dyDescent="0.3">
      <c r="A51" s="33">
        <v>1500292952</v>
      </c>
      <c r="B51" s="34" t="s">
        <v>237</v>
      </c>
      <c r="C51" s="26"/>
      <c r="D51" s="26">
        <v>-850</v>
      </c>
      <c r="E51" s="26">
        <v>-800</v>
      </c>
      <c r="F51" s="26">
        <v>-800</v>
      </c>
      <c r="G51" s="26"/>
    </row>
    <row r="52" spans="1:7" x14ac:dyDescent="0.3">
      <c r="A52" s="33">
        <v>1500292950</v>
      </c>
      <c r="B52" s="34" t="s">
        <v>238</v>
      </c>
      <c r="C52" s="26"/>
      <c r="D52" s="26">
        <v>-702.37099999999998</v>
      </c>
      <c r="E52" s="26">
        <v>-21101.628000000001</v>
      </c>
      <c r="F52" s="26">
        <v>-596.495</v>
      </c>
      <c r="G52" s="26"/>
    </row>
    <row r="53" spans="1:7" x14ac:dyDescent="0.3">
      <c r="A53" s="33">
        <v>1500292947</v>
      </c>
      <c r="B53" s="34" t="s">
        <v>239</v>
      </c>
      <c r="C53" s="26"/>
      <c r="D53" s="26">
        <v>6000</v>
      </c>
      <c r="E53" s="26">
        <v>6000</v>
      </c>
      <c r="F53" s="26">
        <v>6000</v>
      </c>
      <c r="G53" s="26"/>
    </row>
    <row r="54" spans="1:7" x14ac:dyDescent="0.3">
      <c r="A54" s="33">
        <v>1500292968</v>
      </c>
      <c r="B54" s="34" t="s">
        <v>240</v>
      </c>
      <c r="C54" s="26"/>
      <c r="D54" s="26">
        <v>-225.9544601394019</v>
      </c>
      <c r="E54" s="26">
        <v>-9.3343283877896521</v>
      </c>
      <c r="F54" s="26">
        <v>-0.32716480379248253</v>
      </c>
      <c r="G54" s="26"/>
    </row>
    <row r="55" spans="1:7" x14ac:dyDescent="0.3">
      <c r="A55" s="33">
        <v>1500292987</v>
      </c>
      <c r="B55" s="34" t="s">
        <v>241</v>
      </c>
      <c r="C55" s="26"/>
      <c r="D55" s="26">
        <v>0</v>
      </c>
      <c r="E55" s="26">
        <v>0</v>
      </c>
      <c r="F55" s="26">
        <v>0</v>
      </c>
      <c r="G55" s="26"/>
    </row>
    <row r="56" spans="1:7" x14ac:dyDescent="0.3">
      <c r="A56" s="33">
        <v>1500292992</v>
      </c>
      <c r="B56" s="34" t="s">
        <v>242</v>
      </c>
      <c r="C56" s="26"/>
      <c r="D56" s="26">
        <v>314.81933999999978</v>
      </c>
      <c r="E56" s="26">
        <v>314.55072000000064</v>
      </c>
      <c r="F56" s="26">
        <v>314.55072000000024</v>
      </c>
      <c r="G56" s="26"/>
    </row>
    <row r="57" spans="1:7" x14ac:dyDescent="0.3">
      <c r="A57" s="33">
        <v>1505335617</v>
      </c>
      <c r="B57" s="34" t="s">
        <v>243</v>
      </c>
      <c r="C57" s="26"/>
      <c r="D57" s="26">
        <v>0</v>
      </c>
      <c r="E57" s="26">
        <v>0</v>
      </c>
      <c r="F57" s="26">
        <v>0</v>
      </c>
      <c r="G57" s="26"/>
    </row>
    <row r="58" spans="1:7" x14ac:dyDescent="0.3">
      <c r="A58" s="33">
        <v>1505092466</v>
      </c>
      <c r="B58" s="34" t="s">
        <v>244</v>
      </c>
      <c r="C58" s="26"/>
      <c r="D58" s="26">
        <v>275782.39261278772</v>
      </c>
      <c r="E58" s="26">
        <v>331968.90182683943</v>
      </c>
      <c r="F58" s="26">
        <v>369001.50932923902</v>
      </c>
      <c r="G58" s="26"/>
    </row>
    <row r="59" spans="1:7" x14ac:dyDescent="0.3">
      <c r="A59" s="33">
        <v>1505117019</v>
      </c>
      <c r="B59" s="34" t="s">
        <v>245</v>
      </c>
      <c r="C59" s="26"/>
      <c r="D59" s="26">
        <v>-27781.328000000005</v>
      </c>
      <c r="E59" s="26">
        <v>-43567.805530000012</v>
      </c>
      <c r="F59" s="26">
        <v>-21034.139800000001</v>
      </c>
      <c r="G59" s="26"/>
    </row>
    <row r="60" spans="1:7" x14ac:dyDescent="0.3">
      <c r="A60" s="33">
        <v>1505117021</v>
      </c>
      <c r="B60" s="34" t="s">
        <v>246</v>
      </c>
      <c r="C60" s="26"/>
      <c r="D60" s="26">
        <v>-145.96876326150777</v>
      </c>
      <c r="E60" s="26">
        <v>-2090.8516875532869</v>
      </c>
      <c r="F60" s="26">
        <v>-2892.6266016499958</v>
      </c>
      <c r="G60" s="26"/>
    </row>
    <row r="61" spans="1:7" x14ac:dyDescent="0.3">
      <c r="A61" s="33">
        <v>1505157220</v>
      </c>
      <c r="B61" s="34" t="s">
        <v>247</v>
      </c>
      <c r="C61" s="26"/>
      <c r="D61" s="26">
        <v>0</v>
      </c>
      <c r="E61" s="26">
        <v>0</v>
      </c>
      <c r="F61" s="26">
        <v>0</v>
      </c>
      <c r="G61" s="26"/>
    </row>
    <row r="62" spans="1:7" x14ac:dyDescent="0.3">
      <c r="A62" s="33">
        <v>1505117023</v>
      </c>
      <c r="B62" s="34" t="s">
        <v>248</v>
      </c>
      <c r="C62" s="26"/>
      <c r="D62" s="26">
        <v>847.0569999999999</v>
      </c>
      <c r="E62" s="26">
        <v>576.67999999999597</v>
      </c>
      <c r="F62" s="26">
        <v>550.55000000000041</v>
      </c>
      <c r="G62" s="26"/>
    </row>
    <row r="63" spans="1:7" x14ac:dyDescent="0.3">
      <c r="A63" s="33">
        <v>1505117022</v>
      </c>
      <c r="B63" s="34" t="s">
        <v>249</v>
      </c>
      <c r="C63" s="26"/>
      <c r="D63" s="26">
        <v>-5384.23</v>
      </c>
      <c r="E63" s="26">
        <v>-5159.0649999999996</v>
      </c>
      <c r="F63" s="26">
        <v>-5251.1080000000002</v>
      </c>
      <c r="G63" s="26"/>
    </row>
    <row r="64" spans="1:7" x14ac:dyDescent="0.3">
      <c r="A64" s="33">
        <v>1505135025</v>
      </c>
      <c r="B64" s="34" t="s">
        <v>250</v>
      </c>
      <c r="C64" s="26"/>
      <c r="D64" s="26">
        <v>0</v>
      </c>
      <c r="E64" s="26">
        <v>0</v>
      </c>
      <c r="F64" s="26">
        <v>0</v>
      </c>
      <c r="G64" s="26"/>
    </row>
    <row r="65" spans="1:7" x14ac:dyDescent="0.3">
      <c r="A65" s="33">
        <v>1505218217</v>
      </c>
      <c r="B65" s="34" t="s">
        <v>251</v>
      </c>
      <c r="C65" s="26"/>
      <c r="D65" s="26">
        <v>0</v>
      </c>
      <c r="E65" s="26">
        <v>0</v>
      </c>
      <c r="F65" s="26">
        <v>0</v>
      </c>
      <c r="G65" s="26"/>
    </row>
    <row r="66" spans="1:7" x14ac:dyDescent="0.3">
      <c r="A66" s="33">
        <v>1505152417</v>
      </c>
      <c r="B66" s="34" t="s">
        <v>252</v>
      </c>
      <c r="C66" s="26"/>
      <c r="D66" s="26">
        <v>-30000</v>
      </c>
      <c r="E66" s="26">
        <v>-30000</v>
      </c>
      <c r="F66" s="26">
        <v>-30000</v>
      </c>
      <c r="G66" s="26"/>
    </row>
    <row r="67" spans="1:7" x14ac:dyDescent="0.3">
      <c r="A67" s="33">
        <v>1505154017</v>
      </c>
      <c r="B67" s="34" t="s">
        <v>253</v>
      </c>
      <c r="C67" s="26"/>
      <c r="D67" s="26">
        <v>9841.1870180921633</v>
      </c>
      <c r="E67" s="26">
        <v>10549.319426052431</v>
      </c>
      <c r="F67" s="26">
        <v>6363.9707090020856</v>
      </c>
      <c r="G67" s="26"/>
    </row>
    <row r="68" spans="1:7" x14ac:dyDescent="0.3">
      <c r="A68" s="33">
        <v>1505152419</v>
      </c>
      <c r="B68" s="34" t="s">
        <v>254</v>
      </c>
      <c r="C68" s="26"/>
      <c r="D68" s="26">
        <v>16192.657868024433</v>
      </c>
      <c r="E68" s="26">
        <v>-6189.0668545638528</v>
      </c>
      <c r="F68" s="26">
        <v>-1808.1777356498142</v>
      </c>
      <c r="G68" s="26"/>
    </row>
    <row r="69" spans="1:7" x14ac:dyDescent="0.3">
      <c r="A69" s="33">
        <v>1505152418</v>
      </c>
      <c r="B69" s="34" t="s">
        <v>255</v>
      </c>
      <c r="C69" s="26"/>
      <c r="D69" s="26">
        <v>6447.4787501522205</v>
      </c>
      <c r="E69" s="26">
        <v>-10700.69127377308</v>
      </c>
      <c r="F69" s="26">
        <v>-1818.6646325050815</v>
      </c>
      <c r="G69" s="26"/>
    </row>
    <row r="70" spans="1:7" x14ac:dyDescent="0.3">
      <c r="A70" s="33">
        <v>1505741022</v>
      </c>
      <c r="B70" s="34" t="s">
        <v>410</v>
      </c>
      <c r="C70" s="26"/>
      <c r="D70" s="26">
        <v>0</v>
      </c>
      <c r="E70" s="26">
        <v>0</v>
      </c>
      <c r="F70" s="26">
        <v>0</v>
      </c>
      <c r="G70" s="26"/>
    </row>
    <row r="71" spans="1:7" x14ac:dyDescent="0.3">
      <c r="A71" s="33">
        <v>1500292990</v>
      </c>
      <c r="B71" s="34" t="s">
        <v>256</v>
      </c>
      <c r="C71" s="26"/>
      <c r="D71" s="26">
        <v>209515.03246835285</v>
      </c>
      <c r="E71" s="26">
        <v>190228.68455099265</v>
      </c>
      <c r="F71" s="26">
        <v>278901.13233540196</v>
      </c>
      <c r="G71" s="26"/>
    </row>
    <row r="72" spans="1:7" x14ac:dyDescent="0.3">
      <c r="A72" s="33">
        <v>1505092465</v>
      </c>
      <c r="B72" s="34" t="s">
        <v>257</v>
      </c>
      <c r="C72" s="26"/>
      <c r="D72" s="26">
        <v>-328980.54524740559</v>
      </c>
      <c r="E72" s="26">
        <v>-424018.29860153166</v>
      </c>
      <c r="F72" s="26">
        <v>-333969.64003577066</v>
      </c>
      <c r="G72" s="26"/>
    </row>
    <row r="73" spans="1:7" x14ac:dyDescent="0.3">
      <c r="A73" s="33">
        <v>1501431604</v>
      </c>
      <c r="B73" s="34" t="s">
        <v>258</v>
      </c>
      <c r="C73" s="26"/>
      <c r="D73" s="26">
        <v>0</v>
      </c>
      <c r="E73" s="26">
        <v>0</v>
      </c>
      <c r="F73" s="26">
        <v>0</v>
      </c>
      <c r="G73" s="26"/>
    </row>
    <row r="74" spans="1:7" x14ac:dyDescent="0.3">
      <c r="A74" s="33">
        <v>1504879017</v>
      </c>
      <c r="B74" s="34" t="s">
        <v>259</v>
      </c>
      <c r="C74" s="26"/>
      <c r="D74" s="26">
        <v>0</v>
      </c>
      <c r="E74" s="26">
        <v>0</v>
      </c>
      <c r="F74" s="26">
        <v>0</v>
      </c>
      <c r="G74" s="26"/>
    </row>
    <row r="75" spans="1:7" x14ac:dyDescent="0.3">
      <c r="A75" s="33">
        <v>1500292963</v>
      </c>
      <c r="B75" s="34" t="s">
        <v>260</v>
      </c>
      <c r="C75" s="26"/>
      <c r="D75" s="26">
        <v>-328980.54524740559</v>
      </c>
      <c r="E75" s="26">
        <v>-424018.29860153166</v>
      </c>
      <c r="F75" s="26">
        <v>-333969.64003577066</v>
      </c>
      <c r="G75" s="26"/>
    </row>
    <row r="76" spans="1:7" x14ac:dyDescent="0.3">
      <c r="A76" s="33">
        <v>1500292991</v>
      </c>
      <c r="B76" s="34" t="s">
        <v>261</v>
      </c>
      <c r="C76" s="26"/>
      <c r="D76" s="26">
        <v>-119465.51277905275</v>
      </c>
      <c r="E76" s="26">
        <v>-233789.61405053909</v>
      </c>
      <c r="F76" s="26">
        <v>-55068.507700368784</v>
      </c>
      <c r="G76" s="26"/>
    </row>
    <row r="77" spans="1:7" x14ac:dyDescent="0.3">
      <c r="A77" s="33">
        <v>1500391335</v>
      </c>
      <c r="B77" s="34" t="s">
        <v>262</v>
      </c>
      <c r="C77" s="26"/>
      <c r="D77" s="26">
        <v>209515.03246835285</v>
      </c>
      <c r="E77" s="26">
        <v>190228.68455099265</v>
      </c>
      <c r="F77" s="26">
        <v>278901.13233540196</v>
      </c>
      <c r="G77" s="26"/>
    </row>
    <row r="78" spans="1:7" x14ac:dyDescent="0.3">
      <c r="A78" s="33">
        <v>1500391334</v>
      </c>
      <c r="B78" s="34" t="s">
        <v>263</v>
      </c>
      <c r="C78" s="26"/>
      <c r="D78" s="26">
        <v>-328980.54524740559</v>
      </c>
      <c r="E78" s="26">
        <v>-424018.29860153166</v>
      </c>
      <c r="F78" s="26">
        <v>-333969.64003577066</v>
      </c>
      <c r="G78" s="26"/>
    </row>
    <row r="79" spans="1:7" x14ac:dyDescent="0.3">
      <c r="A79" s="33">
        <v>1500292928</v>
      </c>
      <c r="B79" s="34" t="s">
        <v>264</v>
      </c>
      <c r="C79" s="26"/>
      <c r="D79" s="26">
        <v>-119465.51277905275</v>
      </c>
      <c r="E79" s="26">
        <v>-233789.61405053909</v>
      </c>
      <c r="F79" s="26">
        <v>-55068.507700368784</v>
      </c>
      <c r="G79" s="26"/>
    </row>
    <row r="80" spans="1:7" x14ac:dyDescent="0.3">
      <c r="A80" s="33">
        <v>1500391349</v>
      </c>
      <c r="B80" s="34" t="s">
        <v>265</v>
      </c>
      <c r="C80" s="26"/>
      <c r="D80" s="26">
        <v>1954.5369999999964</v>
      </c>
      <c r="E80" s="26">
        <v>1729.1583333333324</v>
      </c>
      <c r="F80" s="26">
        <v>1616.4690000000003</v>
      </c>
      <c r="G80" s="26"/>
    </row>
    <row r="81" spans="1:14" x14ac:dyDescent="0.3">
      <c r="A81" s="33">
        <v>1505129419</v>
      </c>
      <c r="B81" s="34" t="s">
        <v>266</v>
      </c>
      <c r="C81" s="26"/>
      <c r="D81" s="26">
        <v>279.26699999999994</v>
      </c>
      <c r="E81" s="26">
        <v>279.26699999999994</v>
      </c>
      <c r="F81" s="26">
        <v>279.26699999999994</v>
      </c>
      <c r="G81" s="26"/>
    </row>
    <row r="82" spans="1:14" x14ac:dyDescent="0.3">
      <c r="A82" s="33">
        <v>1500391341</v>
      </c>
      <c r="B82" s="34" t="s">
        <v>267</v>
      </c>
      <c r="C82" s="26"/>
      <c r="D82" s="26">
        <v>2233.803999999996</v>
      </c>
      <c r="E82" s="26">
        <v>2008.4253333333324</v>
      </c>
      <c r="F82" s="26">
        <v>1895.7360000000006</v>
      </c>
      <c r="G82" s="26"/>
    </row>
    <row r="83" spans="1:14" x14ac:dyDescent="0.3">
      <c r="A83" s="33">
        <v>1505154020</v>
      </c>
      <c r="B83" s="34" t="s">
        <v>268</v>
      </c>
      <c r="C83" s="26"/>
      <c r="D83" s="26">
        <v>3374121.2633458842</v>
      </c>
      <c r="E83" s="26">
        <v>3616909.51750369</v>
      </c>
      <c r="F83" s="26">
        <v>2181932.8145150007</v>
      </c>
      <c r="G83" s="26"/>
    </row>
    <row r="84" spans="1:14" x14ac:dyDescent="0.3">
      <c r="A84" s="33">
        <v>1505154019</v>
      </c>
      <c r="B84" s="34" t="s">
        <v>269</v>
      </c>
      <c r="C84" s="26"/>
      <c r="D84" s="26">
        <v>2.9166666666666668E-3</v>
      </c>
      <c r="E84" s="26">
        <v>2.9166666666666668E-3</v>
      </c>
      <c r="F84" s="26">
        <v>2.9166666666666668E-3</v>
      </c>
      <c r="G84" s="26"/>
    </row>
    <row r="85" spans="1:14" x14ac:dyDescent="0.3">
      <c r="A85" s="33">
        <v>1505208019</v>
      </c>
      <c r="B85" s="34" t="s">
        <v>270</v>
      </c>
      <c r="C85" s="26"/>
      <c r="D85" s="26">
        <v>0</v>
      </c>
      <c r="E85" s="26">
        <v>0</v>
      </c>
      <c r="F85" s="26">
        <v>0</v>
      </c>
      <c r="G85" s="26"/>
    </row>
    <row r="86" spans="1:14" x14ac:dyDescent="0.3">
      <c r="A86" s="33">
        <v>1505208020</v>
      </c>
      <c r="B86" s="34" t="s">
        <v>271</v>
      </c>
      <c r="C86" s="26"/>
      <c r="D86" s="26">
        <v>0</v>
      </c>
      <c r="E86" s="26">
        <v>0</v>
      </c>
      <c r="F86" s="26">
        <v>0</v>
      </c>
      <c r="G86" s="26"/>
    </row>
    <row r="87" spans="1:14" x14ac:dyDescent="0.3">
      <c r="A87" s="33">
        <v>1505208021</v>
      </c>
      <c r="B87" s="34" t="s">
        <v>272</v>
      </c>
      <c r="C87" s="26"/>
      <c r="D87" s="26">
        <v>0</v>
      </c>
      <c r="E87" s="26">
        <v>0</v>
      </c>
      <c r="F87" s="26">
        <v>0</v>
      </c>
      <c r="G87" s="26"/>
    </row>
    <row r="88" spans="1:14" x14ac:dyDescent="0.3">
      <c r="A88" s="33">
        <v>1505208833</v>
      </c>
      <c r="B88" s="34" t="s">
        <v>273</v>
      </c>
      <c r="C88" s="26"/>
      <c r="D88" s="26">
        <v>-433165.92675043602</v>
      </c>
      <c r="E88" s="26">
        <v>-449145.00417717447</v>
      </c>
      <c r="F88" s="26">
        <v>-454416.56108390697</v>
      </c>
      <c r="G88" s="26"/>
    </row>
    <row r="89" spans="1:14" x14ac:dyDescent="0.3">
      <c r="A89" s="33">
        <v>1505208832</v>
      </c>
      <c r="B89" s="34" t="s">
        <v>274</v>
      </c>
      <c r="C89" s="26"/>
      <c r="D89" s="26">
        <v>0</v>
      </c>
      <c r="E89" s="26">
        <v>0</v>
      </c>
      <c r="F89" s="26">
        <v>0</v>
      </c>
      <c r="G89" s="26"/>
    </row>
    <row r="90" spans="1:14" x14ac:dyDescent="0.3">
      <c r="A90" s="33">
        <v>1505208023</v>
      </c>
      <c r="B90" s="34" t="s">
        <v>275</v>
      </c>
      <c r="C90" s="26"/>
      <c r="D90" s="26">
        <v>0</v>
      </c>
      <c r="E90" s="26">
        <v>0</v>
      </c>
      <c r="F90" s="26">
        <v>0</v>
      </c>
      <c r="G90" s="26"/>
    </row>
    <row r="91" spans="1:14" x14ac:dyDescent="0.3">
      <c r="A91" s="33">
        <v>1505208835</v>
      </c>
      <c r="B91" s="34" t="s">
        <v>276</v>
      </c>
      <c r="C91" s="26"/>
      <c r="D91" s="26">
        <v>0</v>
      </c>
      <c r="E91" s="26">
        <v>0</v>
      </c>
      <c r="F91" s="26">
        <v>0</v>
      </c>
      <c r="G91" s="26"/>
    </row>
    <row r="93" spans="1:14" x14ac:dyDescent="0.3">
      <c r="A93" s="3">
        <v>1505092417</v>
      </c>
      <c r="B93" s="3" t="s">
        <v>277</v>
      </c>
      <c r="H93" s="3">
        <v>2018</v>
      </c>
      <c r="I93" s="3">
        <v>2019</v>
      </c>
      <c r="J93" s="3">
        <v>2020</v>
      </c>
      <c r="K93" s="3">
        <v>2021</v>
      </c>
      <c r="L93" s="3">
        <v>2022</v>
      </c>
      <c r="M93" s="3">
        <v>2023</v>
      </c>
      <c r="N93" s="3">
        <v>2024</v>
      </c>
    </row>
    <row r="94" spans="1:14" x14ac:dyDescent="0.3">
      <c r="A94" s="33">
        <v>1505452618</v>
      </c>
      <c r="B94" s="34" t="s">
        <v>382</v>
      </c>
      <c r="C94" s="26">
        <v>1878.5808700000002</v>
      </c>
      <c r="D94" s="26">
        <v>469.65307000000018</v>
      </c>
      <c r="E94" s="26">
        <v>-6.9999999780634425E-5</v>
      </c>
      <c r="F94" s="26">
        <v>-6.9999999780634425E-5</v>
      </c>
      <c r="G94" s="26"/>
      <c r="H94" s="26">
        <v>1408.9277999999999</v>
      </c>
      <c r="I94" s="26">
        <v>469.65313999999995</v>
      </c>
      <c r="J94" s="26">
        <v>0</v>
      </c>
      <c r="K94" s="26">
        <v>0</v>
      </c>
      <c r="L94" s="26">
        <v>0</v>
      </c>
      <c r="M94" s="26">
        <v>0</v>
      </c>
      <c r="N94" s="26">
        <v>-6.9999999780634425E-5</v>
      </c>
    </row>
    <row r="95" spans="1:14" x14ac:dyDescent="0.3">
      <c r="A95" s="33">
        <v>1505333019</v>
      </c>
      <c r="B95" s="34" t="s">
        <v>383</v>
      </c>
      <c r="C95" s="26">
        <v>5673.3885300000002</v>
      </c>
      <c r="D95" s="26">
        <v>-864.33020999999997</v>
      </c>
      <c r="E95" s="26">
        <v>-864.33020999999997</v>
      </c>
      <c r="F95" s="26">
        <v>-864.33020999999997</v>
      </c>
      <c r="G95" s="26"/>
      <c r="H95" s="26">
        <v>6537.7187400000003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-864.33020999999997</v>
      </c>
    </row>
    <row r="96" spans="1:14" x14ac:dyDescent="0.3">
      <c r="A96" s="33">
        <v>1505322021</v>
      </c>
      <c r="B96" s="34" t="s">
        <v>384</v>
      </c>
      <c r="C96" s="26">
        <v>38276.449860000001</v>
      </c>
      <c r="D96" s="26">
        <v>35885.013938709679</v>
      </c>
      <c r="E96" s="26">
        <v>33493.577974193548</v>
      </c>
      <c r="F96" s="26">
        <v>31095.590130322576</v>
      </c>
      <c r="G96" s="26"/>
      <c r="H96" s="26">
        <v>2391.4359212903219</v>
      </c>
      <c r="I96" s="26">
        <v>2391.4359645161312</v>
      </c>
      <c r="J96" s="26">
        <v>2397.9878438709711</v>
      </c>
      <c r="K96" s="26">
        <v>2391.4359645161348</v>
      </c>
      <c r="L96" s="26">
        <v>2391.4359645161348</v>
      </c>
      <c r="M96" s="26">
        <v>2391.4359645161348</v>
      </c>
      <c r="N96" s="26">
        <v>23921.282236774172</v>
      </c>
    </row>
    <row r="97" spans="1:14" x14ac:dyDescent="0.3">
      <c r="A97" s="33">
        <v>1505120239</v>
      </c>
      <c r="B97" s="34" t="s">
        <v>385</v>
      </c>
      <c r="C97" s="26">
        <v>0</v>
      </c>
      <c r="D97" s="26">
        <v>0</v>
      </c>
      <c r="E97" s="26">
        <v>0</v>
      </c>
      <c r="F97" s="26">
        <v>0</v>
      </c>
      <c r="G97" s="26"/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</row>
    <row r="98" spans="1:14" x14ac:dyDescent="0.3">
      <c r="A98" s="33">
        <v>1505120830</v>
      </c>
      <c r="B98" s="34" t="s">
        <v>386</v>
      </c>
      <c r="C98" s="26">
        <v>567.17502000000002</v>
      </c>
      <c r="D98" s="26">
        <v>347.62338</v>
      </c>
      <c r="E98" s="26">
        <v>189.9965399999999</v>
      </c>
      <c r="F98" s="26">
        <v>63.332099999999869</v>
      </c>
      <c r="G98" s="26"/>
      <c r="H98" s="26">
        <v>219.55164000000002</v>
      </c>
      <c r="I98" s="26">
        <v>157.6268400000001</v>
      </c>
      <c r="J98" s="26">
        <v>126.66444000000003</v>
      </c>
      <c r="K98" s="26">
        <v>63.33209999999999</v>
      </c>
      <c r="L98" s="26">
        <v>0</v>
      </c>
      <c r="M98" s="26">
        <v>0</v>
      </c>
      <c r="N98" s="26">
        <v>-1.2256862191861728E-13</v>
      </c>
    </row>
    <row r="99" spans="1:14" x14ac:dyDescent="0.3">
      <c r="A99" s="33">
        <v>1505120837</v>
      </c>
      <c r="B99" s="34" t="s">
        <v>387</v>
      </c>
      <c r="C99" s="26">
        <v>14786.163199999999</v>
      </c>
      <c r="D99" s="26">
        <v>9062.4874400000081</v>
      </c>
      <c r="E99" s="26">
        <v>4953.181520000011</v>
      </c>
      <c r="F99" s="26">
        <v>1651.0605200000118</v>
      </c>
      <c r="G99" s="26"/>
      <c r="H99" s="26">
        <v>5723.675759999991</v>
      </c>
      <c r="I99" s="26">
        <v>4109.3059199999971</v>
      </c>
      <c r="J99" s="26">
        <v>3302.1209999999992</v>
      </c>
      <c r="K99" s="26">
        <v>1651.0605199999998</v>
      </c>
      <c r="L99" s="26">
        <v>0</v>
      </c>
      <c r="M99" s="26">
        <v>0</v>
      </c>
      <c r="N99" s="26">
        <v>1.2089884648958105E-11</v>
      </c>
    </row>
    <row r="100" spans="1:14" x14ac:dyDescent="0.3">
      <c r="A100" s="33">
        <v>1505120829</v>
      </c>
      <c r="B100" s="34" t="s">
        <v>388</v>
      </c>
      <c r="C100" s="26">
        <v>-1118</v>
      </c>
      <c r="D100" s="26">
        <v>-10028.417969085443</v>
      </c>
      <c r="E100" s="26">
        <v>-3532.0036507710665</v>
      </c>
      <c r="F100" s="26">
        <v>-2803.788008409203</v>
      </c>
      <c r="G100" s="26"/>
      <c r="H100" s="26">
        <v>8910.4179690854435</v>
      </c>
      <c r="I100" s="26">
        <v>-6496.4143183143769</v>
      </c>
      <c r="J100" s="26">
        <v>-728.2156423618635</v>
      </c>
      <c r="K100" s="26">
        <v>-130.39449655989756</v>
      </c>
      <c r="L100" s="26">
        <v>-91.577809691708353</v>
      </c>
      <c r="M100" s="26">
        <v>-695.92134645496026</v>
      </c>
      <c r="N100" s="26">
        <v>-1885.8943557026369</v>
      </c>
    </row>
    <row r="101" spans="1:14" x14ac:dyDescent="0.3">
      <c r="A101" s="33">
        <v>1505471625</v>
      </c>
      <c r="B101" s="34" t="s">
        <v>389</v>
      </c>
      <c r="C101" s="26">
        <v>0</v>
      </c>
      <c r="D101" s="26">
        <v>0</v>
      </c>
      <c r="E101" s="26">
        <v>0</v>
      </c>
      <c r="F101" s="26">
        <v>0</v>
      </c>
      <c r="G101" s="26"/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</row>
    <row r="102" spans="1:14" x14ac:dyDescent="0.3">
      <c r="A102" s="33">
        <v>1505123221</v>
      </c>
      <c r="B102" s="34" t="s">
        <v>390</v>
      </c>
      <c r="C102" s="26">
        <v>3111.0028199999997</v>
      </c>
      <c r="D102" s="26">
        <v>4468.3299492690676</v>
      </c>
      <c r="E102" s="26">
        <v>3610.6607974055323</v>
      </c>
      <c r="F102" s="26">
        <v>2063.2347413745911</v>
      </c>
      <c r="G102" s="26"/>
      <c r="H102" s="26">
        <v>-1357.3271292690679</v>
      </c>
      <c r="I102" s="26">
        <v>857.66915186353526</v>
      </c>
      <c r="J102" s="26">
        <v>1547.4260560309413</v>
      </c>
      <c r="K102" s="26">
        <v>1547.426056030944</v>
      </c>
      <c r="L102" s="26">
        <v>1547.426056030944</v>
      </c>
      <c r="M102" s="26">
        <v>1547.4260560309431</v>
      </c>
      <c r="N102" s="26">
        <v>-2579.04342671824</v>
      </c>
    </row>
    <row r="103" spans="1:14" x14ac:dyDescent="0.3">
      <c r="A103" s="33">
        <v>1505123224</v>
      </c>
      <c r="B103" s="34" t="s">
        <v>391</v>
      </c>
      <c r="C103" s="26">
        <v>0</v>
      </c>
      <c r="D103" s="26">
        <v>0</v>
      </c>
      <c r="E103" s="26">
        <v>0</v>
      </c>
      <c r="F103" s="26">
        <v>0</v>
      </c>
      <c r="G103" s="26"/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</row>
    <row r="104" spans="1:14" x14ac:dyDescent="0.3">
      <c r="A104" s="33">
        <v>1505123228</v>
      </c>
      <c r="B104" s="34" t="s">
        <v>392</v>
      </c>
      <c r="C104" s="26">
        <v>162.19648999999998</v>
      </c>
      <c r="D104" s="26">
        <v>162.19644999999991</v>
      </c>
      <c r="E104" s="26">
        <v>59.756409999999846</v>
      </c>
      <c r="F104" s="26">
        <v>1.1999999984091403E-4</v>
      </c>
      <c r="G104" s="26"/>
      <c r="H104" s="26">
        <v>4.0000000069539965E-5</v>
      </c>
      <c r="I104" s="26">
        <v>102.44004000000007</v>
      </c>
      <c r="J104" s="26">
        <v>59.756290000000007</v>
      </c>
      <c r="K104" s="26">
        <v>0</v>
      </c>
      <c r="L104" s="26">
        <v>0</v>
      </c>
      <c r="M104" s="26">
        <v>0</v>
      </c>
      <c r="N104" s="26">
        <v>1.1999999984091403E-4</v>
      </c>
    </row>
    <row r="105" spans="1:14" x14ac:dyDescent="0.3">
      <c r="A105" s="33">
        <v>1505632618</v>
      </c>
      <c r="B105" s="34" t="s">
        <v>393</v>
      </c>
      <c r="C105" s="26">
        <v>-1220.1378400000001</v>
      </c>
      <c r="D105" s="26">
        <v>2079.47317308227</v>
      </c>
      <c r="E105" s="26">
        <v>9568.2057317208073</v>
      </c>
      <c r="F105" s="26">
        <v>19982.487204864043</v>
      </c>
      <c r="G105" s="26"/>
      <c r="H105" s="26">
        <v>-3299.6110130822699</v>
      </c>
      <c r="I105" s="26">
        <v>-7488.7325586385377</v>
      </c>
      <c r="J105" s="26">
        <v>-10414.281473143235</v>
      </c>
      <c r="K105" s="26">
        <v>-3767.1957652343735</v>
      </c>
      <c r="L105" s="26">
        <v>3059.8888558682083</v>
      </c>
      <c r="M105" s="26">
        <v>3059.8888558682083</v>
      </c>
      <c r="N105" s="26">
        <v>17629.905258362</v>
      </c>
    </row>
    <row r="106" spans="1:14" x14ac:dyDescent="0.3">
      <c r="A106" s="33">
        <v>1505123245</v>
      </c>
      <c r="B106" s="34" t="s">
        <v>394</v>
      </c>
      <c r="C106" s="26">
        <v>8826.06315</v>
      </c>
      <c r="D106" s="26">
        <v>8444.920610000001</v>
      </c>
      <c r="E106" s="26">
        <v>7904.0145639906095</v>
      </c>
      <c r="F106" s="26">
        <v>7575.1886940372315</v>
      </c>
      <c r="G106" s="26"/>
      <c r="H106" s="26">
        <v>381.14253999999892</v>
      </c>
      <c r="I106" s="26">
        <v>540.9060460093915</v>
      </c>
      <c r="J106" s="26">
        <v>328.82586995337806</v>
      </c>
      <c r="K106" s="26">
        <v>-861.61805690189067</v>
      </c>
      <c r="L106" s="26">
        <v>527.49400491392498</v>
      </c>
      <c r="M106" s="26">
        <v>529.91921136521978</v>
      </c>
      <c r="N106" s="26">
        <v>7379.3935346599774</v>
      </c>
    </row>
    <row r="107" spans="1:14" x14ac:dyDescent="0.3">
      <c r="A107" s="35">
        <v>1505638826</v>
      </c>
      <c r="B107" s="34" t="s">
        <v>395</v>
      </c>
      <c r="C107" s="26">
        <v>0</v>
      </c>
      <c r="D107" s="26">
        <v>0</v>
      </c>
      <c r="E107" s="26">
        <v>0</v>
      </c>
      <c r="F107" s="26">
        <v>0</v>
      </c>
      <c r="G107" s="26"/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</row>
    <row r="108" spans="1:14" x14ac:dyDescent="0.3">
      <c r="A108" s="35">
        <v>1505638818</v>
      </c>
      <c r="B108" s="34" t="s">
        <v>396</v>
      </c>
      <c r="C108" s="26">
        <v>0</v>
      </c>
      <c r="D108" s="26">
        <v>0</v>
      </c>
      <c r="E108" s="26">
        <v>0</v>
      </c>
      <c r="F108" s="26">
        <v>0</v>
      </c>
      <c r="G108" s="26"/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</row>
    <row r="109" spans="1:14" x14ac:dyDescent="0.3">
      <c r="A109" s="35">
        <v>1505656617</v>
      </c>
      <c r="B109" s="34" t="s">
        <v>397</v>
      </c>
      <c r="C109" s="26">
        <v>0</v>
      </c>
      <c r="D109" s="26">
        <v>0</v>
      </c>
      <c r="E109" s="26">
        <v>1462.7270000000001</v>
      </c>
      <c r="F109" s="26">
        <v>835.84400000000005</v>
      </c>
      <c r="G109" s="26"/>
      <c r="H109" s="26">
        <v>0</v>
      </c>
      <c r="I109" s="26">
        <v>-1462.7270000000001</v>
      </c>
      <c r="J109" s="26">
        <v>626.88300000000004</v>
      </c>
      <c r="K109" s="26">
        <v>626.88300000000004</v>
      </c>
      <c r="L109" s="26">
        <v>208.96100000000001</v>
      </c>
      <c r="M109" s="26">
        <v>0</v>
      </c>
      <c r="N109" s="26">
        <v>-7.1054273576010019E-15</v>
      </c>
    </row>
    <row r="110" spans="1:14" x14ac:dyDescent="0.3">
      <c r="A110" s="35">
        <v>1505689625</v>
      </c>
      <c r="B110" s="34" t="s">
        <v>398</v>
      </c>
      <c r="C110" s="26">
        <v>0</v>
      </c>
      <c r="D110" s="26">
        <v>6776.6989437743987</v>
      </c>
      <c r="E110" s="26">
        <v>-6.9106815772101982E-6</v>
      </c>
      <c r="F110" s="26">
        <v>-6.9106815772101982E-6</v>
      </c>
      <c r="G110" s="26"/>
      <c r="H110" s="26">
        <v>6776.6989437743987</v>
      </c>
      <c r="I110" s="26">
        <v>-6776.6989506850805</v>
      </c>
      <c r="J110" s="26">
        <v>0</v>
      </c>
      <c r="K110" s="26">
        <v>0</v>
      </c>
      <c r="L110" s="26">
        <v>0</v>
      </c>
      <c r="M110" s="26">
        <v>0</v>
      </c>
      <c r="N110" s="26">
        <v>6.9106815772101982E-6</v>
      </c>
    </row>
    <row r="111" spans="1:14" x14ac:dyDescent="0.3">
      <c r="A111" s="35">
        <v>1505723817</v>
      </c>
      <c r="B111" s="34" t="s">
        <v>399</v>
      </c>
      <c r="C111" s="26">
        <v>0</v>
      </c>
      <c r="D111" s="26">
        <v>1275.56088</v>
      </c>
      <c r="E111" s="26">
        <v>1275.56088</v>
      </c>
      <c r="F111" s="26">
        <v>1275.56088</v>
      </c>
      <c r="G111" s="26"/>
      <c r="H111" s="26">
        <v>1275.56088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-1275.56088</v>
      </c>
    </row>
    <row r="112" spans="1:14" x14ac:dyDescent="0.3">
      <c r="A112" s="33">
        <v>1505124624</v>
      </c>
      <c r="B112" s="34" t="s">
        <v>400</v>
      </c>
      <c r="C112" s="26">
        <v>0</v>
      </c>
      <c r="D112" s="26">
        <v>0</v>
      </c>
      <c r="E112" s="26">
        <v>0</v>
      </c>
      <c r="F112" s="26">
        <v>0</v>
      </c>
      <c r="G112" s="26"/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</row>
    <row r="113" spans="1:14" x14ac:dyDescent="0.3">
      <c r="A113" s="33">
        <v>1505630022</v>
      </c>
      <c r="B113" s="34" t="s">
        <v>401</v>
      </c>
      <c r="C113" s="26">
        <v>2965</v>
      </c>
      <c r="D113" s="26">
        <v>2883.0491136608434</v>
      </c>
      <c r="E113" s="26">
        <v>2298.3172297554629</v>
      </c>
      <c r="F113" s="26">
        <v>2805.5052497784309</v>
      </c>
      <c r="G113" s="26"/>
      <c r="H113" s="26">
        <v>-81.950886339156568</v>
      </c>
      <c r="I113" s="26">
        <v>-584.73188390538053</v>
      </c>
      <c r="J113" s="26">
        <v>507.18802002296798</v>
      </c>
      <c r="K113" s="26">
        <v>-2216.2072292937482</v>
      </c>
      <c r="L113" s="26">
        <v>-1217.4394968759152</v>
      </c>
      <c r="M113" s="26">
        <v>-1820.6397111328733</v>
      </c>
      <c r="N113" s="26">
        <v>2448.7811875241059</v>
      </c>
    </row>
    <row r="114" spans="1:14" x14ac:dyDescent="0.3">
      <c r="A114" s="33">
        <v>1505629022</v>
      </c>
      <c r="B114" s="34" t="s">
        <v>402</v>
      </c>
      <c r="C114" s="26">
        <v>6.2190000000000003</v>
      </c>
      <c r="D114" s="26">
        <v>-21.672887283028221</v>
      </c>
      <c r="E114" s="26">
        <v>-9.1469745270488207</v>
      </c>
      <c r="F114" s="26">
        <v>-2.84760789719126</v>
      </c>
      <c r="G114" s="26"/>
      <c r="H114" s="26">
        <v>-27.891887283028222</v>
      </c>
      <c r="I114" s="26">
        <v>12.5259127559794</v>
      </c>
      <c r="J114" s="26">
        <v>6.2993666298575608</v>
      </c>
      <c r="K114" s="26">
        <v>7.1559622699441405</v>
      </c>
      <c r="L114" s="26">
        <v>23.498685334626082</v>
      </c>
      <c r="M114" s="26">
        <v>13.245414051041024</v>
      </c>
      <c r="N114" s="26">
        <v>-41.052453758419986</v>
      </c>
    </row>
    <row r="115" spans="1:14" x14ac:dyDescent="0.3">
      <c r="A115" s="33">
        <v>1505135418</v>
      </c>
      <c r="B115" s="34" t="s">
        <v>403</v>
      </c>
      <c r="C115" s="26">
        <v>-482.95704999999998</v>
      </c>
      <c r="D115" s="26">
        <v>1041.9939300000005</v>
      </c>
      <c r="E115" s="26">
        <v>3.0000000435848051E-5</v>
      </c>
      <c r="F115" s="26">
        <v>3.0000000435848051E-5</v>
      </c>
      <c r="G115" s="26"/>
      <c r="H115" s="26">
        <v>1524.9509800000005</v>
      </c>
      <c r="I115" s="26">
        <v>-1041.9939000000002</v>
      </c>
      <c r="J115" s="26">
        <v>0</v>
      </c>
      <c r="K115" s="26">
        <v>0</v>
      </c>
      <c r="L115" s="26">
        <v>0</v>
      </c>
      <c r="M115" s="26">
        <v>0</v>
      </c>
      <c r="N115" s="26">
        <v>-3.0000000435848051E-5</v>
      </c>
    </row>
    <row r="116" spans="1:14" x14ac:dyDescent="0.3">
      <c r="A116" s="33">
        <v>1505295028</v>
      </c>
      <c r="B116" s="34" t="s">
        <v>404</v>
      </c>
      <c r="C116" s="26">
        <v>37109.857710000004</v>
      </c>
      <c r="D116" s="26">
        <v>35676.319010000007</v>
      </c>
      <c r="E116" s="26">
        <v>34242.942820000026</v>
      </c>
      <c r="F116" s="26">
        <v>32805.639580000039</v>
      </c>
      <c r="G116" s="26"/>
      <c r="H116" s="26">
        <v>-1433.5386999999973</v>
      </c>
      <c r="I116" s="26">
        <v>-1433.3761899999809</v>
      </c>
      <c r="J116" s="26">
        <v>-1437.3032399999865</v>
      </c>
      <c r="K116" s="26">
        <v>-1433.376189999999</v>
      </c>
      <c r="L116" s="26">
        <v>-1433.376189999999</v>
      </c>
      <c r="M116" s="26">
        <v>-1433.376189999999</v>
      </c>
      <c r="N116" s="26">
        <v>-28505.511010000042</v>
      </c>
    </row>
    <row r="117" spans="1:14" x14ac:dyDescent="0.3">
      <c r="A117" s="33">
        <v>1505628624</v>
      </c>
      <c r="B117" s="34" t="s">
        <v>405</v>
      </c>
      <c r="C117" s="26">
        <v>856</v>
      </c>
      <c r="D117" s="26">
        <v>-113.00002000000003</v>
      </c>
      <c r="E117" s="26">
        <v>-53.875007500000301</v>
      </c>
      <c r="F117" s="26">
        <v>-3.979039320256561E-13</v>
      </c>
      <c r="G117" s="26"/>
      <c r="H117" s="26">
        <v>-969.00002000000006</v>
      </c>
      <c r="I117" s="26">
        <v>59.125012499999734</v>
      </c>
      <c r="J117" s="26">
        <v>53.875007499999903</v>
      </c>
      <c r="K117" s="26">
        <v>0</v>
      </c>
      <c r="L117" s="26">
        <v>0</v>
      </c>
      <c r="M117" s="26">
        <v>0</v>
      </c>
      <c r="N117" s="26">
        <v>3.979039320256561E-13</v>
      </c>
    </row>
    <row r="118" spans="1:14" x14ac:dyDescent="0.3">
      <c r="A118" s="33">
        <v>1505517822</v>
      </c>
      <c r="B118" s="34" t="s">
        <v>406</v>
      </c>
      <c r="C118" s="26">
        <v>2882.8845099999999</v>
      </c>
      <c r="D118" s="26">
        <v>2216.573629999998</v>
      </c>
      <c r="E118" s="26">
        <v>1437.3741155613825</v>
      </c>
      <c r="F118" s="26">
        <v>636.91140890345923</v>
      </c>
      <c r="G118" s="26"/>
      <c r="H118" s="26">
        <v>-666.31088000000182</v>
      </c>
      <c r="I118" s="26">
        <v>-779.19951443861555</v>
      </c>
      <c r="J118" s="26">
        <v>-800.46270665792326</v>
      </c>
      <c r="K118" s="26">
        <v>-404.42953221930713</v>
      </c>
      <c r="L118" s="26">
        <v>0</v>
      </c>
      <c r="M118" s="26">
        <v>0</v>
      </c>
      <c r="N118" s="26">
        <v>-232.48187668415207</v>
      </c>
    </row>
    <row r="119" spans="1:14" x14ac:dyDescent="0.3">
      <c r="A119" s="33">
        <v>1505517826</v>
      </c>
      <c r="B119" s="34" t="s">
        <v>407</v>
      </c>
      <c r="C119" s="26">
        <v>313.70926000000003</v>
      </c>
      <c r="D119" s="26">
        <v>362.66957999999971</v>
      </c>
      <c r="E119" s="26">
        <v>206.32781999999955</v>
      </c>
      <c r="F119" s="26">
        <v>58.066739999999562</v>
      </c>
      <c r="G119" s="26"/>
      <c r="H119" s="26">
        <v>48.960319999999683</v>
      </c>
      <c r="I119" s="26">
        <v>-156.34176000000016</v>
      </c>
      <c r="J119" s="26">
        <v>-148.26107999999999</v>
      </c>
      <c r="K119" s="26">
        <v>-61.257829999999984</v>
      </c>
      <c r="L119" s="26">
        <v>0</v>
      </c>
      <c r="M119" s="26">
        <v>0</v>
      </c>
      <c r="N119" s="26">
        <v>3.1910900000004228</v>
      </c>
    </row>
    <row r="120" spans="1:14" x14ac:dyDescent="0.3">
      <c r="A120" s="33">
        <v>1505632622</v>
      </c>
      <c r="B120" s="34" t="s">
        <v>408</v>
      </c>
      <c r="C120" s="26">
        <v>0</v>
      </c>
      <c r="D120" s="26">
        <v>0</v>
      </c>
      <c r="E120" s="26">
        <v>0</v>
      </c>
      <c r="F120" s="26">
        <v>0</v>
      </c>
      <c r="G120" s="26"/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</row>
    <row r="121" spans="1:14" x14ac:dyDescent="0.3">
      <c r="A121" s="3">
        <v>1505761022</v>
      </c>
      <c r="B121" s="3" t="s">
        <v>695</v>
      </c>
      <c r="C121" s="26">
        <v>0</v>
      </c>
      <c r="D121" s="26">
        <v>4723.2744000000002</v>
      </c>
      <c r="E121" s="26">
        <v>4093.504480000001</v>
      </c>
      <c r="F121" s="26">
        <v>3148.8495999999973</v>
      </c>
      <c r="G121" s="26"/>
      <c r="H121" s="26">
        <v>4723.2744000000002</v>
      </c>
      <c r="I121" s="26">
        <v>-629.76991999999927</v>
      </c>
      <c r="J121" s="26">
        <v>-944.65488000000369</v>
      </c>
      <c r="K121" s="26">
        <v>-944.65488000000369</v>
      </c>
      <c r="L121" s="26">
        <v>-944.65487999999868</v>
      </c>
      <c r="M121" s="26">
        <v>-944.65487999999959</v>
      </c>
      <c r="N121" s="26">
        <v>-314.88495999999537</v>
      </c>
    </row>
    <row r="122" spans="1:14" x14ac:dyDescent="0.3"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">
      <c r="A123" s="3">
        <v>1505060861</v>
      </c>
      <c r="B123" s="3" t="s">
        <v>278</v>
      </c>
    </row>
    <row r="124" spans="1:14" x14ac:dyDescent="0.3">
      <c r="A124" s="3">
        <v>1505211417</v>
      </c>
      <c r="B124" s="3" t="s">
        <v>279</v>
      </c>
      <c r="D124" s="3">
        <v>35037.410909999999</v>
      </c>
      <c r="E124" s="3">
        <v>108049.30608400001</v>
      </c>
      <c r="F124" s="3">
        <v>0</v>
      </c>
    </row>
    <row r="125" spans="1:14" x14ac:dyDescent="0.3">
      <c r="A125" s="3">
        <v>1505430017</v>
      </c>
      <c r="B125" s="3" t="s">
        <v>280</v>
      </c>
      <c r="D125" s="3">
        <v>293943.1343374055</v>
      </c>
      <c r="E125" s="3">
        <v>315968.99251753167</v>
      </c>
      <c r="F125" s="3">
        <v>333969.64003577083</v>
      </c>
    </row>
    <row r="126" spans="1:14" x14ac:dyDescent="0.3">
      <c r="A126" s="3">
        <v>1505060884</v>
      </c>
      <c r="B126" s="3" t="s">
        <v>81</v>
      </c>
      <c r="D126" s="3">
        <v>429922.57777347573</v>
      </c>
      <c r="E126" s="3">
        <v>429208.03948946955</v>
      </c>
      <c r="F126" s="3">
        <v>419643.75752999954</v>
      </c>
    </row>
    <row r="127" spans="1:14" x14ac:dyDescent="0.3">
      <c r="A127" s="3">
        <v>1505060898</v>
      </c>
      <c r="B127" s="3" t="s">
        <v>281</v>
      </c>
      <c r="D127" s="3">
        <v>3243.3489769605499</v>
      </c>
      <c r="E127" s="3">
        <v>19936.964687704807</v>
      </c>
      <c r="F127" s="3">
        <v>34772.803553907339</v>
      </c>
    </row>
    <row r="128" spans="1:14" x14ac:dyDescent="0.3">
      <c r="A128" s="3">
        <v>1505564024</v>
      </c>
      <c r="B128" s="3" t="s">
        <v>282</v>
      </c>
      <c r="D128" s="3">
        <v>0</v>
      </c>
      <c r="E128" s="3">
        <v>0</v>
      </c>
      <c r="F128" s="3">
        <v>0</v>
      </c>
    </row>
    <row r="130" spans="1:6" x14ac:dyDescent="0.3">
      <c r="A130" s="3">
        <v>1500391482</v>
      </c>
      <c r="B130" s="3" t="s">
        <v>283</v>
      </c>
    </row>
    <row r="131" spans="1:6" x14ac:dyDescent="0.3">
      <c r="A131" s="3">
        <v>1504987218</v>
      </c>
      <c r="B131" s="3" t="s">
        <v>284</v>
      </c>
    </row>
    <row r="132" spans="1:6" x14ac:dyDescent="0.3">
      <c r="A132" s="3">
        <v>1500391492</v>
      </c>
      <c r="B132" s="3" t="s">
        <v>285</v>
      </c>
      <c r="D132" s="3">
        <v>0</v>
      </c>
      <c r="E132" s="3">
        <v>0</v>
      </c>
      <c r="F132" s="3">
        <v>0</v>
      </c>
    </row>
    <row r="133" spans="1:6" x14ac:dyDescent="0.3">
      <c r="A133" s="3">
        <v>1500391497</v>
      </c>
      <c r="B133" s="3" t="s">
        <v>286</v>
      </c>
      <c r="D133" s="3">
        <v>-1620</v>
      </c>
      <c r="E133" s="3">
        <v>-1620</v>
      </c>
      <c r="F133" s="3">
        <v>-1620</v>
      </c>
    </row>
    <row r="137" spans="1:6" x14ac:dyDescent="0.3">
      <c r="A137" s="3">
        <v>6574</v>
      </c>
      <c r="B137" s="3" t="s">
        <v>287</v>
      </c>
    </row>
    <row r="138" spans="1:6" x14ac:dyDescent="0.3">
      <c r="A138" s="3">
        <v>1505519819</v>
      </c>
      <c r="B138" s="3" t="s">
        <v>288</v>
      </c>
      <c r="D138" s="3">
        <v>951.41399999999999</v>
      </c>
      <c r="E138" s="3">
        <v>0</v>
      </c>
      <c r="F138" s="3">
        <v>0</v>
      </c>
    </row>
    <row r="139" spans="1:6" x14ac:dyDescent="0.3">
      <c r="A139" s="3">
        <v>1505412020</v>
      </c>
      <c r="B139" s="3" t="s">
        <v>289</v>
      </c>
      <c r="D139" s="3">
        <v>-10082.39266533529</v>
      </c>
      <c r="E139" s="3">
        <v>-14951.909417416648</v>
      </c>
      <c r="F139" s="3">
        <v>-18228.501165767608</v>
      </c>
    </row>
    <row r="140" spans="1:6" x14ac:dyDescent="0.3">
      <c r="A140" s="3">
        <v>1505157024</v>
      </c>
      <c r="B140" s="3" t="s">
        <v>290</v>
      </c>
      <c r="D140" s="3">
        <v>416.22113149999916</v>
      </c>
      <c r="E140" s="3">
        <v>371.25808749999976</v>
      </c>
      <c r="F140" s="3">
        <v>348.77656550000006</v>
      </c>
    </row>
    <row r="141" spans="1:6" x14ac:dyDescent="0.3">
      <c r="A141" s="3">
        <v>1504981219</v>
      </c>
      <c r="B141" s="3" t="s">
        <v>291</v>
      </c>
      <c r="D141" s="3">
        <v>-1954.5369999999964</v>
      </c>
      <c r="E141" s="3">
        <v>-1729.1583333333324</v>
      </c>
      <c r="F141" s="3">
        <v>-1616.4690000000003</v>
      </c>
    </row>
    <row r="142" spans="1:6" x14ac:dyDescent="0.3">
      <c r="A142" s="3">
        <v>1505156017</v>
      </c>
      <c r="B142" s="3" t="s">
        <v>292</v>
      </c>
      <c r="D142" s="3">
        <v>-279.26699999999994</v>
      </c>
      <c r="E142" s="3">
        <v>-279.26699999999994</v>
      </c>
      <c r="F142" s="3">
        <v>-279.26699999999994</v>
      </c>
    </row>
    <row r="143" spans="1:6" x14ac:dyDescent="0.3">
      <c r="A143" s="3">
        <v>1505412018</v>
      </c>
      <c r="B143" s="3" t="s">
        <v>293</v>
      </c>
      <c r="D143" s="3">
        <v>-1064.6707051455689</v>
      </c>
      <c r="E143" s="3">
        <v>-1515.6584986962</v>
      </c>
      <c r="F143" s="3">
        <v>-1595.5797731329119</v>
      </c>
    </row>
    <row r="144" spans="1:6" x14ac:dyDescent="0.3">
      <c r="A144" s="3">
        <v>1505729820</v>
      </c>
      <c r="B144" s="3" t="s">
        <v>409</v>
      </c>
      <c r="D144" s="3">
        <v>0</v>
      </c>
      <c r="E144" s="3">
        <v>0</v>
      </c>
      <c r="F144" s="3">
        <v>0</v>
      </c>
    </row>
    <row r="145" spans="1:6" x14ac:dyDescent="0.3">
      <c r="A145" s="3">
        <v>1505157025</v>
      </c>
      <c r="B145" s="3" t="s">
        <v>294</v>
      </c>
      <c r="D145" s="3">
        <v>97.726849999999772</v>
      </c>
      <c r="E145" s="3">
        <v>86.457916666666591</v>
      </c>
      <c r="F145" s="3">
        <v>80.823449999999994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F33" sqref="F33"/>
    </sheetView>
  </sheetViews>
  <sheetFormatPr defaultColWidth="9.109375" defaultRowHeight="13.2" x14ac:dyDescent="0.25"/>
  <cols>
    <col min="1" max="1" width="19.44140625" style="37" customWidth="1"/>
    <col min="2" max="2" width="9.5546875" style="37" bestFit="1" customWidth="1"/>
    <col min="3" max="3" width="13.6640625" style="37" bestFit="1" customWidth="1"/>
    <col min="4" max="4" width="12.88671875" style="37" bestFit="1" customWidth="1"/>
    <col min="5" max="5" width="13.77734375" style="37" customWidth="1"/>
    <col min="6" max="6" width="13.44140625" style="37" customWidth="1"/>
    <col min="7" max="8" width="12.88671875" style="37" bestFit="1" customWidth="1"/>
    <col min="9" max="13" width="12.33203125" style="37" customWidth="1"/>
    <col min="14" max="14" width="9.109375" style="37"/>
    <col min="15" max="15" width="11.21875" style="37" bestFit="1" customWidth="1"/>
    <col min="16" max="16384" width="9.109375" style="37"/>
  </cols>
  <sheetData>
    <row r="1" spans="1:13" x14ac:dyDescent="0.25">
      <c r="A1" s="36" t="s">
        <v>603</v>
      </c>
    </row>
    <row r="2" spans="1:13" x14ac:dyDescent="0.25">
      <c r="E2" s="36" t="s">
        <v>295</v>
      </c>
      <c r="I2" s="38" t="s">
        <v>604</v>
      </c>
      <c r="J2" s="38" t="s">
        <v>605</v>
      </c>
    </row>
    <row r="3" spans="1:13" x14ac:dyDescent="0.25">
      <c r="A3" s="39" t="s">
        <v>606</v>
      </c>
      <c r="E3" s="40" t="s">
        <v>296</v>
      </c>
      <c r="I3" s="38" t="s">
        <v>297</v>
      </c>
      <c r="J3" s="38" t="s">
        <v>297</v>
      </c>
    </row>
    <row r="4" spans="1:13" ht="14.4" x14ac:dyDescent="0.3">
      <c r="E4" s="38"/>
      <c r="I4" s="38"/>
      <c r="J4" s="38"/>
      <c r="M4" s="41"/>
    </row>
    <row r="5" spans="1:13" ht="14.4" x14ac:dyDescent="0.3">
      <c r="A5" s="42"/>
      <c r="B5" s="43"/>
      <c r="C5" s="44"/>
      <c r="E5" s="37" t="s">
        <v>298</v>
      </c>
      <c r="I5" s="45">
        <v>0.35</v>
      </c>
      <c r="J5" s="45">
        <v>0.21</v>
      </c>
      <c r="M5" s="41"/>
    </row>
    <row r="6" spans="1:13" ht="14.4" x14ac:dyDescent="0.3">
      <c r="A6" s="46"/>
      <c r="B6" s="43" t="s">
        <v>299</v>
      </c>
      <c r="C6" s="43" t="s">
        <v>345</v>
      </c>
      <c r="E6" s="37" t="s">
        <v>300</v>
      </c>
      <c r="I6" s="45">
        <v>0.06</v>
      </c>
      <c r="J6" s="45">
        <v>0.05</v>
      </c>
      <c r="M6" s="41"/>
    </row>
    <row r="7" spans="1:13" ht="14.4" x14ac:dyDescent="0.3">
      <c r="A7" s="43" t="s">
        <v>301</v>
      </c>
      <c r="B7" s="47"/>
      <c r="C7" s="47"/>
      <c r="E7" s="37" t="s">
        <v>302</v>
      </c>
      <c r="I7" s="45">
        <f>I6*-I5</f>
        <v>-2.0999999999999998E-2</v>
      </c>
      <c r="J7" s="48">
        <f>J6*-J5</f>
        <v>-1.0500000000000001E-2</v>
      </c>
      <c r="M7" s="41"/>
    </row>
    <row r="8" spans="1:13" ht="15" thickBot="1" x14ac:dyDescent="0.35">
      <c r="A8" s="43" t="s">
        <v>303</v>
      </c>
      <c r="B8" s="47"/>
      <c r="C8" s="49">
        <v>21100125.350000001</v>
      </c>
      <c r="E8" s="37" t="s">
        <v>304</v>
      </c>
      <c r="I8" s="50">
        <f>I5+I6+I7</f>
        <v>0.38899999999999996</v>
      </c>
      <c r="J8" s="51">
        <f>J5+J6+J7</f>
        <v>0.2495</v>
      </c>
      <c r="M8" s="41"/>
    </row>
    <row r="9" spans="1:13" ht="15" thickTop="1" x14ac:dyDescent="0.3">
      <c r="A9" s="43" t="s">
        <v>305</v>
      </c>
      <c r="B9" s="47"/>
      <c r="C9" s="49">
        <v>7014632.0899999999</v>
      </c>
      <c r="M9" s="41"/>
    </row>
    <row r="10" spans="1:13" ht="14.4" x14ac:dyDescent="0.3">
      <c r="A10" s="43" t="s">
        <v>306</v>
      </c>
      <c r="B10" s="47"/>
      <c r="C10" s="49">
        <v>5288252.3099999996</v>
      </c>
      <c r="E10" s="37" t="s">
        <v>307</v>
      </c>
      <c r="M10" s="41"/>
    </row>
    <row r="11" spans="1:13" ht="14.4" x14ac:dyDescent="0.3">
      <c r="A11" s="43" t="s">
        <v>308</v>
      </c>
      <c r="B11" s="47"/>
      <c r="C11" s="49">
        <v>1758053.17</v>
      </c>
      <c r="E11" s="37" t="s">
        <v>309</v>
      </c>
      <c r="M11" s="41"/>
    </row>
    <row r="12" spans="1:13" x14ac:dyDescent="0.25">
      <c r="A12" s="43" t="s">
        <v>310</v>
      </c>
      <c r="B12" s="47"/>
      <c r="C12" s="49">
        <v>-475612159.00999999</v>
      </c>
    </row>
    <row r="13" spans="1:13" x14ac:dyDescent="0.25">
      <c r="A13" s="43" t="s">
        <v>311</v>
      </c>
      <c r="B13" s="47"/>
      <c r="C13" s="49">
        <v>-135703381.41</v>
      </c>
      <c r="E13" s="52" t="s">
        <v>312</v>
      </c>
      <c r="I13" s="37">
        <f>1/(1-I8)</f>
        <v>1.6366612111292962</v>
      </c>
      <c r="J13" s="37">
        <f>1/(1-J8)</f>
        <v>1.3324450366422387</v>
      </c>
    </row>
    <row r="14" spans="1:13" x14ac:dyDescent="0.25">
      <c r="A14" s="43" t="s">
        <v>313</v>
      </c>
      <c r="B14" s="47"/>
      <c r="C14" s="49">
        <v>-15674944.199999999</v>
      </c>
      <c r="E14" s="53" t="s">
        <v>315</v>
      </c>
    </row>
    <row r="15" spans="1:13" x14ac:dyDescent="0.25">
      <c r="A15" s="43" t="s">
        <v>314</v>
      </c>
      <c r="B15" s="47"/>
      <c r="C15" s="49">
        <v>-34010872.600000001</v>
      </c>
    </row>
    <row r="16" spans="1:13" x14ac:dyDescent="0.25">
      <c r="A16" s="43" t="s">
        <v>316</v>
      </c>
      <c r="B16" s="47"/>
      <c r="C16" s="54">
        <f>SUM(C8:C15)</f>
        <v>-625840294.30000007</v>
      </c>
      <c r="E16" s="52" t="s">
        <v>317</v>
      </c>
      <c r="I16" s="37">
        <f>I13-1</f>
        <v>0.63666121112929619</v>
      </c>
      <c r="J16" s="37">
        <f>J13-1</f>
        <v>0.33244503664223868</v>
      </c>
    </row>
    <row r="17" spans="1:13" x14ac:dyDescent="0.25">
      <c r="C17" s="55">
        <f>-645056386.98-C16</f>
        <v>-19216092.679999948</v>
      </c>
      <c r="E17" s="53" t="s">
        <v>318</v>
      </c>
    </row>
    <row r="18" spans="1:13" x14ac:dyDescent="0.25">
      <c r="C18" s="55"/>
    </row>
    <row r="19" spans="1:13" ht="15" x14ac:dyDescent="0.4">
      <c r="A19" s="65" t="s">
        <v>96</v>
      </c>
      <c r="B19" s="93"/>
      <c r="C19" s="56" t="s">
        <v>103</v>
      </c>
      <c r="D19" s="56" t="s">
        <v>104</v>
      </c>
      <c r="E19" s="56" t="s">
        <v>105</v>
      </c>
      <c r="F19" s="100"/>
      <c r="G19" s="100"/>
      <c r="H19" s="100"/>
      <c r="I19" s="93"/>
      <c r="J19" s="93"/>
      <c r="K19" s="93"/>
      <c r="L19" s="93"/>
      <c r="M19" s="93"/>
    </row>
    <row r="20" spans="1:13" x14ac:dyDescent="0.25">
      <c r="A20" s="37" t="s">
        <v>622</v>
      </c>
      <c r="B20" s="94"/>
      <c r="C20" s="57">
        <f>SUM(C8:C11)+C25</f>
        <v>34694611.073105179</v>
      </c>
      <c r="D20" s="57">
        <f>+C20+D25</f>
        <v>33823816.393365979</v>
      </c>
      <c r="E20" s="57">
        <f>+D20+E25</f>
        <v>32985618.702819135</v>
      </c>
      <c r="F20" s="94"/>
      <c r="G20" s="94"/>
      <c r="H20" s="94"/>
      <c r="I20" s="93"/>
      <c r="J20" s="93"/>
      <c r="K20" s="93"/>
      <c r="L20" s="93"/>
      <c r="M20" s="93"/>
    </row>
    <row r="21" spans="1:13" x14ac:dyDescent="0.25">
      <c r="A21" s="37" t="s">
        <v>623</v>
      </c>
      <c r="B21" s="94"/>
      <c r="C21" s="60">
        <f>SUM(C12:C15)+C26</f>
        <v>-672748401.03962731</v>
      </c>
      <c r="D21" s="60">
        <f>+C21+D26</f>
        <v>-650138580.8707006</v>
      </c>
      <c r="E21" s="60">
        <f>+D21+E26</f>
        <v>-623093854.59368455</v>
      </c>
      <c r="F21" s="94"/>
      <c r="G21" s="94"/>
      <c r="H21" s="94"/>
      <c r="I21" s="93"/>
      <c r="J21" s="93"/>
      <c r="K21" s="93"/>
      <c r="L21" s="93"/>
      <c r="M21" s="93"/>
    </row>
    <row r="22" spans="1:13" x14ac:dyDescent="0.25">
      <c r="A22" s="37" t="s">
        <v>624</v>
      </c>
      <c r="B22" s="95"/>
      <c r="C22" s="57">
        <f>SUM(C20:C21)</f>
        <v>-638053789.9665221</v>
      </c>
      <c r="D22" s="57">
        <f>SUM(D20:D21)</f>
        <v>-616314764.47733462</v>
      </c>
      <c r="E22" s="57">
        <f>SUM(E20:E21)</f>
        <v>-590108235.89086545</v>
      </c>
      <c r="F22" s="94"/>
      <c r="G22" s="94"/>
      <c r="H22" s="94"/>
      <c r="I22" s="93"/>
      <c r="J22" s="93"/>
      <c r="K22" s="93"/>
      <c r="L22" s="93"/>
      <c r="M22" s="93"/>
    </row>
    <row r="23" spans="1:13" x14ac:dyDescent="0.25">
      <c r="B23" s="93"/>
      <c r="C23" s="71">
        <f>+C22-C58</f>
        <v>0</v>
      </c>
      <c r="D23" s="71">
        <f>+D22-D58</f>
        <v>0</v>
      </c>
      <c r="E23" s="71">
        <f>+E22-E58</f>
        <v>0</v>
      </c>
      <c r="F23" s="101"/>
      <c r="G23" s="101"/>
      <c r="H23" s="101"/>
      <c r="I23" s="93"/>
      <c r="J23" s="93"/>
      <c r="K23" s="93"/>
      <c r="L23" s="93"/>
      <c r="M23" s="93"/>
    </row>
    <row r="24" spans="1:13" ht="15" x14ac:dyDescent="0.4">
      <c r="A24" s="65" t="s">
        <v>609</v>
      </c>
      <c r="B24" s="93"/>
      <c r="C24" s="56" t="s">
        <v>103</v>
      </c>
      <c r="D24" s="56" t="s">
        <v>104</v>
      </c>
      <c r="E24" s="56" t="s">
        <v>105</v>
      </c>
      <c r="F24" s="100"/>
      <c r="G24" s="100"/>
      <c r="H24" s="100"/>
      <c r="I24" s="93"/>
      <c r="J24" s="93"/>
      <c r="K24" s="93"/>
      <c r="L24" s="93"/>
      <c r="M24" s="93"/>
    </row>
    <row r="25" spans="1:13" x14ac:dyDescent="0.25">
      <c r="A25" s="37" t="s">
        <v>622</v>
      </c>
      <c r="B25" s="93"/>
      <c r="C25" s="67">
        <f>+C42+C48</f>
        <v>-466451.84689482313</v>
      </c>
      <c r="D25" s="67">
        <f>+D42+D48</f>
        <v>-870794.67973920086</v>
      </c>
      <c r="E25" s="67">
        <f>+E42+E48</f>
        <v>-838197.69054684381</v>
      </c>
      <c r="F25" s="102"/>
      <c r="G25" s="102"/>
      <c r="H25" s="102"/>
      <c r="I25" s="93"/>
      <c r="J25" s="93"/>
      <c r="K25" s="93"/>
      <c r="L25" s="93"/>
      <c r="M25" s="93"/>
    </row>
    <row r="26" spans="1:13" x14ac:dyDescent="0.25">
      <c r="A26" s="37" t="s">
        <v>623</v>
      </c>
      <c r="B26" s="93"/>
      <c r="C26" s="69">
        <f>+C34+C38+C52+C56</f>
        <v>-11747043.819627281</v>
      </c>
      <c r="D26" s="69">
        <f>+D34+D38+D52+D56</f>
        <v>22609820.168926746</v>
      </c>
      <c r="E26" s="69">
        <f>+E34+E38+E52+E56</f>
        <v>27044726.277016003</v>
      </c>
      <c r="F26" s="102"/>
      <c r="G26" s="102"/>
      <c r="H26" s="102"/>
      <c r="I26" s="93"/>
      <c r="J26" s="93"/>
      <c r="K26" s="93"/>
      <c r="L26" s="93"/>
      <c r="M26" s="93"/>
    </row>
    <row r="27" spans="1:13" x14ac:dyDescent="0.25">
      <c r="A27" s="37" t="s">
        <v>624</v>
      </c>
      <c r="B27" s="93"/>
      <c r="C27" s="67">
        <f>SUM(C25:C26)</f>
        <v>-12213495.666522104</v>
      </c>
      <c r="D27" s="67">
        <f>SUM(D25:D26)</f>
        <v>21739025.489187546</v>
      </c>
      <c r="E27" s="67">
        <f>SUM(E25:E26)</f>
        <v>26206528.586469159</v>
      </c>
      <c r="F27" s="102"/>
      <c r="G27" s="102"/>
      <c r="H27" s="102"/>
      <c r="I27" s="93"/>
      <c r="J27" s="93"/>
      <c r="K27" s="93"/>
      <c r="L27" s="93"/>
      <c r="M27" s="93"/>
    </row>
    <row r="28" spans="1:13" x14ac:dyDescent="0.25">
      <c r="B28" s="93"/>
      <c r="C28" s="71">
        <f>+C27-C54-C56</f>
        <v>0</v>
      </c>
      <c r="D28" s="71">
        <f>+D27-D54-D56</f>
        <v>0</v>
      </c>
      <c r="E28" s="71">
        <f>+E27-E54-E56</f>
        <v>0</v>
      </c>
      <c r="F28" s="101"/>
      <c r="G28" s="101"/>
      <c r="H28" s="101"/>
      <c r="I28" s="93"/>
      <c r="J28" s="93"/>
      <c r="K28" s="93"/>
      <c r="L28" s="93"/>
      <c r="M28" s="93"/>
    </row>
    <row r="29" spans="1:13" x14ac:dyDescent="0.25">
      <c r="F29" s="93"/>
      <c r="G29" s="93"/>
      <c r="H29" s="93"/>
      <c r="I29" s="93"/>
      <c r="J29" s="93"/>
      <c r="K29" s="93"/>
      <c r="L29" s="93"/>
      <c r="M29" s="93"/>
    </row>
    <row r="30" spans="1:13" ht="15" x14ac:dyDescent="0.4">
      <c r="C30" s="56">
        <v>2018</v>
      </c>
      <c r="D30" s="56">
        <v>2019</v>
      </c>
      <c r="E30" s="56">
        <v>2020</v>
      </c>
      <c r="F30" s="100"/>
      <c r="G30" s="100"/>
      <c r="H30" s="100"/>
      <c r="I30" s="100"/>
      <c r="J30" s="100"/>
      <c r="K30" s="100"/>
      <c r="L30" s="100"/>
      <c r="M30" s="100"/>
    </row>
    <row r="31" spans="1:13" x14ac:dyDescent="0.25">
      <c r="F31" s="93"/>
      <c r="G31" s="93"/>
      <c r="H31" s="93"/>
      <c r="I31" s="93"/>
      <c r="J31" s="93"/>
      <c r="K31" s="93"/>
      <c r="L31" s="93"/>
      <c r="M31" s="93"/>
    </row>
    <row r="32" spans="1:13" x14ac:dyDescent="0.25">
      <c r="A32" s="37" t="s">
        <v>80</v>
      </c>
      <c r="C32" s="57">
        <f>+C80/2</f>
        <v>1116902</v>
      </c>
      <c r="D32" s="57">
        <f>+D80</f>
        <v>2008425.3333333335</v>
      </c>
      <c r="E32" s="57">
        <f>+E80</f>
        <v>1895736</v>
      </c>
      <c r="F32" s="94"/>
      <c r="G32" s="94"/>
      <c r="H32" s="94"/>
      <c r="I32" s="94"/>
      <c r="J32" s="94"/>
      <c r="K32" s="94"/>
      <c r="L32" s="94"/>
      <c r="M32" s="94"/>
    </row>
    <row r="33" spans="1:15" x14ac:dyDescent="0.25">
      <c r="A33" s="37" t="s">
        <v>317</v>
      </c>
      <c r="C33" s="58">
        <v>0.33244503664223868</v>
      </c>
      <c r="D33" s="58">
        <v>0.33244503664223868</v>
      </c>
      <c r="E33" s="58">
        <v>0.33244503664223868</v>
      </c>
      <c r="F33" s="103"/>
      <c r="G33" s="103"/>
      <c r="H33" s="103"/>
      <c r="I33" s="103"/>
      <c r="J33" s="103"/>
      <c r="K33" s="103"/>
      <c r="L33" s="103"/>
      <c r="M33" s="103"/>
    </row>
    <row r="34" spans="1:15" x14ac:dyDescent="0.25">
      <c r="C34" s="57">
        <f>+C32*C33</f>
        <v>371308.52631578967</v>
      </c>
      <c r="D34" s="57">
        <f>+D32*D33</f>
        <v>667691.03353320051</v>
      </c>
      <c r="E34" s="57">
        <f>+E32*E33</f>
        <v>630228.02398401103</v>
      </c>
      <c r="F34" s="94"/>
      <c r="G34" s="94"/>
      <c r="H34" s="94"/>
      <c r="I34" s="94"/>
      <c r="J34" s="94"/>
      <c r="K34" s="94"/>
      <c r="L34" s="94"/>
      <c r="M34" s="94"/>
    </row>
    <row r="35" spans="1:15" x14ac:dyDescent="0.25">
      <c r="F35" s="93"/>
      <c r="G35" s="93"/>
      <c r="H35" s="93"/>
      <c r="I35" s="93"/>
      <c r="J35" s="93"/>
      <c r="K35" s="93"/>
      <c r="L35" s="93"/>
      <c r="M35" s="93"/>
    </row>
    <row r="36" spans="1:15" x14ac:dyDescent="0.25">
      <c r="A36" s="37" t="s">
        <v>87</v>
      </c>
      <c r="C36" s="57">
        <v>4851859.942874847</v>
      </c>
      <c r="D36" s="57">
        <f>+D64</f>
        <v>15610466.382170001</v>
      </c>
      <c r="E36" s="57">
        <f>+E64</f>
        <v>19024547.59677501</v>
      </c>
      <c r="F36" s="94"/>
      <c r="G36" s="94"/>
      <c r="H36" s="94"/>
      <c r="I36" s="94"/>
      <c r="J36" s="94"/>
      <c r="K36" s="94"/>
      <c r="L36" s="94"/>
      <c r="M36" s="94"/>
      <c r="O36" s="57"/>
    </row>
    <row r="37" spans="1:15" x14ac:dyDescent="0.25">
      <c r="A37" s="37" t="s">
        <v>312</v>
      </c>
      <c r="C37" s="58">
        <v>1.3324450366422387</v>
      </c>
      <c r="D37" s="58">
        <v>1.3324450366422387</v>
      </c>
      <c r="E37" s="58">
        <v>1.3324450366422387</v>
      </c>
      <c r="F37" s="103"/>
      <c r="G37" s="103"/>
      <c r="H37" s="103"/>
      <c r="I37" s="103"/>
      <c r="J37" s="103"/>
      <c r="K37" s="103"/>
      <c r="L37" s="103"/>
      <c r="M37" s="103"/>
    </row>
    <row r="38" spans="1:15" x14ac:dyDescent="0.25">
      <c r="C38" s="57">
        <f>+C36*C37</f>
        <v>6464836.6993668852</v>
      </c>
      <c r="D38" s="57">
        <f>+D36*D37</f>
        <v>20800088.450592943</v>
      </c>
      <c r="E38" s="57">
        <f>+E36*E37</f>
        <v>25349164.019686893</v>
      </c>
      <c r="F38" s="94"/>
      <c r="G38" s="94"/>
      <c r="H38" s="94"/>
      <c r="I38" s="94"/>
      <c r="J38" s="94"/>
      <c r="K38" s="94"/>
      <c r="L38" s="94"/>
      <c r="M38" s="94"/>
    </row>
    <row r="39" spans="1:15" x14ac:dyDescent="0.25">
      <c r="F39" s="93"/>
      <c r="G39" s="93"/>
      <c r="H39" s="93"/>
      <c r="I39" s="93"/>
      <c r="J39" s="93"/>
      <c r="K39" s="93"/>
      <c r="L39" s="93"/>
      <c r="M39" s="93"/>
    </row>
    <row r="40" spans="1:15" x14ac:dyDescent="0.25">
      <c r="A40" s="37" t="s">
        <v>319</v>
      </c>
      <c r="C40" s="57">
        <f>+C84/2</f>
        <v>-256973.99075</v>
      </c>
      <c r="D40" s="57">
        <f>+D84</f>
        <v>-457716.00416666671</v>
      </c>
      <c r="E40" s="57">
        <f>+E84</f>
        <v>-429600.01549999998</v>
      </c>
      <c r="F40" s="94"/>
      <c r="G40" s="94"/>
      <c r="H40" s="94"/>
      <c r="I40" s="94"/>
      <c r="J40" s="94"/>
      <c r="K40" s="94"/>
      <c r="L40" s="94"/>
      <c r="M40" s="94"/>
    </row>
    <row r="41" spans="1:15" x14ac:dyDescent="0.25">
      <c r="A41" s="37" t="s">
        <v>312</v>
      </c>
      <c r="C41" s="58">
        <v>1.3324450366422387</v>
      </c>
      <c r="D41" s="58">
        <v>1.3324450366422387</v>
      </c>
      <c r="E41" s="58">
        <v>1.3324450366422387</v>
      </c>
      <c r="F41" s="103"/>
      <c r="G41" s="103"/>
      <c r="H41" s="103"/>
      <c r="I41" s="103"/>
      <c r="J41" s="103"/>
      <c r="K41" s="103"/>
      <c r="L41" s="103"/>
      <c r="M41" s="103"/>
    </row>
    <row r="42" spans="1:15" x14ac:dyDescent="0.25">
      <c r="C42" s="57">
        <f>+C40*C41</f>
        <v>-342403.71852098603</v>
      </c>
      <c r="D42" s="57">
        <f>+D40*D41</f>
        <v>-609881.41794359335</v>
      </c>
      <c r="E42" s="57">
        <f>+E40*E41</f>
        <v>-572418.40839440376</v>
      </c>
      <c r="F42" s="94"/>
      <c r="G42" s="94"/>
      <c r="H42" s="94"/>
      <c r="I42" s="94"/>
      <c r="J42" s="94"/>
      <c r="K42" s="94"/>
      <c r="L42" s="94"/>
      <c r="M42" s="94"/>
    </row>
    <row r="43" spans="1:15" x14ac:dyDescent="0.25">
      <c r="F43" s="93"/>
      <c r="G43" s="93"/>
      <c r="H43" s="93"/>
      <c r="I43" s="93"/>
      <c r="J43" s="93"/>
      <c r="K43" s="93"/>
      <c r="L43" s="93"/>
      <c r="M43" s="93"/>
    </row>
    <row r="44" spans="1:15" x14ac:dyDescent="0.25">
      <c r="A44" s="37" t="s">
        <v>346</v>
      </c>
      <c r="C44" s="57">
        <v>-373138.75889605097</v>
      </c>
      <c r="D44" s="57">
        <f>-D91</f>
        <v>-784831.27445933234</v>
      </c>
      <c r="E44" s="57">
        <f>-E91</f>
        <v>-799468.34170503507</v>
      </c>
      <c r="F44" s="94"/>
      <c r="G44" s="94"/>
      <c r="H44" s="94"/>
      <c r="I44" s="94"/>
      <c r="J44" s="94"/>
      <c r="K44" s="94"/>
      <c r="L44" s="94"/>
      <c r="M44" s="94"/>
    </row>
    <row r="45" spans="1:15" x14ac:dyDescent="0.25">
      <c r="A45" s="37" t="s">
        <v>304</v>
      </c>
      <c r="C45" s="75">
        <v>0.2495</v>
      </c>
      <c r="D45" s="75">
        <v>0.2495</v>
      </c>
      <c r="E45" s="75">
        <v>0.2495</v>
      </c>
      <c r="F45" s="104"/>
      <c r="G45" s="104"/>
      <c r="H45" s="104"/>
      <c r="I45" s="105"/>
      <c r="J45" s="105"/>
      <c r="K45" s="105"/>
      <c r="L45" s="105"/>
      <c r="M45" s="105"/>
    </row>
    <row r="46" spans="1:15" x14ac:dyDescent="0.25">
      <c r="A46" s="37" t="s">
        <v>347</v>
      </c>
      <c r="C46" s="57">
        <f>+C44*C45</f>
        <v>-93098.120344564712</v>
      </c>
      <c r="D46" s="57">
        <f>+D44*D45</f>
        <v>-195815.40297760343</v>
      </c>
      <c r="E46" s="57">
        <f>+E44*E45</f>
        <v>-199467.35125540625</v>
      </c>
      <c r="F46" s="94"/>
      <c r="G46" s="94"/>
      <c r="H46" s="94"/>
      <c r="I46" s="94"/>
      <c r="J46" s="94"/>
      <c r="K46" s="94"/>
      <c r="L46" s="94"/>
      <c r="M46" s="94"/>
    </row>
    <row r="47" spans="1:15" x14ac:dyDescent="0.25">
      <c r="A47" s="37" t="s">
        <v>312</v>
      </c>
      <c r="C47" s="58">
        <v>1.3324450366422387</v>
      </c>
      <c r="D47" s="58">
        <v>1.3324450366422387</v>
      </c>
      <c r="E47" s="58">
        <v>1.3324450366422387</v>
      </c>
      <c r="F47" s="103"/>
      <c r="G47" s="103"/>
      <c r="H47" s="103"/>
      <c r="I47" s="103"/>
      <c r="J47" s="103"/>
      <c r="K47" s="103"/>
      <c r="L47" s="103"/>
      <c r="M47" s="103"/>
    </row>
    <row r="48" spans="1:15" x14ac:dyDescent="0.25">
      <c r="C48" s="57">
        <f>+C46*C47</f>
        <v>-124048.12837383707</v>
      </c>
      <c r="D48" s="57">
        <f>+D46*D47</f>
        <v>-260913.26179560754</v>
      </c>
      <c r="E48" s="57">
        <f>+E46*E47</f>
        <v>-265779.28215244005</v>
      </c>
      <c r="F48" s="94"/>
      <c r="G48" s="94"/>
      <c r="H48" s="94"/>
      <c r="I48" s="94"/>
      <c r="J48" s="94"/>
      <c r="K48" s="94"/>
      <c r="L48" s="94"/>
      <c r="M48" s="94"/>
    </row>
    <row r="49" spans="1:13" x14ac:dyDescent="0.25">
      <c r="F49" s="93"/>
      <c r="G49" s="93"/>
      <c r="H49" s="93"/>
      <c r="I49" s="93"/>
      <c r="J49" s="93"/>
      <c r="K49" s="93"/>
      <c r="L49" s="93"/>
      <c r="M49" s="93"/>
    </row>
    <row r="50" spans="1:13" x14ac:dyDescent="0.25">
      <c r="A50" s="37" t="s">
        <v>607</v>
      </c>
      <c r="C50" s="57">
        <v>474994.1778348377</v>
      </c>
      <c r="D50" s="57">
        <f>+SUM(D65:D67)</f>
        <v>857101.5339428517</v>
      </c>
      <c r="E50" s="57">
        <f>+SUM(E65:E67)</f>
        <v>799533.34212549613</v>
      </c>
      <c r="F50" s="94"/>
      <c r="G50" s="94"/>
      <c r="H50" s="94"/>
      <c r="I50" s="94"/>
      <c r="J50" s="93"/>
      <c r="K50" s="93"/>
      <c r="L50" s="93"/>
      <c r="M50" s="93"/>
    </row>
    <row r="51" spans="1:13" x14ac:dyDescent="0.25">
      <c r="A51" s="37" t="s">
        <v>312</v>
      </c>
      <c r="C51" s="58">
        <v>1.3324450366422387</v>
      </c>
      <c r="D51" s="58">
        <v>1.3324450366422387</v>
      </c>
      <c r="E51" s="58">
        <v>1.3324450366422387</v>
      </c>
      <c r="F51" s="103"/>
      <c r="G51" s="103"/>
      <c r="H51" s="103"/>
      <c r="I51" s="103"/>
      <c r="J51" s="103"/>
      <c r="K51" s="103"/>
      <c r="L51" s="103"/>
      <c r="M51" s="103"/>
    </row>
    <row r="52" spans="1:13" x14ac:dyDescent="0.25">
      <c r="C52" s="57">
        <f>+C50*C51</f>
        <v>632903.63468999031</v>
      </c>
      <c r="D52" s="57">
        <f>+D50*D51</f>
        <v>1142040.684800602</v>
      </c>
      <c r="E52" s="57">
        <f>+E50*E51</f>
        <v>1065334.2333450983</v>
      </c>
      <c r="F52" s="94"/>
      <c r="G52" s="94"/>
      <c r="H52" s="94"/>
      <c r="I52" s="93"/>
      <c r="J52" s="93"/>
      <c r="K52" s="93"/>
      <c r="L52" s="93"/>
      <c r="M52" s="93"/>
    </row>
    <row r="53" spans="1:13" x14ac:dyDescent="0.25">
      <c r="F53" s="93"/>
      <c r="G53" s="93"/>
      <c r="H53" s="93"/>
      <c r="I53" s="93"/>
      <c r="J53" s="93"/>
      <c r="K53" s="93"/>
      <c r="L53" s="93"/>
      <c r="M53" s="93"/>
    </row>
    <row r="54" spans="1:13" x14ac:dyDescent="0.25">
      <c r="A54" s="37" t="s">
        <v>320</v>
      </c>
      <c r="C54" s="57">
        <f>SUM(C34,C38,C42,C48,C52)</f>
        <v>7002597.0134778423</v>
      </c>
      <c r="D54" s="57">
        <f>SUM(D34,D38,D42,D48,D52)</f>
        <v>21739025.489187546</v>
      </c>
      <c r="E54" s="57">
        <f>SUM(E34,E38,E42,E48,E52)</f>
        <v>26206528.586469159</v>
      </c>
      <c r="F54" s="94"/>
      <c r="G54" s="94"/>
      <c r="H54" s="94"/>
      <c r="I54" s="94"/>
      <c r="J54" s="94"/>
      <c r="K54" s="94"/>
      <c r="L54" s="94"/>
      <c r="M54" s="94"/>
    </row>
    <row r="55" spans="1:13" x14ac:dyDescent="0.25">
      <c r="C55" s="57"/>
      <c r="D55" s="57"/>
      <c r="E55" s="57"/>
      <c r="F55" s="94"/>
      <c r="G55" s="94"/>
      <c r="H55" s="94"/>
      <c r="I55" s="94"/>
      <c r="J55" s="94"/>
      <c r="K55" s="94"/>
      <c r="L55" s="94"/>
      <c r="M55" s="94"/>
    </row>
    <row r="56" spans="1:13" x14ac:dyDescent="0.25">
      <c r="A56" s="37" t="s">
        <v>627</v>
      </c>
      <c r="C56" s="57">
        <f>+C17</f>
        <v>-19216092.679999948</v>
      </c>
      <c r="D56" s="57"/>
      <c r="E56" s="57"/>
      <c r="F56" s="94"/>
      <c r="G56" s="94"/>
      <c r="H56" s="94"/>
      <c r="I56" s="94"/>
      <c r="J56" s="94"/>
      <c r="K56" s="94"/>
      <c r="L56" s="94"/>
      <c r="M56" s="94"/>
    </row>
    <row r="57" spans="1:13" x14ac:dyDescent="0.25">
      <c r="F57" s="93"/>
      <c r="G57" s="93"/>
      <c r="H57" s="93"/>
      <c r="I57" s="93"/>
      <c r="J57" s="93"/>
      <c r="K57" s="93"/>
      <c r="L57" s="93"/>
      <c r="M57" s="93"/>
    </row>
    <row r="58" spans="1:13" ht="13.8" thickBot="1" x14ac:dyDescent="0.3">
      <c r="A58" s="37" t="s">
        <v>321</v>
      </c>
      <c r="C58" s="59">
        <f>SUM(C16,C54,C56)</f>
        <v>-638053789.96652222</v>
      </c>
      <c r="D58" s="59">
        <f>+C58+D54</f>
        <v>-616314764.47733462</v>
      </c>
      <c r="E58" s="59">
        <f>+D58+E54</f>
        <v>-590108235.89086545</v>
      </c>
      <c r="F58" s="106"/>
      <c r="G58" s="106"/>
      <c r="H58" s="106"/>
      <c r="I58" s="106"/>
      <c r="J58" s="106"/>
      <c r="K58" s="106"/>
      <c r="L58" s="106"/>
      <c r="M58" s="106"/>
    </row>
    <row r="59" spans="1:13" ht="13.8" thickTop="1" x14ac:dyDescent="0.25">
      <c r="F59" s="93"/>
      <c r="G59" s="93"/>
      <c r="H59" s="93"/>
      <c r="I59" s="93"/>
      <c r="J59" s="93"/>
      <c r="K59" s="93"/>
      <c r="L59" s="93"/>
      <c r="M59" s="93"/>
    </row>
    <row r="60" spans="1:13" x14ac:dyDescent="0.25">
      <c r="F60" s="93"/>
      <c r="G60" s="93"/>
      <c r="H60" s="93"/>
      <c r="I60" s="93"/>
      <c r="J60" s="93"/>
      <c r="K60" s="93"/>
      <c r="L60" s="93"/>
      <c r="M60" s="93"/>
    </row>
    <row r="61" spans="1:13" x14ac:dyDescent="0.25">
      <c r="A61" s="65" t="s">
        <v>628</v>
      </c>
      <c r="F61" s="93"/>
      <c r="G61" s="93"/>
      <c r="H61" s="93"/>
      <c r="I61" s="93"/>
      <c r="J61" s="93"/>
      <c r="K61" s="93"/>
      <c r="L61" s="93"/>
      <c r="M61" s="93"/>
    </row>
    <row r="62" spans="1:13" ht="15" x14ac:dyDescent="0.4">
      <c r="C62" s="56" t="s">
        <v>103</v>
      </c>
      <c r="D62" s="56" t="s">
        <v>104</v>
      </c>
      <c r="E62" s="56" t="s">
        <v>105</v>
      </c>
      <c r="F62" s="100"/>
      <c r="G62" s="100"/>
      <c r="H62" s="100"/>
      <c r="I62" s="100"/>
      <c r="J62" s="100"/>
      <c r="K62" s="100"/>
      <c r="L62" s="100"/>
      <c r="M62" s="93"/>
    </row>
    <row r="63" spans="1:13" x14ac:dyDescent="0.25">
      <c r="A63" s="37" t="s">
        <v>700</v>
      </c>
      <c r="D63" s="55"/>
      <c r="E63" s="55"/>
      <c r="F63" s="95"/>
      <c r="G63" s="95"/>
      <c r="H63" s="95"/>
      <c r="I63" s="95"/>
      <c r="J63" s="95"/>
      <c r="K63" s="95"/>
      <c r="L63" s="95"/>
      <c r="M63" s="93"/>
    </row>
    <row r="64" spans="1:13" x14ac:dyDescent="0.25">
      <c r="A64" s="37" t="s">
        <v>701</v>
      </c>
      <c r="C64" s="57">
        <v>10280429</v>
      </c>
      <c r="D64" s="57">
        <v>15610466.382170001</v>
      </c>
      <c r="E64" s="57">
        <v>19024547.59677501</v>
      </c>
      <c r="F64" s="94"/>
      <c r="G64" s="94"/>
      <c r="H64" s="94"/>
      <c r="I64" s="94"/>
      <c r="J64" s="94"/>
      <c r="K64" s="94"/>
      <c r="L64" s="94"/>
      <c r="M64" s="93"/>
    </row>
    <row r="65" spans="1:13" x14ac:dyDescent="0.25">
      <c r="A65" s="37" t="s">
        <v>702</v>
      </c>
      <c r="C65" s="57">
        <v>-179167.41687148064</v>
      </c>
      <c r="D65" s="57">
        <v>-261339.07954921183</v>
      </c>
      <c r="E65" s="57">
        <v>-333527.90103559825</v>
      </c>
      <c r="F65" s="94"/>
      <c r="G65" s="94"/>
      <c r="H65" s="94"/>
      <c r="I65" s="94"/>
      <c r="J65" s="94"/>
      <c r="K65" s="94"/>
      <c r="L65" s="94"/>
      <c r="M65" s="93"/>
    </row>
    <row r="66" spans="1:13" x14ac:dyDescent="0.25">
      <c r="A66" s="37" t="s">
        <v>703</v>
      </c>
      <c r="C66" s="57">
        <v>305533.6208206687</v>
      </c>
      <c r="D66" s="57">
        <v>305533.6208206687</v>
      </c>
      <c r="E66" s="57">
        <v>305533.6208206687</v>
      </c>
      <c r="F66" s="94"/>
      <c r="G66" s="94"/>
      <c r="H66" s="94"/>
      <c r="I66" s="94"/>
      <c r="J66" s="94"/>
      <c r="K66" s="94"/>
      <c r="L66" s="94"/>
      <c r="M66" s="93"/>
    </row>
    <row r="67" spans="1:13" x14ac:dyDescent="0.25">
      <c r="A67" s="37" t="s">
        <v>704</v>
      </c>
      <c r="C67" s="57">
        <v>740268.06666666665</v>
      </c>
      <c r="D67" s="57">
        <v>812906.99267139484</v>
      </c>
      <c r="E67" s="57">
        <v>827527.62234042562</v>
      </c>
      <c r="F67" s="94"/>
      <c r="G67" s="94"/>
      <c r="H67" s="94"/>
      <c r="I67" s="94"/>
      <c r="J67" s="94"/>
      <c r="K67" s="94"/>
      <c r="L67" s="94"/>
      <c r="M67" s="93"/>
    </row>
    <row r="68" spans="1:13" ht="13.8" thickBot="1" x14ac:dyDescent="0.3">
      <c r="A68" s="37" t="s">
        <v>88</v>
      </c>
      <c r="C68" s="96">
        <f>SUM(C64:C67)</f>
        <v>11147063.270615855</v>
      </c>
      <c r="D68" s="96">
        <f>SUM(D64:D67)</f>
        <v>16467567.916112853</v>
      </c>
      <c r="E68" s="96">
        <f>SUM(E64:E67)</f>
        <v>19824080.938900504</v>
      </c>
      <c r="F68" s="94"/>
      <c r="G68" s="94"/>
      <c r="H68" s="94"/>
      <c r="I68" s="94"/>
      <c r="J68" s="94"/>
      <c r="K68" s="94"/>
      <c r="L68" s="94"/>
      <c r="M68" s="93"/>
    </row>
    <row r="69" spans="1:13" x14ac:dyDescent="0.25">
      <c r="C69" s="55"/>
      <c r="D69" s="80"/>
      <c r="E69" s="80"/>
      <c r="F69" s="107"/>
      <c r="G69" s="107"/>
      <c r="H69" s="107"/>
      <c r="I69" s="107"/>
      <c r="J69" s="107"/>
      <c r="K69" s="107"/>
      <c r="L69" s="93"/>
      <c r="M69" s="93"/>
    </row>
    <row r="70" spans="1:13" x14ac:dyDescent="0.25">
      <c r="A70" s="37" t="s">
        <v>629</v>
      </c>
      <c r="C70" s="57">
        <f>+C73-SUM(C71:C72)</f>
        <v>10305973.413550856</v>
      </c>
      <c r="D70" s="57">
        <f>+D73-SUM(D71:D72)</f>
        <v>15270197.702142855</v>
      </c>
      <c r="E70" s="57">
        <f>+E73-SUM(E71:E72)</f>
        <v>18563572.918125503</v>
      </c>
      <c r="F70" s="94"/>
      <c r="G70" s="94"/>
      <c r="H70" s="94"/>
      <c r="I70" s="94"/>
      <c r="J70" s="94"/>
      <c r="K70" s="94"/>
      <c r="L70" s="94"/>
      <c r="M70" s="93"/>
    </row>
    <row r="71" spans="1:13" x14ac:dyDescent="0.25">
      <c r="A71" s="37" t="s">
        <v>630</v>
      </c>
      <c r="C71" s="57">
        <f>-C72*0.21</f>
        <v>-223580.8480805695</v>
      </c>
      <c r="D71" s="57">
        <f>-D72*0.21</f>
        <v>-318288.28472620214</v>
      </c>
      <c r="E71" s="57">
        <f>-E72*0.21</f>
        <v>-335071.75235791138</v>
      </c>
      <c r="F71" s="94"/>
      <c r="G71" s="94"/>
      <c r="H71" s="94"/>
      <c r="I71" s="94"/>
      <c r="J71" s="94"/>
      <c r="K71" s="94"/>
      <c r="L71" s="94"/>
      <c r="M71" s="93"/>
    </row>
    <row r="72" spans="1:13" x14ac:dyDescent="0.25">
      <c r="A72" s="37" t="s">
        <v>631</v>
      </c>
      <c r="C72" s="57">
        <v>1064670.7051455691</v>
      </c>
      <c r="D72" s="57">
        <v>1515658.4986962008</v>
      </c>
      <c r="E72" s="57">
        <v>1595579.7731329114</v>
      </c>
      <c r="F72" s="94"/>
      <c r="G72" s="94"/>
      <c r="H72" s="94"/>
      <c r="I72" s="94"/>
      <c r="J72" s="94"/>
      <c r="K72" s="94"/>
      <c r="L72" s="94"/>
      <c r="M72" s="93"/>
    </row>
    <row r="73" spans="1:13" ht="13.8" thickBot="1" x14ac:dyDescent="0.3">
      <c r="A73" s="37" t="s">
        <v>632</v>
      </c>
      <c r="C73" s="82">
        <f>+C68</f>
        <v>11147063.270615855</v>
      </c>
      <c r="D73" s="82">
        <f>+D68</f>
        <v>16467567.916112853</v>
      </c>
      <c r="E73" s="82">
        <f>+E68</f>
        <v>19824080.938900504</v>
      </c>
      <c r="F73" s="95"/>
      <c r="G73" s="95"/>
      <c r="H73" s="95"/>
      <c r="I73" s="95"/>
      <c r="J73" s="95"/>
      <c r="K73" s="95"/>
      <c r="L73" s="95"/>
      <c r="M73" s="93"/>
    </row>
    <row r="74" spans="1:13" x14ac:dyDescent="0.25">
      <c r="D74" s="80"/>
      <c r="E74" s="80"/>
      <c r="F74" s="107"/>
      <c r="G74" s="107"/>
      <c r="H74" s="107"/>
      <c r="I74" s="107"/>
      <c r="J74" s="107"/>
      <c r="K74" s="107"/>
      <c r="L74" s="93"/>
      <c r="M74" s="93"/>
    </row>
    <row r="75" spans="1:13" x14ac:dyDescent="0.25">
      <c r="A75" s="65" t="s">
        <v>705</v>
      </c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3"/>
    </row>
    <row r="76" spans="1:13" ht="15" x14ac:dyDescent="0.4">
      <c r="C76" s="56" t="s">
        <v>103</v>
      </c>
      <c r="D76" s="56" t="s">
        <v>104</v>
      </c>
      <c r="E76" s="56" t="s">
        <v>105</v>
      </c>
      <c r="F76" s="100"/>
      <c r="G76" s="100"/>
      <c r="H76" s="100"/>
      <c r="I76" s="100"/>
      <c r="J76" s="100"/>
      <c r="K76" s="100"/>
      <c r="L76" s="100"/>
      <c r="M76" s="93"/>
    </row>
    <row r="77" spans="1:13" ht="14.4" x14ac:dyDescent="0.3">
      <c r="A77" s="37" t="s">
        <v>706</v>
      </c>
      <c r="B77" s="97"/>
      <c r="C77" s="57">
        <v>226735</v>
      </c>
      <c r="D77" s="57">
        <f>+C77</f>
        <v>226735</v>
      </c>
      <c r="E77" s="57">
        <f>+D77</f>
        <v>226735</v>
      </c>
      <c r="F77" s="94"/>
      <c r="G77" s="94"/>
      <c r="H77" s="94"/>
      <c r="I77" s="94"/>
      <c r="J77" s="94"/>
      <c r="K77" s="94"/>
      <c r="L77" s="94"/>
      <c r="M77" s="93"/>
    </row>
    <row r="78" spans="1:13" ht="14.4" x14ac:dyDescent="0.3">
      <c r="A78" s="37" t="s">
        <v>707</v>
      </c>
      <c r="B78" s="97"/>
      <c r="C78" s="57">
        <v>1954537</v>
      </c>
      <c r="D78" s="57">
        <f>+C78/12*4+E78/12*8</f>
        <v>1729158.3333333335</v>
      </c>
      <c r="E78" s="57">
        <v>1616469</v>
      </c>
      <c r="F78" s="94"/>
      <c r="G78" s="94"/>
      <c r="H78" s="94"/>
      <c r="I78" s="94"/>
      <c r="J78" s="94"/>
      <c r="K78" s="94"/>
      <c r="L78" s="94"/>
      <c r="M78" s="93"/>
    </row>
    <row r="79" spans="1:13" ht="14.4" x14ac:dyDescent="0.3">
      <c r="A79" s="37" t="s">
        <v>708</v>
      </c>
      <c r="B79" s="97"/>
      <c r="C79" s="60">
        <v>52532</v>
      </c>
      <c r="D79" s="60">
        <f>+C79</f>
        <v>52532</v>
      </c>
      <c r="E79" s="60">
        <f>+D79</f>
        <v>52532</v>
      </c>
      <c r="F79" s="94"/>
      <c r="G79" s="94"/>
      <c r="H79" s="94"/>
      <c r="I79" s="94"/>
      <c r="J79" s="94"/>
      <c r="K79" s="94"/>
      <c r="L79" s="94"/>
      <c r="M79" s="93"/>
    </row>
    <row r="80" spans="1:13" x14ac:dyDescent="0.25">
      <c r="B80" s="98"/>
      <c r="C80" s="57">
        <f>SUM(C77:C79)</f>
        <v>2233804</v>
      </c>
      <c r="D80" s="57">
        <f>SUM(D77:D79)</f>
        <v>2008425.3333333335</v>
      </c>
      <c r="E80" s="57">
        <f>SUM(E77:E79)</f>
        <v>1895736</v>
      </c>
      <c r="F80" s="94"/>
      <c r="G80" s="94"/>
      <c r="H80" s="94"/>
      <c r="I80" s="94"/>
      <c r="J80" s="94"/>
      <c r="K80" s="94"/>
      <c r="L80" s="94"/>
      <c r="M80" s="93"/>
    </row>
    <row r="81" spans="1:16" x14ac:dyDescent="0.25">
      <c r="A81" s="37" t="s">
        <v>709</v>
      </c>
      <c r="F81" s="93"/>
      <c r="G81" s="93"/>
      <c r="H81" s="93"/>
      <c r="I81" s="93"/>
      <c r="J81" s="93"/>
      <c r="K81" s="93"/>
      <c r="L81" s="93"/>
      <c r="M81" s="93"/>
    </row>
    <row r="82" spans="1:16" x14ac:dyDescent="0.25">
      <c r="A82" s="37" t="s">
        <v>706</v>
      </c>
      <c r="C82" s="57">
        <v>-26291</v>
      </c>
      <c r="D82" s="57">
        <f>+C82</f>
        <v>-26291</v>
      </c>
      <c r="E82" s="57">
        <f>+D82</f>
        <v>-26291</v>
      </c>
      <c r="F82" s="94"/>
      <c r="G82" s="94"/>
      <c r="H82" s="94"/>
      <c r="I82" s="94"/>
      <c r="J82" s="94"/>
      <c r="K82" s="94"/>
      <c r="L82" s="94"/>
      <c r="M82" s="93"/>
    </row>
    <row r="83" spans="1:16" x14ac:dyDescent="0.25">
      <c r="A83" s="37" t="s">
        <v>707</v>
      </c>
      <c r="C83" s="60">
        <f>-C78*0.2495</f>
        <v>-487656.98149999999</v>
      </c>
      <c r="D83" s="60">
        <f>-D78*0.2495</f>
        <v>-431425.00416666671</v>
      </c>
      <c r="E83" s="60">
        <f>-E78*0.2495</f>
        <v>-403309.01549999998</v>
      </c>
      <c r="F83" s="94"/>
      <c r="G83" s="94"/>
      <c r="H83" s="94"/>
      <c r="I83" s="94"/>
      <c r="J83" s="94"/>
      <c r="K83" s="94"/>
      <c r="L83" s="94"/>
      <c r="M83" s="93"/>
    </row>
    <row r="84" spans="1:16" x14ac:dyDescent="0.25">
      <c r="C84" s="57">
        <f>SUM(C82:C83)</f>
        <v>-513947.98149999999</v>
      </c>
      <c r="D84" s="57">
        <f>SUM(D82:D83)</f>
        <v>-457716.00416666671</v>
      </c>
      <c r="E84" s="57">
        <f>SUM(E82:E83)</f>
        <v>-429600.01549999998</v>
      </c>
      <c r="F84" s="94"/>
      <c r="G84" s="94"/>
      <c r="H84" s="94"/>
      <c r="I84" s="94"/>
      <c r="J84" s="94"/>
      <c r="K84" s="94"/>
      <c r="L84" s="94"/>
      <c r="M84" s="93"/>
    </row>
    <row r="85" spans="1:16" x14ac:dyDescent="0.25">
      <c r="F85" s="93"/>
      <c r="G85" s="93"/>
      <c r="H85" s="93"/>
      <c r="I85" s="93"/>
      <c r="J85" s="93"/>
      <c r="K85" s="93"/>
      <c r="L85" s="93"/>
      <c r="M85" s="93"/>
    </row>
    <row r="86" spans="1:16" x14ac:dyDescent="0.25">
      <c r="F86" s="93"/>
      <c r="G86" s="93"/>
      <c r="H86" s="93"/>
      <c r="I86" s="93"/>
      <c r="J86" s="93"/>
      <c r="K86" s="93"/>
      <c r="L86" s="93"/>
      <c r="M86" s="93"/>
    </row>
    <row r="87" spans="1:16" x14ac:dyDescent="0.25">
      <c r="A87" s="65" t="s">
        <v>348</v>
      </c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3"/>
    </row>
    <row r="88" spans="1:16" ht="15" x14ac:dyDescent="0.4">
      <c r="C88" s="56" t="s">
        <v>103</v>
      </c>
      <c r="D88" s="56" t="s">
        <v>104</v>
      </c>
      <c r="E88" s="56" t="s">
        <v>105</v>
      </c>
      <c r="F88" s="100"/>
      <c r="G88" s="100"/>
      <c r="H88" s="100"/>
      <c r="I88" s="100"/>
      <c r="J88" s="100"/>
      <c r="K88" s="100"/>
      <c r="L88" s="100"/>
      <c r="M88" s="93"/>
    </row>
    <row r="89" spans="1:16" ht="14.4" x14ac:dyDescent="0.3">
      <c r="A89" s="37" t="s">
        <v>710</v>
      </c>
      <c r="B89" s="97"/>
      <c r="C89" s="57">
        <v>850000</v>
      </c>
      <c r="D89" s="57">
        <v>800000</v>
      </c>
      <c r="E89" s="57">
        <v>800000</v>
      </c>
      <c r="F89" s="94"/>
      <c r="G89" s="94"/>
      <c r="H89" s="94"/>
      <c r="I89" s="94"/>
      <c r="J89" s="94"/>
      <c r="K89" s="94"/>
      <c r="L89" s="94"/>
      <c r="M89" s="93"/>
    </row>
    <row r="90" spans="1:16" ht="14.4" x14ac:dyDescent="0.3">
      <c r="A90" s="37" t="s">
        <v>348</v>
      </c>
      <c r="B90" s="97"/>
      <c r="C90" s="60">
        <v>-367186.341103949</v>
      </c>
      <c r="D90" s="60">
        <v>-15168.725540667599</v>
      </c>
      <c r="E90" s="60">
        <v>-531.65829496488209</v>
      </c>
      <c r="F90" s="94"/>
      <c r="G90" s="94"/>
      <c r="H90" s="94"/>
      <c r="I90" s="94"/>
      <c r="J90" s="94"/>
      <c r="K90" s="94"/>
      <c r="L90" s="94"/>
      <c r="M90" s="93"/>
      <c r="N90" s="99"/>
      <c r="O90" s="99"/>
      <c r="P90" s="99"/>
    </row>
    <row r="91" spans="1:16" x14ac:dyDescent="0.25">
      <c r="B91" s="98"/>
      <c r="C91" s="57">
        <f>SUM(C89:C90)</f>
        <v>482813.658896051</v>
      </c>
      <c r="D91" s="57">
        <f>SUM(D89:D90)</f>
        <v>784831.27445933234</v>
      </c>
      <c r="E91" s="57">
        <f>SUM(E89:E90)</f>
        <v>799468.34170503507</v>
      </c>
      <c r="F91" s="94"/>
      <c r="G91" s="94"/>
      <c r="H91" s="94"/>
      <c r="I91" s="94"/>
      <c r="J91" s="94"/>
      <c r="K91" s="94"/>
      <c r="L91" s="94"/>
      <c r="M91" s="93"/>
    </row>
    <row r="92" spans="1:16" x14ac:dyDescent="0.25">
      <c r="F92" s="93"/>
      <c r="G92" s="93"/>
      <c r="H92" s="93"/>
      <c r="I92" s="93"/>
      <c r="J92" s="93"/>
      <c r="K92" s="93"/>
      <c r="L92" s="93"/>
      <c r="M92" s="93"/>
    </row>
    <row r="93" spans="1:16" x14ac:dyDescent="0.25">
      <c r="F93" s="93"/>
      <c r="G93" s="93"/>
      <c r="H93" s="93"/>
      <c r="I93" s="93"/>
      <c r="J93" s="93"/>
      <c r="K93" s="93"/>
      <c r="L93" s="93"/>
      <c r="M93" s="93"/>
    </row>
    <row r="94" spans="1:16" x14ac:dyDescent="0.25">
      <c r="F94" s="93"/>
      <c r="G94" s="93"/>
      <c r="H94" s="93"/>
      <c r="I94" s="93"/>
      <c r="J94" s="93"/>
      <c r="K94" s="93"/>
      <c r="L94" s="93"/>
      <c r="M94" s="93"/>
    </row>
    <row r="95" spans="1:16" x14ac:dyDescent="0.25">
      <c r="A95" s="37" t="s">
        <v>711</v>
      </c>
      <c r="C95" s="37">
        <v>350000</v>
      </c>
      <c r="D95" s="37">
        <v>300000</v>
      </c>
      <c r="E95" s="37">
        <v>250000</v>
      </c>
      <c r="F95" s="93"/>
      <c r="G95" s="93"/>
      <c r="H95" s="93"/>
      <c r="I95" s="93"/>
      <c r="J95" s="93"/>
      <c r="K95" s="93"/>
      <c r="L95" s="93"/>
      <c r="M95" s="93"/>
    </row>
    <row r="96" spans="1:16" x14ac:dyDescent="0.25">
      <c r="F96" s="93"/>
      <c r="G96" s="93"/>
      <c r="H96" s="93"/>
      <c r="I96" s="93"/>
      <c r="J96" s="93"/>
      <c r="K96" s="93"/>
      <c r="L96" s="93"/>
      <c r="M96" s="93"/>
    </row>
    <row r="97" spans="6:13" x14ac:dyDescent="0.25">
      <c r="F97" s="93"/>
      <c r="G97" s="93"/>
      <c r="H97" s="93"/>
      <c r="I97" s="93"/>
      <c r="J97" s="93"/>
      <c r="K97" s="93"/>
      <c r="L97" s="93"/>
      <c r="M97" s="93"/>
    </row>
    <row r="98" spans="6:13" x14ac:dyDescent="0.25">
      <c r="F98" s="93"/>
      <c r="G98" s="93"/>
      <c r="H98" s="93"/>
      <c r="I98" s="93"/>
      <c r="J98" s="93"/>
      <c r="K98" s="93"/>
      <c r="L98" s="93"/>
      <c r="M98" s="9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pane xSplit="2" topLeftCell="C1" activePane="topRight" state="frozen"/>
      <selection activeCell="H116" sqref="H116"/>
      <selection pane="topRight" activeCell="H116" sqref="H116"/>
    </sheetView>
  </sheetViews>
  <sheetFormatPr defaultColWidth="9.109375" defaultRowHeight="13.2" x14ac:dyDescent="0.25"/>
  <cols>
    <col min="1" max="1" width="19.44140625" style="37" customWidth="1"/>
    <col min="2" max="2" width="13.44140625" style="37" bestFit="1" customWidth="1"/>
    <col min="3" max="14" width="14.5546875" style="37" customWidth="1"/>
    <col min="15" max="15" width="14.5546875" style="61" customWidth="1"/>
    <col min="16" max="26" width="14.5546875" style="37" customWidth="1"/>
    <col min="27" max="27" width="14.5546875" style="61" customWidth="1"/>
    <col min="28" max="38" width="14.5546875" style="37" customWidth="1"/>
    <col min="39" max="16384" width="9.109375" style="37"/>
  </cols>
  <sheetData>
    <row r="1" spans="1:10" x14ac:dyDescent="0.25">
      <c r="A1" s="36" t="s">
        <v>603</v>
      </c>
    </row>
    <row r="2" spans="1:10" x14ac:dyDescent="0.25">
      <c r="E2" s="36" t="s">
        <v>295</v>
      </c>
      <c r="I2" s="38" t="s">
        <v>604</v>
      </c>
      <c r="J2" s="38" t="s">
        <v>605</v>
      </c>
    </row>
    <row r="3" spans="1:10" x14ac:dyDescent="0.25">
      <c r="A3" s="39" t="s">
        <v>606</v>
      </c>
      <c r="E3" s="40" t="s">
        <v>296</v>
      </c>
      <c r="I3" s="38" t="s">
        <v>297</v>
      </c>
      <c r="J3" s="38" t="s">
        <v>297</v>
      </c>
    </row>
    <row r="4" spans="1:10" x14ac:dyDescent="0.25">
      <c r="E4" s="38"/>
      <c r="I4" s="38"/>
      <c r="J4" s="38"/>
    </row>
    <row r="5" spans="1:10" x14ac:dyDescent="0.25">
      <c r="A5" s="42"/>
      <c r="B5" s="43"/>
      <c r="C5" s="44"/>
      <c r="E5" s="37" t="s">
        <v>298</v>
      </c>
      <c r="I5" s="45">
        <v>0.35</v>
      </c>
      <c r="J5" s="45">
        <v>0.21</v>
      </c>
    </row>
    <row r="6" spans="1:10" x14ac:dyDescent="0.25">
      <c r="A6" s="46"/>
      <c r="B6" s="43" t="s">
        <v>299</v>
      </c>
      <c r="C6" s="43" t="s">
        <v>345</v>
      </c>
      <c r="E6" s="37" t="s">
        <v>300</v>
      </c>
      <c r="I6" s="45">
        <v>0.06</v>
      </c>
      <c r="J6" s="45">
        <v>0.05</v>
      </c>
    </row>
    <row r="7" spans="1:10" x14ac:dyDescent="0.25">
      <c r="A7" s="43" t="s">
        <v>301</v>
      </c>
      <c r="B7" s="47"/>
      <c r="C7" s="47"/>
      <c r="E7" s="37" t="s">
        <v>302</v>
      </c>
      <c r="I7" s="45">
        <f>I6*-I5</f>
        <v>-2.0999999999999998E-2</v>
      </c>
      <c r="J7" s="48">
        <f>J6*-J5</f>
        <v>-1.0500000000000001E-2</v>
      </c>
    </row>
    <row r="8" spans="1:10" ht="13.8" thickBot="1" x14ac:dyDescent="0.3">
      <c r="A8" s="43" t="s">
        <v>303</v>
      </c>
      <c r="B8" s="47"/>
      <c r="C8" s="49">
        <v>21100125.350000001</v>
      </c>
      <c r="E8" s="37" t="s">
        <v>304</v>
      </c>
      <c r="I8" s="50">
        <f>I5+I6+I7</f>
        <v>0.38899999999999996</v>
      </c>
      <c r="J8" s="51">
        <f>J5+J6+J7</f>
        <v>0.2495</v>
      </c>
    </row>
    <row r="9" spans="1:10" ht="13.8" thickTop="1" x14ac:dyDescent="0.25">
      <c r="A9" s="43" t="s">
        <v>305</v>
      </c>
      <c r="B9" s="47"/>
      <c r="C9" s="49">
        <v>7014632.0899999999</v>
      </c>
    </row>
    <row r="10" spans="1:10" x14ac:dyDescent="0.25">
      <c r="A10" s="43" t="s">
        <v>306</v>
      </c>
      <c r="B10" s="47"/>
      <c r="C10" s="49">
        <v>5288252.3099999996</v>
      </c>
      <c r="E10" s="37" t="s">
        <v>307</v>
      </c>
    </row>
    <row r="11" spans="1:10" x14ac:dyDescent="0.25">
      <c r="A11" s="43" t="s">
        <v>308</v>
      </c>
      <c r="B11" s="47"/>
      <c r="C11" s="49">
        <v>1758053.17</v>
      </c>
      <c r="E11" s="37" t="s">
        <v>309</v>
      </c>
    </row>
    <row r="12" spans="1:10" x14ac:dyDescent="0.25">
      <c r="A12" s="43" t="s">
        <v>310</v>
      </c>
      <c r="B12" s="47"/>
      <c r="C12" s="49">
        <v>-475612159.00999999</v>
      </c>
    </row>
    <row r="13" spans="1:10" x14ac:dyDescent="0.25">
      <c r="A13" s="43" t="s">
        <v>311</v>
      </c>
      <c r="B13" s="47"/>
      <c r="C13" s="49">
        <v>-135703381.41</v>
      </c>
      <c r="E13" s="52" t="s">
        <v>312</v>
      </c>
      <c r="I13" s="37">
        <f>1/(1-I8)</f>
        <v>1.6366612111292962</v>
      </c>
      <c r="J13" s="37">
        <f>1/(1-J8)</f>
        <v>1.3324450366422387</v>
      </c>
    </row>
    <row r="14" spans="1:10" x14ac:dyDescent="0.25">
      <c r="A14" s="43" t="s">
        <v>313</v>
      </c>
      <c r="B14" s="47"/>
      <c r="C14" s="49">
        <v>-15674944.199999999</v>
      </c>
      <c r="E14" s="53" t="s">
        <v>315</v>
      </c>
    </row>
    <row r="15" spans="1:10" x14ac:dyDescent="0.25">
      <c r="A15" s="43" t="s">
        <v>314</v>
      </c>
      <c r="B15" s="47"/>
      <c r="C15" s="49">
        <v>-34010872.600000001</v>
      </c>
    </row>
    <row r="16" spans="1:10" x14ac:dyDescent="0.25">
      <c r="A16" s="43" t="s">
        <v>316</v>
      </c>
      <c r="B16" s="47"/>
      <c r="C16" s="54">
        <v>-625840294.30000007</v>
      </c>
      <c r="E16" s="52" t="s">
        <v>317</v>
      </c>
      <c r="I16" s="37">
        <f>I13-1</f>
        <v>0.63666121112929619</v>
      </c>
      <c r="J16" s="37">
        <f>J13-1</f>
        <v>0.33244503664223868</v>
      </c>
    </row>
    <row r="17" spans="1:38" x14ac:dyDescent="0.25">
      <c r="E17" s="53" t="s">
        <v>318</v>
      </c>
    </row>
    <row r="18" spans="1:38" x14ac:dyDescent="0.25">
      <c r="E18" s="53"/>
    </row>
    <row r="19" spans="1:38" x14ac:dyDescent="0.25">
      <c r="C19" s="62" t="s">
        <v>608</v>
      </c>
      <c r="D19" s="62" t="s">
        <v>608</v>
      </c>
      <c r="E19" s="62" t="s">
        <v>608</v>
      </c>
      <c r="F19" s="62" t="s">
        <v>608</v>
      </c>
      <c r="G19" s="62" t="s">
        <v>608</v>
      </c>
      <c r="H19" s="62" t="s">
        <v>608</v>
      </c>
      <c r="I19" s="62" t="s">
        <v>103</v>
      </c>
      <c r="J19" s="62" t="s">
        <v>103</v>
      </c>
      <c r="K19" s="62" t="s">
        <v>103</v>
      </c>
      <c r="L19" s="62" t="s">
        <v>103</v>
      </c>
      <c r="M19" s="62" t="s">
        <v>103</v>
      </c>
      <c r="N19" s="62" t="s">
        <v>103</v>
      </c>
      <c r="O19" s="63" t="s">
        <v>104</v>
      </c>
      <c r="P19" s="62" t="s">
        <v>104</v>
      </c>
      <c r="Q19" s="62" t="s">
        <v>104</v>
      </c>
      <c r="R19" s="62" t="s">
        <v>104</v>
      </c>
      <c r="S19" s="62" t="s">
        <v>104</v>
      </c>
      <c r="T19" s="62" t="s">
        <v>104</v>
      </c>
      <c r="U19" s="62" t="s">
        <v>104</v>
      </c>
      <c r="V19" s="62" t="s">
        <v>104</v>
      </c>
      <c r="W19" s="62" t="s">
        <v>104</v>
      </c>
      <c r="X19" s="62" t="s">
        <v>104</v>
      </c>
      <c r="Y19" s="62" t="s">
        <v>104</v>
      </c>
      <c r="Z19" s="62" t="s">
        <v>104</v>
      </c>
      <c r="AA19" s="63" t="s">
        <v>105</v>
      </c>
      <c r="AB19" s="64" t="s">
        <v>105</v>
      </c>
      <c r="AC19" s="64" t="s">
        <v>105</v>
      </c>
      <c r="AD19" s="64" t="s">
        <v>105</v>
      </c>
      <c r="AE19" s="64" t="s">
        <v>105</v>
      </c>
      <c r="AF19" s="64" t="s">
        <v>105</v>
      </c>
      <c r="AG19" s="64" t="s">
        <v>105</v>
      </c>
      <c r="AH19" s="64" t="s">
        <v>105</v>
      </c>
      <c r="AI19" s="64" t="s">
        <v>105</v>
      </c>
      <c r="AJ19" s="64" t="s">
        <v>105</v>
      </c>
      <c r="AK19" s="64" t="s">
        <v>105</v>
      </c>
      <c r="AL19" s="64" t="s">
        <v>105</v>
      </c>
    </row>
    <row r="20" spans="1:38" ht="15" x14ac:dyDescent="0.4">
      <c r="A20" s="65" t="s">
        <v>609</v>
      </c>
      <c r="C20" s="56" t="s">
        <v>610</v>
      </c>
      <c r="D20" s="56" t="s">
        <v>611</v>
      </c>
      <c r="E20" s="56" t="s">
        <v>612</v>
      </c>
      <c r="F20" s="56" t="s">
        <v>613</v>
      </c>
      <c r="G20" s="56" t="s">
        <v>614</v>
      </c>
      <c r="H20" s="56" t="s">
        <v>615</v>
      </c>
      <c r="I20" s="56" t="s">
        <v>616</v>
      </c>
      <c r="J20" s="56" t="s">
        <v>617</v>
      </c>
      <c r="K20" s="56" t="s">
        <v>618</v>
      </c>
      <c r="L20" s="56" t="s">
        <v>619</v>
      </c>
      <c r="M20" s="56" t="s">
        <v>620</v>
      </c>
      <c r="N20" s="56" t="s">
        <v>621</v>
      </c>
      <c r="O20" s="66" t="s">
        <v>610</v>
      </c>
      <c r="P20" s="56" t="s">
        <v>611</v>
      </c>
      <c r="Q20" s="56" t="s">
        <v>612</v>
      </c>
      <c r="R20" s="56" t="s">
        <v>613</v>
      </c>
      <c r="S20" s="56" t="s">
        <v>614</v>
      </c>
      <c r="T20" s="56" t="s">
        <v>615</v>
      </c>
      <c r="U20" s="56" t="s">
        <v>616</v>
      </c>
      <c r="V20" s="56" t="s">
        <v>617</v>
      </c>
      <c r="W20" s="56" t="s">
        <v>618</v>
      </c>
      <c r="X20" s="56" t="s">
        <v>619</v>
      </c>
      <c r="Y20" s="56" t="s">
        <v>620</v>
      </c>
      <c r="Z20" s="56" t="s">
        <v>621</v>
      </c>
      <c r="AA20" s="66" t="s">
        <v>610</v>
      </c>
      <c r="AB20" s="56" t="s">
        <v>611</v>
      </c>
      <c r="AC20" s="56" t="s">
        <v>612</v>
      </c>
      <c r="AD20" s="56" t="s">
        <v>613</v>
      </c>
      <c r="AE20" s="56" t="s">
        <v>614</v>
      </c>
      <c r="AF20" s="56" t="s">
        <v>615</v>
      </c>
      <c r="AG20" s="56" t="s">
        <v>616</v>
      </c>
      <c r="AH20" s="56" t="s">
        <v>617</v>
      </c>
      <c r="AI20" s="56" t="s">
        <v>618</v>
      </c>
      <c r="AJ20" s="56" t="s">
        <v>619</v>
      </c>
      <c r="AK20" s="56" t="s">
        <v>620</v>
      </c>
      <c r="AL20" s="56" t="s">
        <v>621</v>
      </c>
    </row>
    <row r="21" spans="1:38" x14ac:dyDescent="0.25">
      <c r="A21" s="37" t="s">
        <v>622</v>
      </c>
      <c r="C21" s="67">
        <f>+C38+C44+C55+C57</f>
        <v>0</v>
      </c>
      <c r="D21" s="67">
        <f t="shared" ref="D21:N21" si="0">+D38+D44+D55+D57</f>
        <v>0</v>
      </c>
      <c r="E21" s="67">
        <f t="shared" si="0"/>
        <v>-199895.48957361761</v>
      </c>
      <c r="F21" s="67">
        <f t="shared" si="0"/>
        <v>0</v>
      </c>
      <c r="G21" s="67">
        <f t="shared" si="0"/>
        <v>0</v>
      </c>
      <c r="H21" s="67">
        <f>+H38+H44+H55+H57</f>
        <v>-178969.14831445704</v>
      </c>
      <c r="I21" s="67">
        <f t="shared" si="0"/>
        <v>0</v>
      </c>
      <c r="J21" s="67">
        <f t="shared" si="0"/>
        <v>0</v>
      </c>
      <c r="K21" s="67">
        <f t="shared" si="0"/>
        <v>-227777.03617378222</v>
      </c>
      <c r="L21" s="67">
        <f t="shared" si="0"/>
        <v>0</v>
      </c>
      <c r="M21" s="67">
        <f t="shared" si="0"/>
        <v>0</v>
      </c>
      <c r="N21" s="67">
        <f t="shared" si="0"/>
        <v>-238674.81072104091</v>
      </c>
      <c r="O21" s="68">
        <f t="shared" ref="O21:AL21" si="1">+O38+O44</f>
        <v>0</v>
      </c>
      <c r="P21" s="67">
        <f t="shared" si="1"/>
        <v>0</v>
      </c>
      <c r="Q21" s="67">
        <f t="shared" si="1"/>
        <v>-236430.17470939489</v>
      </c>
      <c r="R21" s="67">
        <f t="shared" si="1"/>
        <v>-54148.010381967593</v>
      </c>
      <c r="S21" s="67">
        <f t="shared" si="1"/>
        <v>0</v>
      </c>
      <c r="T21" s="67">
        <f t="shared" si="1"/>
        <v>-163550.65955283263</v>
      </c>
      <c r="U21" s="67">
        <f t="shared" si="1"/>
        <v>0</v>
      </c>
      <c r="V21" s="67">
        <f t="shared" si="1"/>
        <v>0</v>
      </c>
      <c r="W21" s="67">
        <f t="shared" si="1"/>
        <v>-208332.91754750282</v>
      </c>
      <c r="X21" s="67">
        <f t="shared" si="1"/>
        <v>0</v>
      </c>
      <c r="Y21" s="67">
        <f t="shared" si="1"/>
        <v>0</v>
      </c>
      <c r="Z21" s="67">
        <f t="shared" si="1"/>
        <v>-208332.91754750282</v>
      </c>
      <c r="AA21" s="68">
        <f t="shared" si="1"/>
        <v>0</v>
      </c>
      <c r="AB21" s="67">
        <f t="shared" si="1"/>
        <v>0</v>
      </c>
      <c r="AC21" s="67">
        <f t="shared" si="1"/>
        <v>-209549.42263671095</v>
      </c>
      <c r="AD21" s="67">
        <f t="shared" si="1"/>
        <v>-52519.001998667562</v>
      </c>
      <c r="AE21" s="67">
        <f t="shared" si="1"/>
        <v>0</v>
      </c>
      <c r="AF21" s="67">
        <f t="shared" si="1"/>
        <v>-157030.42063804338</v>
      </c>
      <c r="AG21" s="67">
        <f t="shared" si="1"/>
        <v>0</v>
      </c>
      <c r="AH21" s="67">
        <f t="shared" si="1"/>
        <v>0</v>
      </c>
      <c r="AI21" s="67">
        <f t="shared" si="1"/>
        <v>-209549.42263671095</v>
      </c>
      <c r="AJ21" s="67">
        <f t="shared" si="1"/>
        <v>0</v>
      </c>
      <c r="AK21" s="67">
        <f t="shared" si="1"/>
        <v>0</v>
      </c>
      <c r="AL21" s="67">
        <f t="shared" si="1"/>
        <v>-209549.42263671095</v>
      </c>
    </row>
    <row r="22" spans="1:38" x14ac:dyDescent="0.25">
      <c r="A22" s="37" t="s">
        <v>623</v>
      </c>
      <c r="C22" s="69">
        <f>+C30+C34+C48+C53+C54+C56</f>
        <v>0</v>
      </c>
      <c r="D22" s="69">
        <f t="shared" ref="D22:N22" si="2">+D30+D34+D48+D53+D54+D56</f>
        <v>0</v>
      </c>
      <c r="E22" s="69">
        <f t="shared" si="2"/>
        <v>3707121.2851432385</v>
      </c>
      <c r="F22" s="69">
        <f t="shared" si="2"/>
        <v>237917.88141239175</v>
      </c>
      <c r="G22" s="69">
        <f t="shared" si="2"/>
        <v>0</v>
      </c>
      <c r="H22" s="69">
        <f t="shared" si="2"/>
        <v>4181378.2868370013</v>
      </c>
      <c r="I22" s="69">
        <f t="shared" si="2"/>
        <v>0</v>
      </c>
      <c r="J22" s="69">
        <f t="shared" si="2"/>
        <v>0</v>
      </c>
      <c r="K22" s="69">
        <f t="shared" si="2"/>
        <v>-15701743.422824932</v>
      </c>
      <c r="L22" s="69">
        <f t="shared" si="2"/>
        <v>0</v>
      </c>
      <c r="M22" s="69">
        <f t="shared" si="2"/>
        <v>0</v>
      </c>
      <c r="N22" s="69">
        <f t="shared" si="2"/>
        <v>3954699.4701330289</v>
      </c>
      <c r="O22" s="70">
        <f t="shared" ref="O22:AL22" si="3">+O30+O34+O48</f>
        <v>0</v>
      </c>
      <c r="P22" s="69">
        <f t="shared" si="3"/>
        <v>0</v>
      </c>
      <c r="Q22" s="69">
        <f t="shared" si="3"/>
        <v>5661445.8628147915</v>
      </c>
      <c r="R22" s="69">
        <f t="shared" si="3"/>
        <v>1787488.7145980462</v>
      </c>
      <c r="S22" s="69">
        <f t="shared" si="3"/>
        <v>0</v>
      </c>
      <c r="T22" s="69">
        <f t="shared" si="3"/>
        <v>3864965.8166600051</v>
      </c>
      <c r="U22" s="69">
        <f t="shared" si="3"/>
        <v>0</v>
      </c>
      <c r="V22" s="69">
        <f t="shared" si="3"/>
        <v>0</v>
      </c>
      <c r="W22" s="69">
        <f t="shared" si="3"/>
        <v>5647960.1979247183</v>
      </c>
      <c r="X22" s="69">
        <f t="shared" si="3"/>
        <v>0</v>
      </c>
      <c r="Y22" s="69">
        <f t="shared" si="3"/>
        <v>0</v>
      </c>
      <c r="Z22" s="69">
        <f t="shared" si="3"/>
        <v>5647959.5769291837</v>
      </c>
      <c r="AA22" s="70">
        <f t="shared" si="3"/>
        <v>0</v>
      </c>
      <c r="AB22" s="69">
        <f t="shared" si="3"/>
        <v>0</v>
      </c>
      <c r="AC22" s="69">
        <f t="shared" si="3"/>
        <v>6761181.5692540007</v>
      </c>
      <c r="AD22" s="69">
        <f t="shared" si="3"/>
        <v>2164949.3369725752</v>
      </c>
      <c r="AE22" s="69">
        <f t="shared" si="3"/>
        <v>0</v>
      </c>
      <c r="AF22" s="69">
        <f t="shared" si="3"/>
        <v>4596232.232281425</v>
      </c>
      <c r="AG22" s="69">
        <f t="shared" si="3"/>
        <v>0</v>
      </c>
      <c r="AH22" s="69">
        <f t="shared" si="3"/>
        <v>0</v>
      </c>
      <c r="AI22" s="69">
        <f t="shared" si="3"/>
        <v>6761181.5692540007</v>
      </c>
      <c r="AJ22" s="69">
        <f t="shared" si="3"/>
        <v>0</v>
      </c>
      <c r="AK22" s="69">
        <f t="shared" si="3"/>
        <v>0</v>
      </c>
      <c r="AL22" s="69">
        <f t="shared" si="3"/>
        <v>6761181.5692540007</v>
      </c>
    </row>
    <row r="23" spans="1:38" x14ac:dyDescent="0.25">
      <c r="A23" s="37" t="s">
        <v>624</v>
      </c>
      <c r="C23" s="67">
        <f>SUM(C21:C22)</f>
        <v>0</v>
      </c>
      <c r="D23" s="67">
        <f t="shared" ref="D23:AL23" si="4">SUM(D21:D22)</f>
        <v>0</v>
      </c>
      <c r="E23" s="67">
        <f t="shared" si="4"/>
        <v>3507225.795569621</v>
      </c>
      <c r="F23" s="67">
        <f t="shared" si="4"/>
        <v>237917.88141239175</v>
      </c>
      <c r="G23" s="67">
        <f t="shared" si="4"/>
        <v>0</v>
      </c>
      <c r="H23" s="67">
        <f t="shared" si="4"/>
        <v>4002409.1385225444</v>
      </c>
      <c r="I23" s="67">
        <f t="shared" si="4"/>
        <v>0</v>
      </c>
      <c r="J23" s="67">
        <f t="shared" si="4"/>
        <v>0</v>
      </c>
      <c r="K23" s="67">
        <f t="shared" si="4"/>
        <v>-15929520.458998714</v>
      </c>
      <c r="L23" s="67">
        <f t="shared" si="4"/>
        <v>0</v>
      </c>
      <c r="M23" s="67">
        <f t="shared" si="4"/>
        <v>0</v>
      </c>
      <c r="N23" s="67">
        <f t="shared" si="4"/>
        <v>3716024.6594119882</v>
      </c>
      <c r="O23" s="68">
        <f t="shared" si="4"/>
        <v>0</v>
      </c>
      <c r="P23" s="67">
        <f t="shared" si="4"/>
        <v>0</v>
      </c>
      <c r="Q23" s="67">
        <f t="shared" si="4"/>
        <v>5425015.6881053969</v>
      </c>
      <c r="R23" s="67">
        <f t="shared" si="4"/>
        <v>1733340.7042160786</v>
      </c>
      <c r="S23" s="67">
        <f t="shared" si="4"/>
        <v>0</v>
      </c>
      <c r="T23" s="67">
        <f t="shared" si="4"/>
        <v>3701415.1571071725</v>
      </c>
      <c r="U23" s="67">
        <f t="shared" si="4"/>
        <v>0</v>
      </c>
      <c r="V23" s="67">
        <f t="shared" si="4"/>
        <v>0</v>
      </c>
      <c r="W23" s="67">
        <f t="shared" si="4"/>
        <v>5439627.2803772157</v>
      </c>
      <c r="X23" s="67">
        <f t="shared" si="4"/>
        <v>0</v>
      </c>
      <c r="Y23" s="67">
        <f t="shared" si="4"/>
        <v>0</v>
      </c>
      <c r="Z23" s="67">
        <f t="shared" si="4"/>
        <v>5439626.6593816811</v>
      </c>
      <c r="AA23" s="68">
        <f t="shared" si="4"/>
        <v>0</v>
      </c>
      <c r="AB23" s="67">
        <f t="shared" si="4"/>
        <v>0</v>
      </c>
      <c r="AC23" s="67">
        <f t="shared" si="4"/>
        <v>6551632.1466172896</v>
      </c>
      <c r="AD23" s="67">
        <f t="shared" si="4"/>
        <v>2112430.3349739076</v>
      </c>
      <c r="AE23" s="67">
        <f t="shared" si="4"/>
        <v>0</v>
      </c>
      <c r="AF23" s="67">
        <f t="shared" si="4"/>
        <v>4439201.8116433816</v>
      </c>
      <c r="AG23" s="67">
        <f t="shared" si="4"/>
        <v>0</v>
      </c>
      <c r="AH23" s="67">
        <f t="shared" si="4"/>
        <v>0</v>
      </c>
      <c r="AI23" s="67">
        <f t="shared" si="4"/>
        <v>6551632.1466172896</v>
      </c>
      <c r="AJ23" s="67">
        <f t="shared" si="4"/>
        <v>0</v>
      </c>
      <c r="AK23" s="67">
        <f t="shared" si="4"/>
        <v>0</v>
      </c>
      <c r="AL23" s="67">
        <f t="shared" si="4"/>
        <v>6551632.1466172896</v>
      </c>
    </row>
    <row r="24" spans="1:38" x14ac:dyDescent="0.25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2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</row>
    <row r="26" spans="1:38" ht="15" x14ac:dyDescent="0.4">
      <c r="C26" s="56" t="s">
        <v>610</v>
      </c>
      <c r="D26" s="56" t="s">
        <v>611</v>
      </c>
      <c r="E26" s="56" t="s">
        <v>612</v>
      </c>
      <c r="F26" s="56" t="s">
        <v>613</v>
      </c>
      <c r="G26" s="56" t="s">
        <v>614</v>
      </c>
      <c r="H26" s="56" t="s">
        <v>615</v>
      </c>
      <c r="I26" s="56" t="s">
        <v>616</v>
      </c>
      <c r="J26" s="56" t="s">
        <v>617</v>
      </c>
      <c r="K26" s="56" t="s">
        <v>618</v>
      </c>
      <c r="L26" s="56" t="s">
        <v>619</v>
      </c>
      <c r="M26" s="56" t="s">
        <v>620</v>
      </c>
      <c r="N26" s="56" t="s">
        <v>621</v>
      </c>
      <c r="O26" s="66" t="s">
        <v>610</v>
      </c>
      <c r="P26" s="56" t="s">
        <v>611</v>
      </c>
      <c r="Q26" s="56" t="s">
        <v>612</v>
      </c>
      <c r="R26" s="56" t="s">
        <v>613</v>
      </c>
      <c r="S26" s="56" t="s">
        <v>614</v>
      </c>
      <c r="T26" s="56" t="s">
        <v>615</v>
      </c>
      <c r="U26" s="56" t="s">
        <v>616</v>
      </c>
      <c r="V26" s="56" t="s">
        <v>617</v>
      </c>
      <c r="W26" s="56" t="s">
        <v>618</v>
      </c>
      <c r="X26" s="56" t="s">
        <v>619</v>
      </c>
      <c r="Y26" s="56" t="s">
        <v>620</v>
      </c>
      <c r="Z26" s="56" t="s">
        <v>621</v>
      </c>
      <c r="AA26" s="66" t="s">
        <v>610</v>
      </c>
      <c r="AB26" s="56" t="s">
        <v>611</v>
      </c>
      <c r="AC26" s="56" t="s">
        <v>612</v>
      </c>
      <c r="AD26" s="56" t="s">
        <v>613</v>
      </c>
      <c r="AE26" s="56" t="s">
        <v>614</v>
      </c>
      <c r="AF26" s="56" t="s">
        <v>615</v>
      </c>
      <c r="AG26" s="56" t="s">
        <v>616</v>
      </c>
      <c r="AH26" s="56" t="s">
        <v>617</v>
      </c>
      <c r="AI26" s="56" t="s">
        <v>618</v>
      </c>
      <c r="AJ26" s="56" t="s">
        <v>619</v>
      </c>
      <c r="AK26" s="56" t="s">
        <v>620</v>
      </c>
      <c r="AL26" s="56" t="s">
        <v>621</v>
      </c>
    </row>
    <row r="28" spans="1:38" x14ac:dyDescent="0.25">
      <c r="A28" s="37" t="s">
        <v>80</v>
      </c>
      <c r="C28" s="57"/>
      <c r="D28" s="57"/>
      <c r="E28" s="57">
        <v>558451</v>
      </c>
      <c r="F28" s="57"/>
      <c r="G28" s="57"/>
      <c r="H28" s="57">
        <v>558451</v>
      </c>
      <c r="I28" s="57"/>
      <c r="J28" s="57"/>
      <c r="K28" s="57">
        <f>+H28</f>
        <v>558451</v>
      </c>
      <c r="L28" s="57"/>
      <c r="M28" s="57"/>
      <c r="N28" s="57">
        <f>+K28</f>
        <v>558451</v>
      </c>
      <c r="O28" s="73"/>
      <c r="P28" s="57"/>
      <c r="Q28" s="57">
        <f>+N28</f>
        <v>558451</v>
      </c>
      <c r="R28" s="57">
        <f>+'Reg Asset and Liab'!C78/12</f>
        <v>162878.08333333334</v>
      </c>
      <c r="S28" s="57"/>
      <c r="T28" s="57">
        <v>339228.25</v>
      </c>
      <c r="U28" s="57"/>
      <c r="V28" s="57"/>
      <c r="W28" s="57">
        <f>+'Reg Asset and Liab'!E80/4</f>
        <v>473934</v>
      </c>
      <c r="X28" s="57"/>
      <c r="Y28" s="57"/>
      <c r="Z28" s="57">
        <f>+W28</f>
        <v>473934</v>
      </c>
      <c r="AA28" s="73"/>
      <c r="AB28" s="57"/>
      <c r="AC28" s="57">
        <f>+'Reg Asset and Liab'!E32/4</f>
        <v>473934</v>
      </c>
      <c r="AD28" s="57">
        <f>+'Reg Asset and Liab'!E32/12</f>
        <v>157978</v>
      </c>
      <c r="AE28" s="57"/>
      <c r="AF28" s="57">
        <f>+AC28-AD28</f>
        <v>315956</v>
      </c>
      <c r="AG28" s="57"/>
      <c r="AH28" s="57"/>
      <c r="AI28" s="57">
        <f>+AC28</f>
        <v>473934</v>
      </c>
      <c r="AJ28" s="57"/>
      <c r="AK28" s="57"/>
      <c r="AL28" s="57">
        <f>+AI28</f>
        <v>473934</v>
      </c>
    </row>
    <row r="29" spans="1:38" x14ac:dyDescent="0.25">
      <c r="A29" s="37" t="s">
        <v>317</v>
      </c>
      <c r="C29" s="58">
        <f t="shared" ref="C29:AL29" si="5">+$J$16</f>
        <v>0.33244503664223868</v>
      </c>
      <c r="D29" s="58">
        <f t="shared" si="5"/>
        <v>0.33244503664223868</v>
      </c>
      <c r="E29" s="58">
        <f t="shared" si="5"/>
        <v>0.33244503664223868</v>
      </c>
      <c r="F29" s="58">
        <f t="shared" si="5"/>
        <v>0.33244503664223868</v>
      </c>
      <c r="G29" s="58">
        <f t="shared" si="5"/>
        <v>0.33244503664223868</v>
      </c>
      <c r="H29" s="58">
        <f t="shared" si="5"/>
        <v>0.33244503664223868</v>
      </c>
      <c r="I29" s="58">
        <f t="shared" si="5"/>
        <v>0.33244503664223868</v>
      </c>
      <c r="J29" s="58">
        <f t="shared" si="5"/>
        <v>0.33244503664223868</v>
      </c>
      <c r="K29" s="58">
        <f t="shared" si="5"/>
        <v>0.33244503664223868</v>
      </c>
      <c r="L29" s="58">
        <f t="shared" si="5"/>
        <v>0.33244503664223868</v>
      </c>
      <c r="M29" s="58">
        <f t="shared" si="5"/>
        <v>0.33244503664223868</v>
      </c>
      <c r="N29" s="58">
        <f t="shared" si="5"/>
        <v>0.33244503664223868</v>
      </c>
      <c r="O29" s="74">
        <f t="shared" si="5"/>
        <v>0.33244503664223868</v>
      </c>
      <c r="P29" s="58">
        <f t="shared" si="5"/>
        <v>0.33244503664223868</v>
      </c>
      <c r="Q29" s="58">
        <f t="shared" si="5"/>
        <v>0.33244503664223868</v>
      </c>
      <c r="R29" s="58">
        <f t="shared" si="5"/>
        <v>0.33244503664223868</v>
      </c>
      <c r="S29" s="58">
        <f t="shared" si="5"/>
        <v>0.33244503664223868</v>
      </c>
      <c r="T29" s="58">
        <f t="shared" si="5"/>
        <v>0.33244503664223868</v>
      </c>
      <c r="U29" s="58">
        <f t="shared" si="5"/>
        <v>0.33244503664223868</v>
      </c>
      <c r="V29" s="58">
        <f t="shared" si="5"/>
        <v>0.33244503664223868</v>
      </c>
      <c r="W29" s="58">
        <f t="shared" si="5"/>
        <v>0.33244503664223868</v>
      </c>
      <c r="X29" s="58">
        <f t="shared" si="5"/>
        <v>0.33244503664223868</v>
      </c>
      <c r="Y29" s="58">
        <f t="shared" si="5"/>
        <v>0.33244503664223868</v>
      </c>
      <c r="Z29" s="58">
        <f t="shared" si="5"/>
        <v>0.33244503664223868</v>
      </c>
      <c r="AA29" s="74">
        <f t="shared" si="5"/>
        <v>0.33244503664223868</v>
      </c>
      <c r="AB29" s="58">
        <f t="shared" si="5"/>
        <v>0.33244503664223868</v>
      </c>
      <c r="AC29" s="58">
        <f t="shared" si="5"/>
        <v>0.33244503664223868</v>
      </c>
      <c r="AD29" s="58">
        <f t="shared" si="5"/>
        <v>0.33244503664223868</v>
      </c>
      <c r="AE29" s="58">
        <f t="shared" si="5"/>
        <v>0.33244503664223868</v>
      </c>
      <c r="AF29" s="58">
        <f t="shared" si="5"/>
        <v>0.33244503664223868</v>
      </c>
      <c r="AG29" s="58">
        <f t="shared" si="5"/>
        <v>0.33244503664223868</v>
      </c>
      <c r="AH29" s="58">
        <f t="shared" si="5"/>
        <v>0.33244503664223868</v>
      </c>
      <c r="AI29" s="58">
        <f t="shared" si="5"/>
        <v>0.33244503664223868</v>
      </c>
      <c r="AJ29" s="58">
        <f t="shared" si="5"/>
        <v>0.33244503664223868</v>
      </c>
      <c r="AK29" s="58">
        <f t="shared" si="5"/>
        <v>0.33244503664223868</v>
      </c>
      <c r="AL29" s="58">
        <f t="shared" si="5"/>
        <v>0.33244503664223868</v>
      </c>
    </row>
    <row r="30" spans="1:38" x14ac:dyDescent="0.25">
      <c r="C30" s="57">
        <f t="shared" ref="C30:AL30" si="6">+C28*C29</f>
        <v>0</v>
      </c>
      <c r="D30" s="57">
        <f t="shared" si="6"/>
        <v>0</v>
      </c>
      <c r="E30" s="57">
        <f t="shared" si="6"/>
        <v>185654.26315789483</v>
      </c>
      <c r="F30" s="57">
        <f t="shared" si="6"/>
        <v>0</v>
      </c>
      <c r="G30" s="57">
        <f t="shared" si="6"/>
        <v>0</v>
      </c>
      <c r="H30" s="57">
        <f t="shared" si="6"/>
        <v>185654.26315789483</v>
      </c>
      <c r="I30" s="57">
        <f t="shared" si="6"/>
        <v>0</v>
      </c>
      <c r="J30" s="57">
        <f t="shared" si="6"/>
        <v>0</v>
      </c>
      <c r="K30" s="57">
        <f t="shared" si="6"/>
        <v>185654.26315789483</v>
      </c>
      <c r="L30" s="57">
        <f t="shared" si="6"/>
        <v>0</v>
      </c>
      <c r="M30" s="57">
        <f t="shared" si="6"/>
        <v>0</v>
      </c>
      <c r="N30" s="57">
        <f t="shared" si="6"/>
        <v>185654.26315789483</v>
      </c>
      <c r="O30" s="73">
        <f t="shared" si="6"/>
        <v>0</v>
      </c>
      <c r="P30" s="57">
        <f t="shared" si="6"/>
        <v>0</v>
      </c>
      <c r="Q30" s="57">
        <f t="shared" si="6"/>
        <v>185654.26315789483</v>
      </c>
      <c r="R30" s="57">
        <f t="shared" si="6"/>
        <v>54148.010381967608</v>
      </c>
      <c r="S30" s="57">
        <f t="shared" si="6"/>
        <v>0</v>
      </c>
      <c r="T30" s="57">
        <f t="shared" si="6"/>
        <v>112774.7480013325</v>
      </c>
      <c r="U30" s="57">
        <f t="shared" si="6"/>
        <v>0</v>
      </c>
      <c r="V30" s="57">
        <f t="shared" si="6"/>
        <v>0</v>
      </c>
      <c r="W30" s="57">
        <f t="shared" si="6"/>
        <v>157557.00599600276</v>
      </c>
      <c r="X30" s="57">
        <f t="shared" si="6"/>
        <v>0</v>
      </c>
      <c r="Y30" s="57">
        <f t="shared" si="6"/>
        <v>0</v>
      </c>
      <c r="Z30" s="57">
        <f t="shared" si="6"/>
        <v>157557.00599600276</v>
      </c>
      <c r="AA30" s="73">
        <f t="shared" si="6"/>
        <v>0</v>
      </c>
      <c r="AB30" s="57">
        <f t="shared" si="6"/>
        <v>0</v>
      </c>
      <c r="AC30" s="57">
        <f t="shared" si="6"/>
        <v>157557.00599600276</v>
      </c>
      <c r="AD30" s="57">
        <f t="shared" si="6"/>
        <v>52519.001998667583</v>
      </c>
      <c r="AE30" s="57">
        <f t="shared" si="6"/>
        <v>0</v>
      </c>
      <c r="AF30" s="57">
        <f t="shared" si="6"/>
        <v>105038.00399733517</v>
      </c>
      <c r="AG30" s="57">
        <f t="shared" si="6"/>
        <v>0</v>
      </c>
      <c r="AH30" s="57">
        <f t="shared" si="6"/>
        <v>0</v>
      </c>
      <c r="AI30" s="57">
        <f t="shared" si="6"/>
        <v>157557.00599600276</v>
      </c>
      <c r="AJ30" s="57">
        <f t="shared" si="6"/>
        <v>0</v>
      </c>
      <c r="AK30" s="57">
        <f t="shared" si="6"/>
        <v>0</v>
      </c>
      <c r="AL30" s="57">
        <f t="shared" si="6"/>
        <v>157557.00599600276</v>
      </c>
    </row>
    <row r="31" spans="1:38" x14ac:dyDescent="0.25">
      <c r="N31" s="71">
        <f>SUM(I30:N30)-'Reg Asset and Liab'!C34</f>
        <v>0</v>
      </c>
      <c r="Z31" s="71">
        <f>SUM(O30:Z30)-'Reg Asset and Liab'!D34</f>
        <v>0</v>
      </c>
      <c r="AL31" s="71">
        <f>SUM(AA30:AL30)-'Reg Asset and Liab'!E34</f>
        <v>0</v>
      </c>
    </row>
    <row r="32" spans="1:38" x14ac:dyDescent="0.25">
      <c r="A32" s="37" t="s">
        <v>625</v>
      </c>
      <c r="C32" s="57"/>
      <c r="D32" s="57"/>
      <c r="E32" s="57">
        <v>2618301</v>
      </c>
      <c r="F32" s="57"/>
      <c r="G32" s="57"/>
      <c r="H32" s="57">
        <v>2810268.1569901519</v>
      </c>
      <c r="I32" s="57"/>
      <c r="J32" s="57"/>
      <c r="K32" s="57">
        <f>+'Reg Asset and Liab'!C64*0.75-SUM(E32:H32)</f>
        <v>2281752.5930098481</v>
      </c>
      <c r="L32" s="57"/>
      <c r="M32" s="57"/>
      <c r="N32" s="57">
        <f>+'Reg Asset and Liab'!C64/4</f>
        <v>2570107.25</v>
      </c>
      <c r="O32" s="73"/>
      <c r="P32" s="57"/>
      <c r="Q32" s="57">
        <f>+'Reg Asset and Liab'!D64/4</f>
        <v>3902616.5955425003</v>
      </c>
      <c r="R32" s="57">
        <f>+'Reg Asset and Liab'!D64/12</f>
        <v>1300872.1985141668</v>
      </c>
      <c r="S32" s="57"/>
      <c r="T32" s="57">
        <f>+Q32-R32</f>
        <v>2601744.3970283335</v>
      </c>
      <c r="U32" s="57"/>
      <c r="V32" s="57"/>
      <c r="W32" s="57">
        <f>+Q32</f>
        <v>3902616.5955425003</v>
      </c>
      <c r="X32" s="57"/>
      <c r="Y32" s="57"/>
      <c r="Z32" s="57">
        <f>+W32</f>
        <v>3902616.5955425003</v>
      </c>
      <c r="AA32" s="73"/>
      <c r="AB32" s="57"/>
      <c r="AC32" s="57">
        <f>+'Reg Asset and Liab'!E36/4</f>
        <v>4756136.8991937526</v>
      </c>
      <c r="AD32" s="57">
        <f>+AC32/3</f>
        <v>1585378.9663979176</v>
      </c>
      <c r="AE32" s="57"/>
      <c r="AF32" s="57">
        <f>+AC32-AD32</f>
        <v>3170757.9327958347</v>
      </c>
      <c r="AG32" s="57"/>
      <c r="AH32" s="57"/>
      <c r="AI32" s="57">
        <f>+AC32</f>
        <v>4756136.8991937526</v>
      </c>
      <c r="AJ32" s="57"/>
      <c r="AK32" s="57"/>
      <c r="AL32" s="57">
        <f>+AI32</f>
        <v>4756136.8991937526</v>
      </c>
    </row>
    <row r="33" spans="1:38" x14ac:dyDescent="0.25">
      <c r="A33" s="37" t="s">
        <v>312</v>
      </c>
      <c r="C33" s="58">
        <f t="shared" ref="C33:AL33" si="7">+$J$13</f>
        <v>1.3324450366422387</v>
      </c>
      <c r="D33" s="58">
        <f t="shared" si="7"/>
        <v>1.3324450366422387</v>
      </c>
      <c r="E33" s="58">
        <f t="shared" si="7"/>
        <v>1.3324450366422387</v>
      </c>
      <c r="F33" s="58">
        <f t="shared" si="7"/>
        <v>1.3324450366422387</v>
      </c>
      <c r="G33" s="58">
        <f t="shared" si="7"/>
        <v>1.3324450366422387</v>
      </c>
      <c r="H33" s="58">
        <f t="shared" si="7"/>
        <v>1.3324450366422387</v>
      </c>
      <c r="I33" s="58">
        <f t="shared" si="7"/>
        <v>1.3324450366422387</v>
      </c>
      <c r="J33" s="58">
        <f t="shared" si="7"/>
        <v>1.3324450366422387</v>
      </c>
      <c r="K33" s="58">
        <f t="shared" si="7"/>
        <v>1.3324450366422387</v>
      </c>
      <c r="L33" s="58">
        <f t="shared" si="7"/>
        <v>1.3324450366422387</v>
      </c>
      <c r="M33" s="58">
        <f t="shared" si="7"/>
        <v>1.3324450366422387</v>
      </c>
      <c r="N33" s="58">
        <f t="shared" si="7"/>
        <v>1.3324450366422387</v>
      </c>
      <c r="O33" s="74">
        <f t="shared" si="7"/>
        <v>1.3324450366422387</v>
      </c>
      <c r="P33" s="58">
        <f t="shared" si="7"/>
        <v>1.3324450366422387</v>
      </c>
      <c r="Q33" s="58">
        <f t="shared" si="7"/>
        <v>1.3324450366422387</v>
      </c>
      <c r="R33" s="58">
        <f t="shared" si="7"/>
        <v>1.3324450366422387</v>
      </c>
      <c r="S33" s="58">
        <f t="shared" si="7"/>
        <v>1.3324450366422387</v>
      </c>
      <c r="T33" s="58">
        <f t="shared" si="7"/>
        <v>1.3324450366422387</v>
      </c>
      <c r="U33" s="58">
        <f t="shared" si="7"/>
        <v>1.3324450366422387</v>
      </c>
      <c r="V33" s="58">
        <f t="shared" si="7"/>
        <v>1.3324450366422387</v>
      </c>
      <c r="W33" s="58">
        <f t="shared" si="7"/>
        <v>1.3324450366422387</v>
      </c>
      <c r="X33" s="58">
        <f t="shared" si="7"/>
        <v>1.3324450366422387</v>
      </c>
      <c r="Y33" s="58">
        <f t="shared" si="7"/>
        <v>1.3324450366422387</v>
      </c>
      <c r="Z33" s="58">
        <f t="shared" si="7"/>
        <v>1.3324450366422387</v>
      </c>
      <c r="AA33" s="74">
        <f t="shared" si="7"/>
        <v>1.3324450366422387</v>
      </c>
      <c r="AB33" s="58">
        <f t="shared" si="7"/>
        <v>1.3324450366422387</v>
      </c>
      <c r="AC33" s="58">
        <f t="shared" si="7"/>
        <v>1.3324450366422387</v>
      </c>
      <c r="AD33" s="58">
        <f t="shared" si="7"/>
        <v>1.3324450366422387</v>
      </c>
      <c r="AE33" s="58">
        <f t="shared" si="7"/>
        <v>1.3324450366422387</v>
      </c>
      <c r="AF33" s="58">
        <f t="shared" si="7"/>
        <v>1.3324450366422387</v>
      </c>
      <c r="AG33" s="58">
        <f t="shared" si="7"/>
        <v>1.3324450366422387</v>
      </c>
      <c r="AH33" s="58">
        <f t="shared" si="7"/>
        <v>1.3324450366422387</v>
      </c>
      <c r="AI33" s="58">
        <f t="shared" si="7"/>
        <v>1.3324450366422387</v>
      </c>
      <c r="AJ33" s="58">
        <f t="shared" si="7"/>
        <v>1.3324450366422387</v>
      </c>
      <c r="AK33" s="58">
        <f t="shared" si="7"/>
        <v>1.3324450366422387</v>
      </c>
      <c r="AL33" s="58">
        <f t="shared" si="7"/>
        <v>1.3324450366422387</v>
      </c>
    </row>
    <row r="34" spans="1:38" x14ac:dyDescent="0.25">
      <c r="C34" s="57">
        <f t="shared" ref="C34:AL34" si="8">+C32*C33</f>
        <v>0</v>
      </c>
      <c r="D34" s="57">
        <f t="shared" si="8"/>
        <v>0</v>
      </c>
      <c r="E34" s="57">
        <f t="shared" si="8"/>
        <v>3488742.1718854103</v>
      </c>
      <c r="F34" s="57">
        <f t="shared" si="8"/>
        <v>0</v>
      </c>
      <c r="G34" s="57">
        <f t="shared" si="8"/>
        <v>0</v>
      </c>
      <c r="H34" s="57">
        <f t="shared" si="8"/>
        <v>3744527.8574152594</v>
      </c>
      <c r="I34" s="57">
        <f t="shared" si="8"/>
        <v>0</v>
      </c>
      <c r="J34" s="57">
        <f t="shared" si="8"/>
        <v>0</v>
      </c>
      <c r="K34" s="57">
        <f t="shared" si="8"/>
        <v>3040309.9174015303</v>
      </c>
      <c r="L34" s="57">
        <f t="shared" si="8"/>
        <v>0</v>
      </c>
      <c r="M34" s="57">
        <f t="shared" si="8"/>
        <v>0</v>
      </c>
      <c r="N34" s="57">
        <f t="shared" si="8"/>
        <v>3424526.6489007333</v>
      </c>
      <c r="O34" s="73">
        <f t="shared" si="8"/>
        <v>0</v>
      </c>
      <c r="P34" s="57">
        <f t="shared" si="8"/>
        <v>0</v>
      </c>
      <c r="Q34" s="57">
        <f t="shared" si="8"/>
        <v>5200022.1126482356</v>
      </c>
      <c r="R34" s="57">
        <f t="shared" si="8"/>
        <v>1733340.7042160786</v>
      </c>
      <c r="S34" s="57">
        <f t="shared" si="8"/>
        <v>0</v>
      </c>
      <c r="T34" s="57">
        <f t="shared" si="8"/>
        <v>3466681.4084321572</v>
      </c>
      <c r="U34" s="57">
        <f t="shared" si="8"/>
        <v>0</v>
      </c>
      <c r="V34" s="57">
        <f t="shared" si="8"/>
        <v>0</v>
      </c>
      <c r="W34" s="57">
        <f t="shared" si="8"/>
        <v>5200022.1126482356</v>
      </c>
      <c r="X34" s="57">
        <f t="shared" si="8"/>
        <v>0</v>
      </c>
      <c r="Y34" s="57">
        <f t="shared" si="8"/>
        <v>0</v>
      </c>
      <c r="Z34" s="57">
        <f t="shared" si="8"/>
        <v>5200022.1126482356</v>
      </c>
      <c r="AA34" s="73">
        <f t="shared" si="8"/>
        <v>0</v>
      </c>
      <c r="AB34" s="57">
        <f t="shared" si="8"/>
        <v>0</v>
      </c>
      <c r="AC34" s="57">
        <f t="shared" si="8"/>
        <v>6337291.0049217232</v>
      </c>
      <c r="AD34" s="57">
        <f t="shared" si="8"/>
        <v>2112430.3349739076</v>
      </c>
      <c r="AE34" s="57">
        <f t="shared" si="8"/>
        <v>0</v>
      </c>
      <c r="AF34" s="57">
        <f t="shared" si="8"/>
        <v>4224860.6699478151</v>
      </c>
      <c r="AG34" s="57">
        <f t="shared" si="8"/>
        <v>0</v>
      </c>
      <c r="AH34" s="57">
        <f t="shared" si="8"/>
        <v>0</v>
      </c>
      <c r="AI34" s="57">
        <f t="shared" si="8"/>
        <v>6337291.0049217232</v>
      </c>
      <c r="AJ34" s="57">
        <f t="shared" si="8"/>
        <v>0</v>
      </c>
      <c r="AK34" s="57">
        <f t="shared" si="8"/>
        <v>0</v>
      </c>
      <c r="AL34" s="57">
        <f t="shared" si="8"/>
        <v>6337291.0049217232</v>
      </c>
    </row>
    <row r="35" spans="1:38" x14ac:dyDescent="0.25">
      <c r="N35" s="71">
        <f>SUM(I34:N34)-'Reg Asset and Liab'!C38</f>
        <v>-0.13306462112814188</v>
      </c>
      <c r="Z35" s="71">
        <f>SUM(O34:Z34)-'Reg Asset and Liab'!D38</f>
        <v>0</v>
      </c>
      <c r="AL35" s="71">
        <f>SUM(AA34:AL34)-'Reg Asset and Liab'!E38</f>
        <v>0</v>
      </c>
    </row>
    <row r="36" spans="1:38" x14ac:dyDescent="0.25">
      <c r="A36" s="37" t="s">
        <v>319</v>
      </c>
      <c r="C36" s="57"/>
      <c r="D36" s="57"/>
      <c r="E36" s="57">
        <f>+'Reg Asset and Liab'!C84/4</f>
        <v>-128486.995375</v>
      </c>
      <c r="F36" s="57"/>
      <c r="G36" s="57"/>
      <c r="H36" s="57">
        <f>+E36</f>
        <v>-128486.995375</v>
      </c>
      <c r="I36" s="57"/>
      <c r="J36" s="57"/>
      <c r="K36" s="57">
        <f>+H36</f>
        <v>-128486.995375</v>
      </c>
      <c r="L36" s="57"/>
      <c r="M36" s="57"/>
      <c r="N36" s="57">
        <f>+K36</f>
        <v>-128486.995375</v>
      </c>
      <c r="O36" s="73"/>
      <c r="P36" s="57"/>
      <c r="Q36" s="57">
        <f>+N36</f>
        <v>-128486.995375</v>
      </c>
      <c r="R36" s="57">
        <f>-R28*0.2495</f>
        <v>-40638.081791666671</v>
      </c>
      <c r="S36" s="57"/>
      <c r="T36" s="57">
        <v>-73790.919250000006</v>
      </c>
      <c r="U36" s="57"/>
      <c r="V36" s="57"/>
      <c r="W36" s="57">
        <f>+'Reg Asset and Liab'!E84/4</f>
        <v>-107400.00387499999</v>
      </c>
      <c r="X36" s="57"/>
      <c r="Y36" s="57"/>
      <c r="Z36" s="57">
        <f>+W36</f>
        <v>-107400.00387499999</v>
      </c>
      <c r="AA36" s="73"/>
      <c r="AB36" s="57"/>
      <c r="AC36" s="57">
        <f>+'Reg Asset and Liab'!E40/4</f>
        <v>-107400.00387499999</v>
      </c>
      <c r="AD36" s="57">
        <f>-AD28*0.2495</f>
        <v>-39415.510999999999</v>
      </c>
      <c r="AE36" s="57"/>
      <c r="AF36" s="57">
        <f>+AC36-AD36</f>
        <v>-67984.492874999996</v>
      </c>
      <c r="AG36" s="57"/>
      <c r="AH36" s="57"/>
      <c r="AI36" s="57">
        <f>+AC36</f>
        <v>-107400.00387499999</v>
      </c>
      <c r="AJ36" s="57"/>
      <c r="AK36" s="57"/>
      <c r="AL36" s="57">
        <f>+AI36</f>
        <v>-107400.00387499999</v>
      </c>
    </row>
    <row r="37" spans="1:38" x14ac:dyDescent="0.25">
      <c r="A37" s="37" t="s">
        <v>312</v>
      </c>
      <c r="C37" s="58">
        <f t="shared" ref="C37:AL37" si="9">+$J$13</f>
        <v>1.3324450366422387</v>
      </c>
      <c r="D37" s="58">
        <f t="shared" si="9"/>
        <v>1.3324450366422387</v>
      </c>
      <c r="E37" s="58">
        <f t="shared" si="9"/>
        <v>1.3324450366422387</v>
      </c>
      <c r="F37" s="58">
        <f t="shared" si="9"/>
        <v>1.3324450366422387</v>
      </c>
      <c r="G37" s="58">
        <f t="shared" si="9"/>
        <v>1.3324450366422387</v>
      </c>
      <c r="H37" s="58">
        <f t="shared" si="9"/>
        <v>1.3324450366422387</v>
      </c>
      <c r="I37" s="58">
        <f t="shared" si="9"/>
        <v>1.3324450366422387</v>
      </c>
      <c r="J37" s="58">
        <f t="shared" si="9"/>
        <v>1.3324450366422387</v>
      </c>
      <c r="K37" s="58">
        <f t="shared" si="9"/>
        <v>1.3324450366422387</v>
      </c>
      <c r="L37" s="58">
        <f t="shared" si="9"/>
        <v>1.3324450366422387</v>
      </c>
      <c r="M37" s="58">
        <f t="shared" si="9"/>
        <v>1.3324450366422387</v>
      </c>
      <c r="N37" s="58">
        <f t="shared" si="9"/>
        <v>1.3324450366422387</v>
      </c>
      <c r="O37" s="74">
        <f t="shared" si="9"/>
        <v>1.3324450366422387</v>
      </c>
      <c r="P37" s="58">
        <f t="shared" si="9"/>
        <v>1.3324450366422387</v>
      </c>
      <c r="Q37" s="58">
        <f t="shared" si="9"/>
        <v>1.3324450366422387</v>
      </c>
      <c r="R37" s="58">
        <f t="shared" si="9"/>
        <v>1.3324450366422387</v>
      </c>
      <c r="S37" s="58">
        <f t="shared" si="9"/>
        <v>1.3324450366422387</v>
      </c>
      <c r="T37" s="58">
        <f t="shared" si="9"/>
        <v>1.3324450366422387</v>
      </c>
      <c r="U37" s="58">
        <f t="shared" si="9"/>
        <v>1.3324450366422387</v>
      </c>
      <c r="V37" s="58">
        <f t="shared" si="9"/>
        <v>1.3324450366422387</v>
      </c>
      <c r="W37" s="58">
        <f t="shared" si="9"/>
        <v>1.3324450366422387</v>
      </c>
      <c r="X37" s="58">
        <f t="shared" si="9"/>
        <v>1.3324450366422387</v>
      </c>
      <c r="Y37" s="58">
        <f t="shared" si="9"/>
        <v>1.3324450366422387</v>
      </c>
      <c r="Z37" s="58">
        <f t="shared" si="9"/>
        <v>1.3324450366422387</v>
      </c>
      <c r="AA37" s="74">
        <f t="shared" si="9"/>
        <v>1.3324450366422387</v>
      </c>
      <c r="AB37" s="58">
        <f t="shared" si="9"/>
        <v>1.3324450366422387</v>
      </c>
      <c r="AC37" s="58">
        <f t="shared" si="9"/>
        <v>1.3324450366422387</v>
      </c>
      <c r="AD37" s="58">
        <f t="shared" si="9"/>
        <v>1.3324450366422387</v>
      </c>
      <c r="AE37" s="58">
        <f t="shared" si="9"/>
        <v>1.3324450366422387</v>
      </c>
      <c r="AF37" s="58">
        <f t="shared" si="9"/>
        <v>1.3324450366422387</v>
      </c>
      <c r="AG37" s="58">
        <f t="shared" si="9"/>
        <v>1.3324450366422387</v>
      </c>
      <c r="AH37" s="58">
        <f t="shared" si="9"/>
        <v>1.3324450366422387</v>
      </c>
      <c r="AI37" s="58">
        <f t="shared" si="9"/>
        <v>1.3324450366422387</v>
      </c>
      <c r="AJ37" s="58">
        <f t="shared" si="9"/>
        <v>1.3324450366422387</v>
      </c>
      <c r="AK37" s="58">
        <f t="shared" si="9"/>
        <v>1.3324450366422387</v>
      </c>
      <c r="AL37" s="58">
        <f t="shared" si="9"/>
        <v>1.3324450366422387</v>
      </c>
    </row>
    <row r="38" spans="1:38" x14ac:dyDescent="0.25">
      <c r="C38" s="57">
        <f t="shared" ref="C38:AL38" si="10">+C36*C37</f>
        <v>0</v>
      </c>
      <c r="D38" s="57">
        <f t="shared" si="10"/>
        <v>0</v>
      </c>
      <c r="E38" s="57">
        <f t="shared" si="10"/>
        <v>-171201.85926049302</v>
      </c>
      <c r="F38" s="57">
        <f t="shared" si="10"/>
        <v>0</v>
      </c>
      <c r="G38" s="57">
        <f t="shared" si="10"/>
        <v>0</v>
      </c>
      <c r="H38" s="57">
        <f t="shared" si="10"/>
        <v>-171201.85926049302</v>
      </c>
      <c r="I38" s="57">
        <f t="shared" si="10"/>
        <v>0</v>
      </c>
      <c r="J38" s="57">
        <f t="shared" si="10"/>
        <v>0</v>
      </c>
      <c r="K38" s="57">
        <f t="shared" si="10"/>
        <v>-171201.85926049302</v>
      </c>
      <c r="L38" s="57">
        <f t="shared" si="10"/>
        <v>0</v>
      </c>
      <c r="M38" s="57">
        <f t="shared" si="10"/>
        <v>0</v>
      </c>
      <c r="N38" s="57">
        <f t="shared" si="10"/>
        <v>-171201.85926049302</v>
      </c>
      <c r="O38" s="73">
        <f t="shared" si="10"/>
        <v>0</v>
      </c>
      <c r="P38" s="57">
        <f t="shared" si="10"/>
        <v>0</v>
      </c>
      <c r="Q38" s="57">
        <f t="shared" si="10"/>
        <v>-171201.85926049302</v>
      </c>
      <c r="R38" s="57">
        <f t="shared" si="10"/>
        <v>-54148.010381967593</v>
      </c>
      <c r="S38" s="57">
        <f t="shared" si="10"/>
        <v>0</v>
      </c>
      <c r="T38" s="57">
        <f t="shared" si="10"/>
        <v>-98322.344103930736</v>
      </c>
      <c r="U38" s="57">
        <f t="shared" si="10"/>
        <v>0</v>
      </c>
      <c r="V38" s="57">
        <f t="shared" si="10"/>
        <v>0</v>
      </c>
      <c r="W38" s="57">
        <f t="shared" si="10"/>
        <v>-143104.60209860094</v>
      </c>
      <c r="X38" s="57">
        <f t="shared" si="10"/>
        <v>0</v>
      </c>
      <c r="Y38" s="57">
        <f t="shared" si="10"/>
        <v>0</v>
      </c>
      <c r="Z38" s="57">
        <f t="shared" si="10"/>
        <v>-143104.60209860094</v>
      </c>
      <c r="AA38" s="73">
        <f t="shared" si="10"/>
        <v>0</v>
      </c>
      <c r="AB38" s="57">
        <f t="shared" si="10"/>
        <v>0</v>
      </c>
      <c r="AC38" s="57">
        <f t="shared" si="10"/>
        <v>-143104.60209860094</v>
      </c>
      <c r="AD38" s="57">
        <f t="shared" si="10"/>
        <v>-52519.001998667562</v>
      </c>
      <c r="AE38" s="57">
        <f t="shared" si="10"/>
        <v>0</v>
      </c>
      <c r="AF38" s="57">
        <f t="shared" si="10"/>
        <v>-90585.600099933377</v>
      </c>
      <c r="AG38" s="57">
        <f t="shared" si="10"/>
        <v>0</v>
      </c>
      <c r="AH38" s="57">
        <f t="shared" si="10"/>
        <v>0</v>
      </c>
      <c r="AI38" s="57">
        <f t="shared" si="10"/>
        <v>-143104.60209860094</v>
      </c>
      <c r="AJ38" s="57">
        <f t="shared" si="10"/>
        <v>0</v>
      </c>
      <c r="AK38" s="57">
        <f t="shared" si="10"/>
        <v>0</v>
      </c>
      <c r="AL38" s="57">
        <f t="shared" si="10"/>
        <v>-143104.60209860094</v>
      </c>
    </row>
    <row r="39" spans="1:38" x14ac:dyDescent="0.25">
      <c r="N39" s="71">
        <f>SUM(I38:N38)-'Reg Asset and Liab'!C42</f>
        <v>0</v>
      </c>
      <c r="Z39" s="71">
        <f>SUM(O38:Z38)-'Reg Asset and Liab'!D42</f>
        <v>0</v>
      </c>
      <c r="AL39" s="71">
        <f>SUM(AA38:AL38)-'Reg Asset and Liab'!E42</f>
        <v>0</v>
      </c>
    </row>
    <row r="40" spans="1:38" x14ac:dyDescent="0.25">
      <c r="A40" s="37" t="s">
        <v>346</v>
      </c>
      <c r="C40" s="57"/>
      <c r="D40" s="57"/>
      <c r="E40" s="57">
        <v>-86310.9</v>
      </c>
      <c r="F40" s="57"/>
      <c r="G40" s="57"/>
      <c r="H40" s="57">
        <v>-23364.13</v>
      </c>
      <c r="I40" s="57"/>
      <c r="J40" s="57"/>
      <c r="K40" s="57">
        <f>+'Reg Asset and Liab'!C44*0.75-SUM(E40:H40)</f>
        <v>-170179.03917203823</v>
      </c>
      <c r="L40" s="57"/>
      <c r="M40" s="57"/>
      <c r="N40" s="57">
        <f>+'Reg Asset and Liab'!C44-K40</f>
        <v>-202959.71972401274</v>
      </c>
      <c r="O40" s="73"/>
      <c r="P40" s="57"/>
      <c r="Q40" s="57">
        <f>'Reg Asset and Liab'!D44/4</f>
        <v>-196207.81861483309</v>
      </c>
      <c r="R40" s="57"/>
      <c r="S40" s="57"/>
      <c r="T40" s="57">
        <f>+Q40</f>
        <v>-196207.81861483309</v>
      </c>
      <c r="U40" s="57"/>
      <c r="V40" s="57"/>
      <c r="W40" s="57">
        <f>+T40</f>
        <v>-196207.81861483309</v>
      </c>
      <c r="X40" s="57"/>
      <c r="Y40" s="57"/>
      <c r="Z40" s="57">
        <f>+W40</f>
        <v>-196207.81861483309</v>
      </c>
      <c r="AA40" s="73"/>
      <c r="AB40" s="57"/>
      <c r="AC40" s="57">
        <f>+'Reg Asset and Liab'!E44/4</f>
        <v>-199867.08542625877</v>
      </c>
      <c r="AD40" s="57"/>
      <c r="AE40" s="57"/>
      <c r="AF40" s="57">
        <f>+AC40</f>
        <v>-199867.08542625877</v>
      </c>
      <c r="AG40" s="57"/>
      <c r="AH40" s="57"/>
      <c r="AI40" s="57">
        <f>+AF40</f>
        <v>-199867.08542625877</v>
      </c>
      <c r="AJ40" s="57"/>
      <c r="AK40" s="57"/>
      <c r="AL40" s="57">
        <f>+AI40</f>
        <v>-199867.08542625877</v>
      </c>
    </row>
    <row r="41" spans="1:38" x14ac:dyDescent="0.25">
      <c r="A41" s="37" t="s">
        <v>304</v>
      </c>
      <c r="C41" s="75">
        <f t="shared" ref="C41:AL41" si="11">+$J$8</f>
        <v>0.2495</v>
      </c>
      <c r="D41" s="75">
        <f t="shared" si="11"/>
        <v>0.2495</v>
      </c>
      <c r="E41" s="75">
        <f t="shared" si="11"/>
        <v>0.2495</v>
      </c>
      <c r="F41" s="75">
        <f t="shared" si="11"/>
        <v>0.2495</v>
      </c>
      <c r="G41" s="75">
        <f t="shared" si="11"/>
        <v>0.2495</v>
      </c>
      <c r="H41" s="75">
        <f t="shared" si="11"/>
        <v>0.2495</v>
      </c>
      <c r="I41" s="75">
        <f t="shared" si="11"/>
        <v>0.2495</v>
      </c>
      <c r="J41" s="75">
        <f t="shared" si="11"/>
        <v>0.2495</v>
      </c>
      <c r="K41" s="75">
        <f t="shared" si="11"/>
        <v>0.2495</v>
      </c>
      <c r="L41" s="75">
        <f t="shared" si="11"/>
        <v>0.2495</v>
      </c>
      <c r="M41" s="75">
        <f t="shared" si="11"/>
        <v>0.2495</v>
      </c>
      <c r="N41" s="75">
        <f t="shared" si="11"/>
        <v>0.2495</v>
      </c>
      <c r="O41" s="76">
        <f t="shared" si="11"/>
        <v>0.2495</v>
      </c>
      <c r="P41" s="75">
        <f t="shared" si="11"/>
        <v>0.2495</v>
      </c>
      <c r="Q41" s="75">
        <f t="shared" si="11"/>
        <v>0.2495</v>
      </c>
      <c r="R41" s="75">
        <f t="shared" si="11"/>
        <v>0.2495</v>
      </c>
      <c r="S41" s="75">
        <f t="shared" si="11"/>
        <v>0.2495</v>
      </c>
      <c r="T41" s="75">
        <f t="shared" si="11"/>
        <v>0.2495</v>
      </c>
      <c r="U41" s="75">
        <f t="shared" si="11"/>
        <v>0.2495</v>
      </c>
      <c r="V41" s="75">
        <f t="shared" si="11"/>
        <v>0.2495</v>
      </c>
      <c r="W41" s="75">
        <f t="shared" si="11"/>
        <v>0.2495</v>
      </c>
      <c r="X41" s="75">
        <f t="shared" si="11"/>
        <v>0.2495</v>
      </c>
      <c r="Y41" s="75">
        <f t="shared" si="11"/>
        <v>0.2495</v>
      </c>
      <c r="Z41" s="75">
        <f t="shared" si="11"/>
        <v>0.2495</v>
      </c>
      <c r="AA41" s="76">
        <f t="shared" si="11"/>
        <v>0.2495</v>
      </c>
      <c r="AB41" s="75">
        <f t="shared" si="11"/>
        <v>0.2495</v>
      </c>
      <c r="AC41" s="75">
        <f t="shared" si="11"/>
        <v>0.2495</v>
      </c>
      <c r="AD41" s="75">
        <f t="shared" si="11"/>
        <v>0.2495</v>
      </c>
      <c r="AE41" s="75">
        <f t="shared" si="11"/>
        <v>0.2495</v>
      </c>
      <c r="AF41" s="75">
        <f t="shared" si="11"/>
        <v>0.2495</v>
      </c>
      <c r="AG41" s="75">
        <f t="shared" si="11"/>
        <v>0.2495</v>
      </c>
      <c r="AH41" s="75">
        <f t="shared" si="11"/>
        <v>0.2495</v>
      </c>
      <c r="AI41" s="75">
        <f t="shared" si="11"/>
        <v>0.2495</v>
      </c>
      <c r="AJ41" s="75">
        <f t="shared" si="11"/>
        <v>0.2495</v>
      </c>
      <c r="AK41" s="75">
        <f t="shared" si="11"/>
        <v>0.2495</v>
      </c>
      <c r="AL41" s="75">
        <f t="shared" si="11"/>
        <v>0.2495</v>
      </c>
    </row>
    <row r="42" spans="1:38" x14ac:dyDescent="0.25">
      <c r="A42" s="37" t="s">
        <v>347</v>
      </c>
      <c r="C42" s="57">
        <f t="shared" ref="C42:AL42" si="12">+C40*C41</f>
        <v>0</v>
      </c>
      <c r="D42" s="57">
        <f t="shared" si="12"/>
        <v>0</v>
      </c>
      <c r="E42" s="57">
        <f t="shared" si="12"/>
        <v>-21534.56955</v>
      </c>
      <c r="F42" s="57">
        <f t="shared" si="12"/>
        <v>0</v>
      </c>
      <c r="G42" s="57">
        <f t="shared" si="12"/>
        <v>0</v>
      </c>
      <c r="H42" s="57">
        <f t="shared" si="12"/>
        <v>-5829.3504350000003</v>
      </c>
      <c r="I42" s="57">
        <f t="shared" si="12"/>
        <v>0</v>
      </c>
      <c r="J42" s="57">
        <f t="shared" si="12"/>
        <v>0</v>
      </c>
      <c r="K42" s="57">
        <f t="shared" si="12"/>
        <v>-42459.670273423537</v>
      </c>
      <c r="L42" s="57">
        <f t="shared" si="12"/>
        <v>0</v>
      </c>
      <c r="M42" s="57">
        <f t="shared" si="12"/>
        <v>0</v>
      </c>
      <c r="N42" s="57">
        <f t="shared" si="12"/>
        <v>-50638.450071141182</v>
      </c>
      <c r="O42" s="73">
        <f t="shared" si="12"/>
        <v>0</v>
      </c>
      <c r="P42" s="57">
        <f t="shared" si="12"/>
        <v>0</v>
      </c>
      <c r="Q42" s="57">
        <f t="shared" si="12"/>
        <v>-48953.850744400857</v>
      </c>
      <c r="R42" s="57">
        <f t="shared" si="12"/>
        <v>0</v>
      </c>
      <c r="S42" s="57">
        <f t="shared" si="12"/>
        <v>0</v>
      </c>
      <c r="T42" s="57">
        <f t="shared" si="12"/>
        <v>-48953.850744400857</v>
      </c>
      <c r="U42" s="57">
        <f t="shared" si="12"/>
        <v>0</v>
      </c>
      <c r="V42" s="57">
        <f t="shared" si="12"/>
        <v>0</v>
      </c>
      <c r="W42" s="57">
        <f t="shared" si="12"/>
        <v>-48953.850744400857</v>
      </c>
      <c r="X42" s="57">
        <f t="shared" si="12"/>
        <v>0</v>
      </c>
      <c r="Y42" s="57">
        <f t="shared" si="12"/>
        <v>0</v>
      </c>
      <c r="Z42" s="57">
        <f t="shared" si="12"/>
        <v>-48953.850744400857</v>
      </c>
      <c r="AA42" s="73">
        <f t="shared" si="12"/>
        <v>0</v>
      </c>
      <c r="AB42" s="57">
        <f t="shared" si="12"/>
        <v>0</v>
      </c>
      <c r="AC42" s="57">
        <f t="shared" si="12"/>
        <v>-49866.837813851562</v>
      </c>
      <c r="AD42" s="57">
        <f t="shared" si="12"/>
        <v>0</v>
      </c>
      <c r="AE42" s="57">
        <f t="shared" si="12"/>
        <v>0</v>
      </c>
      <c r="AF42" s="57">
        <f t="shared" si="12"/>
        <v>-49866.837813851562</v>
      </c>
      <c r="AG42" s="57">
        <f t="shared" si="12"/>
        <v>0</v>
      </c>
      <c r="AH42" s="57">
        <f t="shared" si="12"/>
        <v>0</v>
      </c>
      <c r="AI42" s="57">
        <f t="shared" si="12"/>
        <v>-49866.837813851562</v>
      </c>
      <c r="AJ42" s="57">
        <f t="shared" si="12"/>
        <v>0</v>
      </c>
      <c r="AK42" s="57">
        <f t="shared" si="12"/>
        <v>0</v>
      </c>
      <c r="AL42" s="57">
        <f t="shared" si="12"/>
        <v>-49866.837813851562</v>
      </c>
    </row>
    <row r="43" spans="1:38" x14ac:dyDescent="0.25">
      <c r="A43" s="37" t="s">
        <v>312</v>
      </c>
      <c r="C43" s="58">
        <f t="shared" ref="C43:AL43" si="13">+$J$13</f>
        <v>1.3324450366422387</v>
      </c>
      <c r="D43" s="58">
        <f t="shared" si="13"/>
        <v>1.3324450366422387</v>
      </c>
      <c r="E43" s="58">
        <f t="shared" si="13"/>
        <v>1.3324450366422387</v>
      </c>
      <c r="F43" s="58">
        <f t="shared" si="13"/>
        <v>1.3324450366422387</v>
      </c>
      <c r="G43" s="58">
        <f t="shared" si="13"/>
        <v>1.3324450366422387</v>
      </c>
      <c r="H43" s="58">
        <f t="shared" si="13"/>
        <v>1.3324450366422387</v>
      </c>
      <c r="I43" s="58">
        <f t="shared" si="13"/>
        <v>1.3324450366422387</v>
      </c>
      <c r="J43" s="58">
        <f t="shared" si="13"/>
        <v>1.3324450366422387</v>
      </c>
      <c r="K43" s="58">
        <f t="shared" si="13"/>
        <v>1.3324450366422387</v>
      </c>
      <c r="L43" s="58">
        <f t="shared" si="13"/>
        <v>1.3324450366422387</v>
      </c>
      <c r="M43" s="58">
        <f t="shared" si="13"/>
        <v>1.3324450366422387</v>
      </c>
      <c r="N43" s="58">
        <f t="shared" si="13"/>
        <v>1.3324450366422387</v>
      </c>
      <c r="O43" s="74">
        <f t="shared" si="13"/>
        <v>1.3324450366422387</v>
      </c>
      <c r="P43" s="58">
        <f t="shared" si="13"/>
        <v>1.3324450366422387</v>
      </c>
      <c r="Q43" s="58">
        <f t="shared" si="13"/>
        <v>1.3324450366422387</v>
      </c>
      <c r="R43" s="58">
        <f t="shared" si="13"/>
        <v>1.3324450366422387</v>
      </c>
      <c r="S43" s="58">
        <f t="shared" si="13"/>
        <v>1.3324450366422387</v>
      </c>
      <c r="T43" s="58">
        <f t="shared" si="13"/>
        <v>1.3324450366422387</v>
      </c>
      <c r="U43" s="58">
        <f t="shared" si="13"/>
        <v>1.3324450366422387</v>
      </c>
      <c r="V43" s="58">
        <f t="shared" si="13"/>
        <v>1.3324450366422387</v>
      </c>
      <c r="W43" s="58">
        <f t="shared" si="13"/>
        <v>1.3324450366422387</v>
      </c>
      <c r="X43" s="58">
        <f t="shared" si="13"/>
        <v>1.3324450366422387</v>
      </c>
      <c r="Y43" s="58">
        <f t="shared" si="13"/>
        <v>1.3324450366422387</v>
      </c>
      <c r="Z43" s="58">
        <f t="shared" si="13"/>
        <v>1.3324450366422387</v>
      </c>
      <c r="AA43" s="74">
        <f t="shared" si="13"/>
        <v>1.3324450366422387</v>
      </c>
      <c r="AB43" s="58">
        <f t="shared" si="13"/>
        <v>1.3324450366422387</v>
      </c>
      <c r="AC43" s="58">
        <f t="shared" si="13"/>
        <v>1.3324450366422387</v>
      </c>
      <c r="AD43" s="58">
        <f t="shared" si="13"/>
        <v>1.3324450366422387</v>
      </c>
      <c r="AE43" s="58">
        <f t="shared" si="13"/>
        <v>1.3324450366422387</v>
      </c>
      <c r="AF43" s="58">
        <f t="shared" si="13"/>
        <v>1.3324450366422387</v>
      </c>
      <c r="AG43" s="58">
        <f t="shared" si="13"/>
        <v>1.3324450366422387</v>
      </c>
      <c r="AH43" s="58">
        <f t="shared" si="13"/>
        <v>1.3324450366422387</v>
      </c>
      <c r="AI43" s="58">
        <f t="shared" si="13"/>
        <v>1.3324450366422387</v>
      </c>
      <c r="AJ43" s="58">
        <f t="shared" si="13"/>
        <v>1.3324450366422387</v>
      </c>
      <c r="AK43" s="58">
        <f t="shared" si="13"/>
        <v>1.3324450366422387</v>
      </c>
      <c r="AL43" s="58">
        <f t="shared" si="13"/>
        <v>1.3324450366422387</v>
      </c>
    </row>
    <row r="44" spans="1:38" x14ac:dyDescent="0.25">
      <c r="C44" s="57">
        <f t="shared" ref="C44:AL44" si="14">+C42*C43</f>
        <v>0</v>
      </c>
      <c r="D44" s="57">
        <f t="shared" si="14"/>
        <v>0</v>
      </c>
      <c r="E44" s="57">
        <f t="shared" si="14"/>
        <v>-28693.630313124588</v>
      </c>
      <c r="F44" s="57">
        <f t="shared" si="14"/>
        <v>0</v>
      </c>
      <c r="G44" s="57">
        <f t="shared" si="14"/>
        <v>0</v>
      </c>
      <c r="H44" s="57">
        <f t="shared" si="14"/>
        <v>-7767.2890539640257</v>
      </c>
      <c r="I44" s="57">
        <f t="shared" si="14"/>
        <v>0</v>
      </c>
      <c r="J44" s="57">
        <f t="shared" si="14"/>
        <v>0</v>
      </c>
      <c r="K44" s="57">
        <f t="shared" si="14"/>
        <v>-56575.1769132892</v>
      </c>
      <c r="L44" s="57">
        <f t="shared" si="14"/>
        <v>0</v>
      </c>
      <c r="M44" s="57">
        <f t="shared" si="14"/>
        <v>0</v>
      </c>
      <c r="N44" s="57">
        <f t="shared" si="14"/>
        <v>-67472.951460547891</v>
      </c>
      <c r="O44" s="73">
        <f t="shared" si="14"/>
        <v>0</v>
      </c>
      <c r="P44" s="57">
        <f t="shared" si="14"/>
        <v>0</v>
      </c>
      <c r="Q44" s="57">
        <f t="shared" si="14"/>
        <v>-65228.315448901885</v>
      </c>
      <c r="R44" s="57">
        <f t="shared" si="14"/>
        <v>0</v>
      </c>
      <c r="S44" s="57">
        <f t="shared" si="14"/>
        <v>0</v>
      </c>
      <c r="T44" s="57">
        <f t="shared" si="14"/>
        <v>-65228.315448901885</v>
      </c>
      <c r="U44" s="57">
        <f t="shared" si="14"/>
        <v>0</v>
      </c>
      <c r="V44" s="57">
        <f t="shared" si="14"/>
        <v>0</v>
      </c>
      <c r="W44" s="57">
        <f t="shared" si="14"/>
        <v>-65228.315448901885</v>
      </c>
      <c r="X44" s="57">
        <f t="shared" si="14"/>
        <v>0</v>
      </c>
      <c r="Y44" s="57">
        <f t="shared" si="14"/>
        <v>0</v>
      </c>
      <c r="Z44" s="57">
        <f t="shared" si="14"/>
        <v>-65228.315448901885</v>
      </c>
      <c r="AA44" s="73">
        <f t="shared" si="14"/>
        <v>0</v>
      </c>
      <c r="AB44" s="57">
        <f t="shared" si="14"/>
        <v>0</v>
      </c>
      <c r="AC44" s="57">
        <f t="shared" si="14"/>
        <v>-66444.820538110012</v>
      </c>
      <c r="AD44" s="57">
        <f t="shared" si="14"/>
        <v>0</v>
      </c>
      <c r="AE44" s="57">
        <f t="shared" si="14"/>
        <v>0</v>
      </c>
      <c r="AF44" s="57">
        <f t="shared" si="14"/>
        <v>-66444.820538110012</v>
      </c>
      <c r="AG44" s="57">
        <f t="shared" si="14"/>
        <v>0</v>
      </c>
      <c r="AH44" s="57">
        <f t="shared" si="14"/>
        <v>0</v>
      </c>
      <c r="AI44" s="57">
        <f t="shared" si="14"/>
        <v>-66444.820538110012</v>
      </c>
      <c r="AJ44" s="57">
        <f t="shared" si="14"/>
        <v>0</v>
      </c>
      <c r="AK44" s="57">
        <f t="shared" si="14"/>
        <v>0</v>
      </c>
      <c r="AL44" s="57">
        <f t="shared" si="14"/>
        <v>-66444.820538110012</v>
      </c>
    </row>
    <row r="45" spans="1:38" x14ac:dyDescent="0.25">
      <c r="N45" s="71">
        <f>SUM(I44:N44)-'Reg Asset and Liab'!C48</f>
        <v>0</v>
      </c>
      <c r="Z45" s="71">
        <f>SUM(O44:Z44)-'Reg Asset and Liab'!D48</f>
        <v>0</v>
      </c>
      <c r="AL45" s="71">
        <f>SUM(AA44:AL44)-'Reg Asset and Liab'!E48</f>
        <v>0</v>
      </c>
    </row>
    <row r="46" spans="1:38" x14ac:dyDescent="0.25">
      <c r="A46" s="37" t="s">
        <v>607</v>
      </c>
      <c r="C46" s="77"/>
      <c r="D46" s="57"/>
      <c r="E46" s="57">
        <v>24560</v>
      </c>
      <c r="F46" s="57">
        <v>178557.37</v>
      </c>
      <c r="G46" s="57"/>
      <c r="H46" s="57">
        <v>188522.72278101707</v>
      </c>
      <c r="I46" s="57"/>
      <c r="J46" s="57"/>
      <c r="K46" s="57">
        <v>216433</v>
      </c>
      <c r="L46" s="57"/>
      <c r="M46" s="57"/>
      <c r="N46" s="57">
        <f>+SUM('Reg Asset and Liab'!C65:C67)-SUM(C46:M46)</f>
        <v>258561.1778348377</v>
      </c>
      <c r="O46" s="73"/>
      <c r="P46" s="57"/>
      <c r="Q46" s="57">
        <v>206965</v>
      </c>
      <c r="R46" s="57"/>
      <c r="S46" s="57"/>
      <c r="T46" s="57">
        <v>214275</v>
      </c>
      <c r="U46" s="57"/>
      <c r="V46" s="57"/>
      <c r="W46" s="57">
        <v>217931</v>
      </c>
      <c r="X46" s="57"/>
      <c r="Y46" s="57"/>
      <c r="Z46" s="57">
        <f>+SUM('Reg Asset and Liab'!D65:D67)-SUM(O46:Y46)</f>
        <v>217930.5339428517</v>
      </c>
      <c r="AA46" s="73"/>
      <c r="AB46" s="57"/>
      <c r="AC46" s="57">
        <f>+'Reg Asset and Liab'!E50/4</f>
        <v>199883.33553137403</v>
      </c>
      <c r="AD46" s="57"/>
      <c r="AE46" s="57"/>
      <c r="AF46" s="57">
        <f>+AC46</f>
        <v>199883.33553137403</v>
      </c>
      <c r="AG46" s="57"/>
      <c r="AH46" s="57"/>
      <c r="AI46" s="57">
        <f>+AF46</f>
        <v>199883.33553137403</v>
      </c>
      <c r="AJ46" s="57"/>
      <c r="AK46" s="57"/>
      <c r="AL46" s="57">
        <f>+AI46</f>
        <v>199883.33553137403</v>
      </c>
    </row>
    <row r="47" spans="1:38" x14ac:dyDescent="0.25">
      <c r="A47" s="37" t="s">
        <v>312</v>
      </c>
      <c r="C47" s="58">
        <f t="shared" ref="C47:AL47" si="15">+$J$13</f>
        <v>1.3324450366422387</v>
      </c>
      <c r="D47" s="58">
        <f t="shared" si="15"/>
        <v>1.3324450366422387</v>
      </c>
      <c r="E47" s="58">
        <f t="shared" si="15"/>
        <v>1.3324450366422387</v>
      </c>
      <c r="F47" s="58">
        <f t="shared" si="15"/>
        <v>1.3324450366422387</v>
      </c>
      <c r="G47" s="58">
        <f t="shared" si="15"/>
        <v>1.3324450366422387</v>
      </c>
      <c r="H47" s="58">
        <f t="shared" si="15"/>
        <v>1.3324450366422387</v>
      </c>
      <c r="I47" s="58">
        <f t="shared" si="15"/>
        <v>1.3324450366422387</v>
      </c>
      <c r="J47" s="58">
        <f t="shared" si="15"/>
        <v>1.3324450366422387</v>
      </c>
      <c r="K47" s="58">
        <f t="shared" si="15"/>
        <v>1.3324450366422387</v>
      </c>
      <c r="L47" s="58">
        <f t="shared" si="15"/>
        <v>1.3324450366422387</v>
      </c>
      <c r="M47" s="58">
        <f t="shared" si="15"/>
        <v>1.3324450366422387</v>
      </c>
      <c r="N47" s="58">
        <f t="shared" si="15"/>
        <v>1.3324450366422387</v>
      </c>
      <c r="O47" s="74">
        <f t="shared" si="15"/>
        <v>1.3324450366422387</v>
      </c>
      <c r="P47" s="58">
        <f t="shared" si="15"/>
        <v>1.3324450366422387</v>
      </c>
      <c r="Q47" s="58">
        <f t="shared" si="15"/>
        <v>1.3324450366422387</v>
      </c>
      <c r="R47" s="58">
        <f t="shared" si="15"/>
        <v>1.3324450366422387</v>
      </c>
      <c r="S47" s="58">
        <f t="shared" si="15"/>
        <v>1.3324450366422387</v>
      </c>
      <c r="T47" s="58">
        <f t="shared" si="15"/>
        <v>1.3324450366422387</v>
      </c>
      <c r="U47" s="58">
        <f t="shared" si="15"/>
        <v>1.3324450366422387</v>
      </c>
      <c r="V47" s="58">
        <f t="shared" si="15"/>
        <v>1.3324450366422387</v>
      </c>
      <c r="W47" s="58">
        <f t="shared" si="15"/>
        <v>1.3324450366422387</v>
      </c>
      <c r="X47" s="58">
        <f t="shared" si="15"/>
        <v>1.3324450366422387</v>
      </c>
      <c r="Y47" s="58">
        <f t="shared" si="15"/>
        <v>1.3324450366422387</v>
      </c>
      <c r="Z47" s="58">
        <f t="shared" si="15"/>
        <v>1.3324450366422387</v>
      </c>
      <c r="AA47" s="74">
        <f t="shared" si="15"/>
        <v>1.3324450366422387</v>
      </c>
      <c r="AB47" s="58">
        <f t="shared" si="15"/>
        <v>1.3324450366422387</v>
      </c>
      <c r="AC47" s="58">
        <f t="shared" si="15"/>
        <v>1.3324450366422387</v>
      </c>
      <c r="AD47" s="58">
        <f t="shared" si="15"/>
        <v>1.3324450366422387</v>
      </c>
      <c r="AE47" s="58">
        <f t="shared" si="15"/>
        <v>1.3324450366422387</v>
      </c>
      <c r="AF47" s="58">
        <f t="shared" si="15"/>
        <v>1.3324450366422387</v>
      </c>
      <c r="AG47" s="58">
        <f t="shared" si="15"/>
        <v>1.3324450366422387</v>
      </c>
      <c r="AH47" s="58">
        <f t="shared" si="15"/>
        <v>1.3324450366422387</v>
      </c>
      <c r="AI47" s="58">
        <f t="shared" si="15"/>
        <v>1.3324450366422387</v>
      </c>
      <c r="AJ47" s="58">
        <f t="shared" si="15"/>
        <v>1.3324450366422387</v>
      </c>
      <c r="AK47" s="58">
        <f t="shared" si="15"/>
        <v>1.3324450366422387</v>
      </c>
      <c r="AL47" s="58">
        <f t="shared" si="15"/>
        <v>1.3324450366422387</v>
      </c>
    </row>
    <row r="48" spans="1:38" x14ac:dyDescent="0.25">
      <c r="C48" s="57">
        <f t="shared" ref="C48:AL48" si="16">+C46*C47</f>
        <v>0</v>
      </c>
      <c r="D48" s="57">
        <f t="shared" si="16"/>
        <v>0</v>
      </c>
      <c r="E48" s="57">
        <f t="shared" si="16"/>
        <v>32724.850099933381</v>
      </c>
      <c r="F48" s="57">
        <f t="shared" si="16"/>
        <v>237917.88141239175</v>
      </c>
      <c r="G48" s="57">
        <f t="shared" si="16"/>
        <v>0</v>
      </c>
      <c r="H48" s="57">
        <f t="shared" si="16"/>
        <v>251196.16626384691</v>
      </c>
      <c r="I48" s="57">
        <f t="shared" si="16"/>
        <v>0</v>
      </c>
      <c r="J48" s="57">
        <f t="shared" si="16"/>
        <v>0</v>
      </c>
      <c r="K48" s="57">
        <f t="shared" si="16"/>
        <v>288385.07661558967</v>
      </c>
      <c r="L48" s="57">
        <f t="shared" si="16"/>
        <v>0</v>
      </c>
      <c r="M48" s="57">
        <f t="shared" si="16"/>
        <v>0</v>
      </c>
      <c r="N48" s="57">
        <f t="shared" si="16"/>
        <v>344518.5580744007</v>
      </c>
      <c r="O48" s="73">
        <f t="shared" si="16"/>
        <v>0</v>
      </c>
      <c r="P48" s="57">
        <f t="shared" si="16"/>
        <v>0</v>
      </c>
      <c r="Q48" s="57">
        <f t="shared" si="16"/>
        <v>275769.48700866092</v>
      </c>
      <c r="R48" s="57">
        <f t="shared" si="16"/>
        <v>0</v>
      </c>
      <c r="S48" s="57">
        <f t="shared" si="16"/>
        <v>0</v>
      </c>
      <c r="T48" s="57">
        <f t="shared" si="16"/>
        <v>285509.66022651567</v>
      </c>
      <c r="U48" s="57">
        <f t="shared" si="16"/>
        <v>0</v>
      </c>
      <c r="V48" s="57">
        <f t="shared" si="16"/>
        <v>0</v>
      </c>
      <c r="W48" s="57">
        <f t="shared" si="16"/>
        <v>290381.07928047969</v>
      </c>
      <c r="X48" s="57">
        <f t="shared" si="16"/>
        <v>0</v>
      </c>
      <c r="Y48" s="57">
        <f t="shared" si="16"/>
        <v>0</v>
      </c>
      <c r="Z48" s="57">
        <f t="shared" si="16"/>
        <v>290380.45828494569</v>
      </c>
      <c r="AA48" s="73">
        <f t="shared" si="16"/>
        <v>0</v>
      </c>
      <c r="AB48" s="57">
        <f t="shared" si="16"/>
        <v>0</v>
      </c>
      <c r="AC48" s="57">
        <f t="shared" si="16"/>
        <v>266333.55833627458</v>
      </c>
      <c r="AD48" s="57">
        <f t="shared" si="16"/>
        <v>0</v>
      </c>
      <c r="AE48" s="57">
        <f t="shared" si="16"/>
        <v>0</v>
      </c>
      <c r="AF48" s="57">
        <f t="shared" si="16"/>
        <v>266333.55833627458</v>
      </c>
      <c r="AG48" s="57">
        <f t="shared" si="16"/>
        <v>0</v>
      </c>
      <c r="AH48" s="57">
        <f t="shared" si="16"/>
        <v>0</v>
      </c>
      <c r="AI48" s="57">
        <f t="shared" si="16"/>
        <v>266333.55833627458</v>
      </c>
      <c r="AJ48" s="57">
        <f t="shared" si="16"/>
        <v>0</v>
      </c>
      <c r="AK48" s="57">
        <f t="shared" si="16"/>
        <v>0</v>
      </c>
      <c r="AL48" s="57">
        <f t="shared" si="16"/>
        <v>266333.55833627458</v>
      </c>
    </row>
    <row r="49" spans="1:38" x14ac:dyDescent="0.25">
      <c r="N49" s="71">
        <f>SUM(I48:N48)-'Reg Asset and Liab'!C52</f>
        <v>0</v>
      </c>
      <c r="Z49" s="71">
        <f>SUM(O48:Z48)-'Reg Asset and Liab'!D52</f>
        <v>0</v>
      </c>
      <c r="AL49" s="71">
        <f>SUM(AA48:AL48)-'Reg Asset and Liab'!E52</f>
        <v>0</v>
      </c>
    </row>
    <row r="50" spans="1:38" x14ac:dyDescent="0.25">
      <c r="A50" s="37" t="s">
        <v>320</v>
      </c>
      <c r="C50" s="57">
        <f t="shared" ref="C50:AL50" si="17">+C30+C34+C38+C44+C48</f>
        <v>0</v>
      </c>
      <c r="D50" s="57">
        <f t="shared" si="17"/>
        <v>0</v>
      </c>
      <c r="E50" s="57">
        <f t="shared" si="17"/>
        <v>3507225.795569621</v>
      </c>
      <c r="F50" s="57">
        <f t="shared" si="17"/>
        <v>237917.88141239175</v>
      </c>
      <c r="G50" s="57">
        <f t="shared" si="17"/>
        <v>0</v>
      </c>
      <c r="H50" s="57">
        <f t="shared" si="17"/>
        <v>4002409.1385225439</v>
      </c>
      <c r="I50" s="57">
        <f t="shared" si="17"/>
        <v>0</v>
      </c>
      <c r="J50" s="57">
        <f t="shared" si="17"/>
        <v>0</v>
      </c>
      <c r="K50" s="57">
        <f t="shared" si="17"/>
        <v>3286572.2210012325</v>
      </c>
      <c r="L50" s="57">
        <f t="shared" si="17"/>
        <v>0</v>
      </c>
      <c r="M50" s="57">
        <f t="shared" si="17"/>
        <v>0</v>
      </c>
      <c r="N50" s="57">
        <f t="shared" si="17"/>
        <v>3716024.6594119882</v>
      </c>
      <c r="O50" s="73">
        <f t="shared" si="17"/>
        <v>0</v>
      </c>
      <c r="P50" s="57">
        <f t="shared" si="17"/>
        <v>0</v>
      </c>
      <c r="Q50" s="57">
        <f t="shared" si="17"/>
        <v>5425015.6881053969</v>
      </c>
      <c r="R50" s="57">
        <f t="shared" si="17"/>
        <v>1733340.7042160786</v>
      </c>
      <c r="S50" s="57">
        <f t="shared" si="17"/>
        <v>0</v>
      </c>
      <c r="T50" s="57">
        <f t="shared" si="17"/>
        <v>3701415.1571071725</v>
      </c>
      <c r="U50" s="57">
        <f t="shared" si="17"/>
        <v>0</v>
      </c>
      <c r="V50" s="57">
        <f t="shared" si="17"/>
        <v>0</v>
      </c>
      <c r="W50" s="57">
        <f t="shared" si="17"/>
        <v>5439627.2803772157</v>
      </c>
      <c r="X50" s="57">
        <f t="shared" si="17"/>
        <v>0</v>
      </c>
      <c r="Y50" s="57">
        <f t="shared" si="17"/>
        <v>0</v>
      </c>
      <c r="Z50" s="57">
        <f t="shared" si="17"/>
        <v>5439626.6593816821</v>
      </c>
      <c r="AA50" s="73">
        <f t="shared" si="17"/>
        <v>0</v>
      </c>
      <c r="AB50" s="57">
        <f t="shared" si="17"/>
        <v>0</v>
      </c>
      <c r="AC50" s="57">
        <f t="shared" si="17"/>
        <v>6551632.1466172896</v>
      </c>
      <c r="AD50" s="57">
        <f>+AD30+AD34+AD38+AD44+AD48</f>
        <v>2112430.3349739076</v>
      </c>
      <c r="AE50" s="57">
        <f t="shared" si="17"/>
        <v>0</v>
      </c>
      <c r="AF50" s="57">
        <f t="shared" si="17"/>
        <v>4439201.8116433816</v>
      </c>
      <c r="AG50" s="57">
        <f t="shared" si="17"/>
        <v>0</v>
      </c>
      <c r="AH50" s="57">
        <f t="shared" si="17"/>
        <v>0</v>
      </c>
      <c r="AI50" s="57">
        <f t="shared" si="17"/>
        <v>6551632.1466172896</v>
      </c>
      <c r="AJ50" s="57">
        <f t="shared" si="17"/>
        <v>0</v>
      </c>
      <c r="AK50" s="57">
        <f t="shared" si="17"/>
        <v>0</v>
      </c>
      <c r="AL50" s="57">
        <f t="shared" si="17"/>
        <v>6551632.1466172896</v>
      </c>
    </row>
    <row r="51" spans="1:38" x14ac:dyDescent="0.2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73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73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</row>
    <row r="52" spans="1:38" x14ac:dyDescent="0.25">
      <c r="A52" s="37" t="s">
        <v>626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73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73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spans="1:38" x14ac:dyDescent="0.25">
      <c r="A53" s="37" t="s">
        <v>627</v>
      </c>
      <c r="D53" s="57"/>
      <c r="E53" s="57"/>
      <c r="F53" s="57"/>
      <c r="G53" s="57"/>
      <c r="H53" s="57"/>
      <c r="I53" s="57"/>
      <c r="J53" s="57"/>
      <c r="K53" s="57">
        <f>'Reg Asset and Liab'!C56</f>
        <v>-19216092.679999948</v>
      </c>
      <c r="L53" s="57"/>
      <c r="M53" s="57"/>
      <c r="N53" s="57"/>
      <c r="O53" s="73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73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spans="1:38" x14ac:dyDescent="0.25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73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73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x14ac:dyDescent="0.25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73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73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spans="1:38" x14ac:dyDescent="0.25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73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73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x14ac:dyDescent="0.25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73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73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1:38" x14ac:dyDescent="0.2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73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73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38" ht="13.8" thickBot="1" x14ac:dyDescent="0.3">
      <c r="A59" s="37" t="s">
        <v>321</v>
      </c>
      <c r="C59" s="59">
        <f>SUM(C50:C57)</f>
        <v>0</v>
      </c>
      <c r="D59" s="59">
        <f t="shared" ref="D59:N59" si="18">SUM(D50:D57)</f>
        <v>0</v>
      </c>
      <c r="E59" s="59">
        <f t="shared" si="18"/>
        <v>3507225.795569621</v>
      </c>
      <c r="F59" s="59">
        <f t="shared" si="18"/>
        <v>237917.88141239175</v>
      </c>
      <c r="G59" s="59">
        <f t="shared" si="18"/>
        <v>0</v>
      </c>
      <c r="H59" s="59">
        <f t="shared" si="18"/>
        <v>4002409.1385225439</v>
      </c>
      <c r="I59" s="59">
        <f t="shared" si="18"/>
        <v>0</v>
      </c>
      <c r="J59" s="59">
        <f t="shared" si="18"/>
        <v>0</v>
      </c>
      <c r="K59" s="59">
        <f t="shared" si="18"/>
        <v>-15929520.458998716</v>
      </c>
      <c r="L59" s="59">
        <f t="shared" si="18"/>
        <v>0</v>
      </c>
      <c r="M59" s="59">
        <f t="shared" si="18"/>
        <v>0</v>
      </c>
      <c r="N59" s="59">
        <f t="shared" si="18"/>
        <v>3716024.6594119882</v>
      </c>
      <c r="O59" s="78">
        <f t="shared" ref="O59:AL59" si="19">+N59+O50</f>
        <v>3716024.6594119882</v>
      </c>
      <c r="P59" s="59">
        <f t="shared" si="19"/>
        <v>3716024.6594119882</v>
      </c>
      <c r="Q59" s="59">
        <f t="shared" si="19"/>
        <v>9141040.3475173861</v>
      </c>
      <c r="R59" s="59">
        <f t="shared" si="19"/>
        <v>10874381.051733464</v>
      </c>
      <c r="S59" s="59">
        <f t="shared" si="19"/>
        <v>10874381.051733464</v>
      </c>
      <c r="T59" s="59">
        <f t="shared" si="19"/>
        <v>14575796.208840637</v>
      </c>
      <c r="U59" s="59">
        <f t="shared" si="19"/>
        <v>14575796.208840637</v>
      </c>
      <c r="V59" s="59">
        <f t="shared" si="19"/>
        <v>14575796.208840637</v>
      </c>
      <c r="W59" s="59">
        <f t="shared" si="19"/>
        <v>20015423.489217851</v>
      </c>
      <c r="X59" s="59">
        <f t="shared" si="19"/>
        <v>20015423.489217851</v>
      </c>
      <c r="Y59" s="59">
        <f t="shared" si="19"/>
        <v>20015423.489217851</v>
      </c>
      <c r="Z59" s="59">
        <f t="shared" si="19"/>
        <v>25455050.148599535</v>
      </c>
      <c r="AA59" s="78">
        <f t="shared" si="19"/>
        <v>25455050.148599535</v>
      </c>
      <c r="AB59" s="59">
        <f t="shared" si="19"/>
        <v>25455050.148599535</v>
      </c>
      <c r="AC59" s="59">
        <f t="shared" si="19"/>
        <v>32006682.295216825</v>
      </c>
      <c r="AD59" s="59">
        <f t="shared" si="19"/>
        <v>34119112.63019073</v>
      </c>
      <c r="AE59" s="59">
        <f t="shared" si="19"/>
        <v>34119112.63019073</v>
      </c>
      <c r="AF59" s="59">
        <f t="shared" si="19"/>
        <v>38558314.441834114</v>
      </c>
      <c r="AG59" s="59">
        <f t="shared" si="19"/>
        <v>38558314.441834114</v>
      </c>
      <c r="AH59" s="59">
        <f t="shared" si="19"/>
        <v>38558314.441834114</v>
      </c>
      <c r="AI59" s="59">
        <f t="shared" si="19"/>
        <v>45109946.5884514</v>
      </c>
      <c r="AJ59" s="59">
        <f t="shared" si="19"/>
        <v>45109946.5884514</v>
      </c>
      <c r="AK59" s="59">
        <f t="shared" si="19"/>
        <v>45109946.5884514</v>
      </c>
      <c r="AL59" s="59">
        <f t="shared" si="19"/>
        <v>51661578.735068694</v>
      </c>
    </row>
    <row r="60" spans="1:38" ht="13.8" thickTop="1" x14ac:dyDescent="0.25">
      <c r="H60" s="79">
        <f>-11646254.39+19216094-SUM(C59:H59)+177716</f>
        <v>2.7944954428821802</v>
      </c>
      <c r="N60" s="71"/>
    </row>
    <row r="62" spans="1:38" x14ac:dyDescent="0.25">
      <c r="A62" s="65" t="s">
        <v>628</v>
      </c>
    </row>
    <row r="63" spans="1:38" x14ac:dyDescent="0.25">
      <c r="C63" s="55"/>
      <c r="D63" s="80"/>
      <c r="E63" s="80"/>
      <c r="F63" s="80"/>
      <c r="G63" s="80"/>
      <c r="H63" s="80"/>
      <c r="I63" s="80"/>
      <c r="J63" s="80"/>
      <c r="K63" s="80"/>
      <c r="M63" s="80"/>
      <c r="N63" s="80"/>
      <c r="O63" s="81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1:38" x14ac:dyDescent="0.25">
      <c r="A64" s="37" t="s">
        <v>629</v>
      </c>
      <c r="C64" s="57"/>
      <c r="D64" s="57"/>
      <c r="E64" s="57">
        <f>+E32+E46-SUM(E65:E66)</f>
        <v>2536632.86</v>
      </c>
      <c r="F64" s="57">
        <f t="shared" ref="F64:N64" si="20">+F32+F46-SUM(F65:F66)</f>
        <v>178557.37</v>
      </c>
      <c r="G64" s="57">
        <f t="shared" si="20"/>
        <v>0</v>
      </c>
      <c r="H64" s="57">
        <f>+H32+H46-SUM(H65:H66)</f>
        <v>2634679.8797711688</v>
      </c>
      <c r="I64" s="57">
        <f t="shared" si="20"/>
        <v>0</v>
      </c>
      <c r="J64" s="57">
        <f t="shared" si="20"/>
        <v>0</v>
      </c>
      <c r="K64" s="57">
        <f>+K32+K46-SUM(K65:K66)</f>
        <v>2337707.3402110985</v>
      </c>
      <c r="L64" s="57">
        <f t="shared" si="20"/>
        <v>0</v>
      </c>
      <c r="M64" s="57">
        <f t="shared" si="20"/>
        <v>0</v>
      </c>
      <c r="N64" s="57">
        <f t="shared" si="20"/>
        <v>2618395.9635685878</v>
      </c>
      <c r="O64" s="73"/>
      <c r="P64" s="57"/>
      <c r="Q64" s="57">
        <f t="shared" ref="Q64:Z64" si="21">+Q32+Q46-SUM(Q65:Q66)</f>
        <v>3810239.0420500007</v>
      </c>
      <c r="R64" s="57">
        <f t="shared" si="21"/>
        <v>1300872.1985141668</v>
      </c>
      <c r="S64" s="57">
        <f t="shared" si="21"/>
        <v>0</v>
      </c>
      <c r="T64" s="57">
        <f t="shared" si="21"/>
        <v>2516676.843535834</v>
      </c>
      <c r="U64" s="57">
        <f t="shared" si="21"/>
        <v>0</v>
      </c>
      <c r="V64" s="57">
        <f t="shared" si="21"/>
        <v>0</v>
      </c>
      <c r="W64" s="57">
        <f t="shared" si="21"/>
        <v>3821205.0420500007</v>
      </c>
      <c r="X64" s="57">
        <f t="shared" si="21"/>
        <v>0</v>
      </c>
      <c r="Y64" s="57">
        <f t="shared" si="21"/>
        <v>0</v>
      </c>
      <c r="Z64" s="57">
        <f t="shared" si="21"/>
        <v>3821204.5759928524</v>
      </c>
      <c r="AA64" s="73"/>
      <c r="AB64" s="57"/>
      <c r="AC64" s="57">
        <f t="shared" ref="AC64:AL64" si="22">+AC32+AC46-SUM(AC65:AC66)</f>
        <v>4640893.2295313766</v>
      </c>
      <c r="AD64" s="57">
        <f t="shared" si="22"/>
        <v>1585378.9663979176</v>
      </c>
      <c r="AE64" s="57">
        <f t="shared" si="22"/>
        <v>0</v>
      </c>
      <c r="AF64" s="57">
        <f t="shared" si="22"/>
        <v>3055514.2631334588</v>
      </c>
      <c r="AG64" s="57">
        <f t="shared" si="22"/>
        <v>0</v>
      </c>
      <c r="AH64" s="57">
        <f t="shared" si="22"/>
        <v>0</v>
      </c>
      <c r="AI64" s="57">
        <f t="shared" si="22"/>
        <v>4640893.2295313766</v>
      </c>
      <c r="AJ64" s="57">
        <f t="shared" si="22"/>
        <v>0</v>
      </c>
      <c r="AK64" s="57">
        <f t="shared" si="22"/>
        <v>0</v>
      </c>
      <c r="AL64" s="57">
        <f t="shared" si="22"/>
        <v>4640893.2295313766</v>
      </c>
    </row>
    <row r="65" spans="1:38" x14ac:dyDescent="0.25">
      <c r="A65" s="37" t="s">
        <v>630</v>
      </c>
      <c r="C65" s="57"/>
      <c r="D65" s="57"/>
      <c r="E65" s="57">
        <f t="shared" ref="E65:Z65" si="23">-E66*0.21</f>
        <v>-28237.86</v>
      </c>
      <c r="F65" s="57"/>
      <c r="G65" s="57"/>
      <c r="H65" s="57">
        <f t="shared" si="23"/>
        <v>-96789</v>
      </c>
      <c r="I65" s="57"/>
      <c r="J65" s="57"/>
      <c r="K65" s="57">
        <f t="shared" si="23"/>
        <v>-42658.776060427124</v>
      </c>
      <c r="L65" s="57"/>
      <c r="M65" s="57"/>
      <c r="N65" s="57">
        <f t="shared" si="23"/>
        <v>-55895.212020142375</v>
      </c>
      <c r="O65" s="73"/>
      <c r="P65" s="57"/>
      <c r="Q65" s="57">
        <f t="shared" si="23"/>
        <v>-79572.071181550535</v>
      </c>
      <c r="R65" s="57">
        <f t="shared" si="23"/>
        <v>0</v>
      </c>
      <c r="S65" s="57">
        <f t="shared" si="23"/>
        <v>0</v>
      </c>
      <c r="T65" s="57">
        <f t="shared" si="23"/>
        <v>-79572.071181550535</v>
      </c>
      <c r="U65" s="57">
        <f t="shared" si="23"/>
        <v>0</v>
      </c>
      <c r="V65" s="57">
        <f t="shared" si="23"/>
        <v>0</v>
      </c>
      <c r="W65" s="57">
        <f t="shared" si="23"/>
        <v>-79572.071181550535</v>
      </c>
      <c r="X65" s="57">
        <f t="shared" si="23"/>
        <v>0</v>
      </c>
      <c r="Y65" s="57">
        <f t="shared" si="23"/>
        <v>0</v>
      </c>
      <c r="Z65" s="57">
        <f t="shared" si="23"/>
        <v>-79572.071181550535</v>
      </c>
      <c r="AA65" s="73"/>
      <c r="AB65" s="57"/>
      <c r="AC65" s="57">
        <f t="shared" ref="AC65:AL65" si="24">-AC66*0.21</f>
        <v>-83767.938089477844</v>
      </c>
      <c r="AD65" s="57">
        <f t="shared" si="24"/>
        <v>0</v>
      </c>
      <c r="AE65" s="57">
        <f t="shared" si="24"/>
        <v>0</v>
      </c>
      <c r="AF65" s="57">
        <f t="shared" si="24"/>
        <v>-83767.938089477844</v>
      </c>
      <c r="AG65" s="57">
        <f t="shared" si="24"/>
        <v>0</v>
      </c>
      <c r="AH65" s="57">
        <f t="shared" si="24"/>
        <v>0</v>
      </c>
      <c r="AI65" s="57">
        <f t="shared" si="24"/>
        <v>-83767.938089477844</v>
      </c>
      <c r="AJ65" s="57">
        <f t="shared" si="24"/>
        <v>0</v>
      </c>
      <c r="AK65" s="57">
        <f t="shared" si="24"/>
        <v>0</v>
      </c>
      <c r="AL65" s="57">
        <f t="shared" si="24"/>
        <v>-83767.938089477844</v>
      </c>
    </row>
    <row r="66" spans="1:38" x14ac:dyDescent="0.25">
      <c r="A66" s="37" t="s">
        <v>631</v>
      </c>
      <c r="C66" s="57"/>
      <c r="D66" s="57"/>
      <c r="E66" s="57">
        <v>134466</v>
      </c>
      <c r="F66" s="57"/>
      <c r="G66" s="57"/>
      <c r="H66" s="57">
        <v>460900</v>
      </c>
      <c r="I66" s="57"/>
      <c r="J66" s="57"/>
      <c r="K66" s="57">
        <f>+'Reg Asset and Liab'!C72*0.75-SUM(C66:J66)</f>
        <v>203137.02885917679</v>
      </c>
      <c r="L66" s="57"/>
      <c r="M66" s="57"/>
      <c r="N66" s="57">
        <f>+'Reg Asset and Liab'!C72/4</f>
        <v>266167.67628639226</v>
      </c>
      <c r="O66" s="73"/>
      <c r="P66" s="57"/>
      <c r="Q66" s="57">
        <f>+'Reg Asset and Liab'!D72/4</f>
        <v>378914.6246740502</v>
      </c>
      <c r="R66" s="57"/>
      <c r="S66" s="57"/>
      <c r="T66" s="57">
        <f>+Q66</f>
        <v>378914.6246740502</v>
      </c>
      <c r="U66" s="57"/>
      <c r="V66" s="57"/>
      <c r="W66" s="57">
        <f>+T66</f>
        <v>378914.6246740502</v>
      </c>
      <c r="X66" s="57"/>
      <c r="Y66" s="57"/>
      <c r="Z66" s="57">
        <f>+W66</f>
        <v>378914.6246740502</v>
      </c>
      <c r="AA66" s="73"/>
      <c r="AB66" s="57"/>
      <c r="AC66" s="57">
        <f>+'Reg Asset and Liab'!E72/4</f>
        <v>398894.94328322785</v>
      </c>
      <c r="AD66" s="57"/>
      <c r="AE66" s="57"/>
      <c r="AF66" s="57">
        <f>+AC66</f>
        <v>398894.94328322785</v>
      </c>
      <c r="AG66" s="57"/>
      <c r="AH66" s="57"/>
      <c r="AI66" s="57">
        <f>+AF66</f>
        <v>398894.94328322785</v>
      </c>
      <c r="AJ66" s="57"/>
      <c r="AK66" s="57"/>
      <c r="AL66" s="57">
        <f>+AI66</f>
        <v>398894.94328322785</v>
      </c>
    </row>
    <row r="67" spans="1:38" ht="13.8" thickBot="1" x14ac:dyDescent="0.3">
      <c r="A67" s="37" t="s">
        <v>632</v>
      </c>
      <c r="C67" s="82">
        <f>SUM(C64:C66)</f>
        <v>0</v>
      </c>
      <c r="D67" s="82">
        <f t="shared" ref="D67:AL67" si="25">SUM(D64:D66)</f>
        <v>0</v>
      </c>
      <c r="E67" s="82">
        <f t="shared" si="25"/>
        <v>2642861</v>
      </c>
      <c r="F67" s="82">
        <f t="shared" si="25"/>
        <v>178557.37</v>
      </c>
      <c r="G67" s="82">
        <f t="shared" si="25"/>
        <v>0</v>
      </c>
      <c r="H67" s="82">
        <f>SUM(H64:H66)</f>
        <v>2998790.8797711688</v>
      </c>
      <c r="I67" s="82">
        <f t="shared" si="25"/>
        <v>0</v>
      </c>
      <c r="J67" s="82">
        <f t="shared" si="25"/>
        <v>0</v>
      </c>
      <c r="K67" s="82">
        <f t="shared" si="25"/>
        <v>2498185.5930098481</v>
      </c>
      <c r="L67" s="82">
        <f t="shared" si="25"/>
        <v>0</v>
      </c>
      <c r="M67" s="82">
        <f t="shared" si="25"/>
        <v>0</v>
      </c>
      <c r="N67" s="82">
        <f t="shared" si="25"/>
        <v>2828668.4278348377</v>
      </c>
      <c r="O67" s="83">
        <f t="shared" si="25"/>
        <v>0</v>
      </c>
      <c r="P67" s="82">
        <f t="shared" si="25"/>
        <v>0</v>
      </c>
      <c r="Q67" s="82">
        <f t="shared" si="25"/>
        <v>4109581.5955425003</v>
      </c>
      <c r="R67" s="82">
        <f t="shared" si="25"/>
        <v>1300872.1985141668</v>
      </c>
      <c r="S67" s="82">
        <f t="shared" si="25"/>
        <v>0</v>
      </c>
      <c r="T67" s="82">
        <f t="shared" si="25"/>
        <v>2816019.3970283335</v>
      </c>
      <c r="U67" s="82">
        <f t="shared" si="25"/>
        <v>0</v>
      </c>
      <c r="V67" s="82">
        <f t="shared" si="25"/>
        <v>0</v>
      </c>
      <c r="W67" s="82">
        <f t="shared" si="25"/>
        <v>4120547.5955425003</v>
      </c>
      <c r="X67" s="82">
        <f t="shared" si="25"/>
        <v>0</v>
      </c>
      <c r="Y67" s="82">
        <f t="shared" si="25"/>
        <v>0</v>
      </c>
      <c r="Z67" s="82">
        <f t="shared" si="25"/>
        <v>4120547.129485352</v>
      </c>
      <c r="AA67" s="83">
        <f t="shared" si="25"/>
        <v>0</v>
      </c>
      <c r="AB67" s="82">
        <f t="shared" si="25"/>
        <v>0</v>
      </c>
      <c r="AC67" s="82">
        <f t="shared" si="25"/>
        <v>4956020.234725127</v>
      </c>
      <c r="AD67" s="82">
        <f t="shared" si="25"/>
        <v>1585378.9663979176</v>
      </c>
      <c r="AE67" s="82">
        <f t="shared" si="25"/>
        <v>0</v>
      </c>
      <c r="AF67" s="82">
        <f t="shared" si="25"/>
        <v>3370641.2683272087</v>
      </c>
      <c r="AG67" s="82">
        <f t="shared" si="25"/>
        <v>0</v>
      </c>
      <c r="AH67" s="82">
        <f t="shared" si="25"/>
        <v>0</v>
      </c>
      <c r="AI67" s="82">
        <f t="shared" si="25"/>
        <v>4956020.234725127</v>
      </c>
      <c r="AJ67" s="82">
        <f t="shared" si="25"/>
        <v>0</v>
      </c>
      <c r="AK67" s="82">
        <f t="shared" si="25"/>
        <v>0</v>
      </c>
      <c r="AL67" s="82">
        <f t="shared" si="25"/>
        <v>4956020.234725127</v>
      </c>
    </row>
    <row r="68" spans="1:38" x14ac:dyDescent="0.25">
      <c r="D68" s="80"/>
      <c r="E68" s="80"/>
      <c r="F68" s="80"/>
      <c r="G68" s="80"/>
      <c r="H68" s="80"/>
      <c r="I68" s="80"/>
      <c r="J68" s="80"/>
      <c r="K68" s="80"/>
      <c r="M68" s="80"/>
      <c r="N68" s="80">
        <f>SUM(E66:N66)-'Reg Asset and Liab'!C72</f>
        <v>0</v>
      </c>
      <c r="O68" s="81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>
        <f>SUM(O66:Z66)-'Reg Asset and Liab'!D72</f>
        <v>0</v>
      </c>
      <c r="AA68" s="81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>
        <f>SUM(AA66:AL66)-'Reg Asset and Liab'!E72</f>
        <v>0</v>
      </c>
    </row>
    <row r="69" spans="1:38" x14ac:dyDescent="0.25">
      <c r="N69" s="55"/>
    </row>
    <row r="70" spans="1:38" x14ac:dyDescent="0.25">
      <c r="A70" s="37" t="s">
        <v>633</v>
      </c>
      <c r="H70" s="57"/>
      <c r="J70" s="5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1"/>
  <sheetViews>
    <sheetView workbookViewId="0">
      <pane xSplit="1" ySplit="3" topLeftCell="B4" activePane="bottomRight" state="frozen"/>
      <selection activeCell="H116" sqref="H116"/>
      <selection pane="topRight" activeCell="H116" sqref="H116"/>
      <selection pane="bottomLeft" activeCell="H116" sqref="H116"/>
      <selection pane="bottomRight" activeCell="A25" sqref="A25"/>
    </sheetView>
  </sheetViews>
  <sheetFormatPr defaultColWidth="9.109375" defaultRowHeight="8.4" x14ac:dyDescent="0.15"/>
  <cols>
    <col min="1" max="1" width="30.6640625" style="1" customWidth="1"/>
    <col min="2" max="56" width="10.6640625" style="2" customWidth="1"/>
    <col min="57" max="16384" width="9.109375" style="2"/>
  </cols>
  <sheetData>
    <row r="1" spans="1:56" s="31" customFormat="1" ht="10.199999999999999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</row>
    <row r="2" spans="1:56" s="31" customFormat="1" ht="10.199999999999999" x14ac:dyDescent="0.2">
      <c r="A2" s="84"/>
      <c r="B2" s="85" t="s">
        <v>364</v>
      </c>
      <c r="C2" s="85" t="s">
        <v>365</v>
      </c>
      <c r="D2" s="85" t="s">
        <v>366</v>
      </c>
      <c r="E2" s="85" t="s">
        <v>367</v>
      </c>
      <c r="F2" s="85" t="s">
        <v>368</v>
      </c>
      <c r="G2" s="85" t="s">
        <v>369</v>
      </c>
      <c r="H2" s="85" t="s">
        <v>0</v>
      </c>
      <c r="I2" s="85" t="s">
        <v>1</v>
      </c>
      <c r="J2" s="85" t="s">
        <v>2</v>
      </c>
      <c r="K2" s="85" t="s">
        <v>3</v>
      </c>
      <c r="L2" s="85" t="s">
        <v>4</v>
      </c>
      <c r="M2" s="85" t="s">
        <v>5</v>
      </c>
      <c r="N2" s="85" t="s">
        <v>6</v>
      </c>
      <c r="O2" s="85" t="s">
        <v>7</v>
      </c>
      <c r="P2" s="85" t="s">
        <v>8</v>
      </c>
      <c r="Q2" s="85" t="s">
        <v>9</v>
      </c>
      <c r="R2" s="85" t="s">
        <v>10</v>
      </c>
      <c r="S2" s="85" t="s">
        <v>11</v>
      </c>
      <c r="T2" s="85" t="s">
        <v>12</v>
      </c>
      <c r="U2" s="85" t="s">
        <v>13</v>
      </c>
      <c r="V2" s="85" t="s">
        <v>14</v>
      </c>
      <c r="W2" s="85" t="s">
        <v>15</v>
      </c>
      <c r="X2" s="85" t="s">
        <v>16</v>
      </c>
      <c r="Y2" s="85" t="s">
        <v>17</v>
      </c>
      <c r="Z2" s="85" t="s">
        <v>18</v>
      </c>
      <c r="AA2" s="85" t="s">
        <v>19</v>
      </c>
      <c r="AB2" s="85" t="s">
        <v>20</v>
      </c>
      <c r="AC2" s="85" t="s">
        <v>21</v>
      </c>
      <c r="AD2" s="85" t="s">
        <v>22</v>
      </c>
      <c r="AE2" s="85" t="s">
        <v>23</v>
      </c>
      <c r="AF2" s="85" t="s">
        <v>24</v>
      </c>
      <c r="AG2" s="85" t="s">
        <v>25</v>
      </c>
      <c r="AH2" s="85" t="s">
        <v>26</v>
      </c>
      <c r="AI2" s="85" t="s">
        <v>27</v>
      </c>
      <c r="AJ2" s="85" t="s">
        <v>28</v>
      </c>
      <c r="AK2" s="85" t="s">
        <v>29</v>
      </c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</row>
    <row r="3" spans="1:56" s="31" customFormat="1" ht="10.199999999999999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</row>
    <row r="4" spans="1:56" ht="14.4" x14ac:dyDescent="0.3">
      <c r="A4" s="86" t="s">
        <v>341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4.4" x14ac:dyDescent="0.3">
      <c r="A5" s="27" t="s">
        <v>416</v>
      </c>
      <c r="B5" s="29">
        <v>201801</v>
      </c>
      <c r="C5" s="29">
        <v>201802</v>
      </c>
      <c r="D5" s="29">
        <v>201803</v>
      </c>
      <c r="E5" s="29">
        <v>201804</v>
      </c>
      <c r="F5" s="29">
        <v>201805</v>
      </c>
      <c r="G5" s="29">
        <v>201806</v>
      </c>
      <c r="H5" s="29">
        <v>201807</v>
      </c>
      <c r="I5" s="29">
        <v>201808</v>
      </c>
      <c r="J5" s="29">
        <v>201809</v>
      </c>
      <c r="K5" s="29">
        <v>201810</v>
      </c>
      <c r="L5" s="29">
        <v>201811</v>
      </c>
      <c r="M5" s="29">
        <v>201812</v>
      </c>
      <c r="N5" s="29">
        <v>201901</v>
      </c>
      <c r="O5" s="29">
        <v>201902</v>
      </c>
      <c r="P5" s="29">
        <v>201903</v>
      </c>
      <c r="Q5" s="29">
        <v>201904</v>
      </c>
      <c r="R5" s="29">
        <v>201905</v>
      </c>
      <c r="S5" s="29">
        <v>201906</v>
      </c>
      <c r="T5" s="29">
        <v>201907</v>
      </c>
      <c r="U5" s="29">
        <v>201908</v>
      </c>
      <c r="V5" s="29">
        <v>201909</v>
      </c>
      <c r="W5" s="29">
        <v>201910</v>
      </c>
      <c r="X5" s="29">
        <v>201911</v>
      </c>
      <c r="Y5" s="29">
        <v>201912</v>
      </c>
      <c r="Z5" s="29">
        <v>202001</v>
      </c>
      <c r="AA5" s="29">
        <v>202002</v>
      </c>
      <c r="AB5" s="29">
        <v>202003</v>
      </c>
      <c r="AC5" s="29">
        <v>202004</v>
      </c>
      <c r="AD5" s="29">
        <v>202005</v>
      </c>
      <c r="AE5" s="29">
        <v>202006</v>
      </c>
      <c r="AF5" s="29">
        <v>202007</v>
      </c>
      <c r="AG5" s="29">
        <v>202008</v>
      </c>
      <c r="AH5" s="29">
        <v>202009</v>
      </c>
      <c r="AI5" s="29">
        <v>202010</v>
      </c>
      <c r="AJ5" s="29">
        <v>202011</v>
      </c>
      <c r="AK5" s="29">
        <v>202012</v>
      </c>
      <c r="AL5" s="29"/>
      <c r="AM5" s="29"/>
      <c r="AN5" s="29"/>
      <c r="AO5" s="29"/>
      <c r="AP5" s="29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4.4" x14ac:dyDescent="0.3">
      <c r="A6" s="27" t="s">
        <v>417</v>
      </c>
      <c r="B6" s="29">
        <v>201801</v>
      </c>
      <c r="C6" s="29">
        <v>201801</v>
      </c>
      <c r="D6" s="29">
        <v>201801</v>
      </c>
      <c r="E6" s="29">
        <v>201801</v>
      </c>
      <c r="F6" s="29">
        <v>201801</v>
      </c>
      <c r="G6" s="29">
        <v>201801</v>
      </c>
      <c r="H6" s="29">
        <v>201801</v>
      </c>
      <c r="I6" s="29">
        <v>201801</v>
      </c>
      <c r="J6" s="29">
        <v>201801</v>
      </c>
      <c r="K6" s="29">
        <v>201801</v>
      </c>
      <c r="L6" s="29">
        <v>201801</v>
      </c>
      <c r="M6" s="29">
        <v>201801</v>
      </c>
      <c r="N6" s="29">
        <v>201801</v>
      </c>
      <c r="O6" s="29">
        <v>201801</v>
      </c>
      <c r="P6" s="29">
        <v>201801</v>
      </c>
      <c r="Q6" s="29">
        <v>201801</v>
      </c>
      <c r="R6" s="29">
        <v>201801</v>
      </c>
      <c r="S6" s="29">
        <v>201801</v>
      </c>
      <c r="T6" s="29">
        <v>201801</v>
      </c>
      <c r="U6" s="29">
        <v>201801</v>
      </c>
      <c r="V6" s="29">
        <v>201801</v>
      </c>
      <c r="W6" s="29">
        <v>201801</v>
      </c>
      <c r="X6" s="29">
        <v>201801</v>
      </c>
      <c r="Y6" s="29">
        <v>201801</v>
      </c>
      <c r="Z6" s="29">
        <v>201801</v>
      </c>
      <c r="AA6" s="29">
        <v>201801</v>
      </c>
      <c r="AB6" s="29">
        <v>201801</v>
      </c>
      <c r="AC6" s="29">
        <v>201801</v>
      </c>
      <c r="AD6" s="29">
        <v>201801</v>
      </c>
      <c r="AE6" s="29">
        <v>201801</v>
      </c>
      <c r="AF6" s="29">
        <v>201801</v>
      </c>
      <c r="AG6" s="29">
        <v>201801</v>
      </c>
      <c r="AH6" s="29">
        <v>201801</v>
      </c>
      <c r="AI6" s="29">
        <v>201801</v>
      </c>
      <c r="AJ6" s="29">
        <v>201801</v>
      </c>
      <c r="AK6" s="29">
        <v>201801</v>
      </c>
      <c r="AL6" s="29"/>
      <c r="AM6" s="29"/>
      <c r="AN6" s="29"/>
      <c r="AO6" s="29"/>
      <c r="AP6" s="29"/>
      <c r="AQ6" s="3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4.4" x14ac:dyDescent="0.3">
      <c r="A7" s="27" t="s">
        <v>418</v>
      </c>
      <c r="B7" s="29">
        <v>201702</v>
      </c>
      <c r="C7" s="29">
        <v>201702</v>
      </c>
      <c r="D7" s="29">
        <v>201702</v>
      </c>
      <c r="E7" s="29">
        <v>201702</v>
      </c>
      <c r="F7" s="29">
        <v>201702</v>
      </c>
      <c r="G7" s="29">
        <v>201702</v>
      </c>
      <c r="H7" s="29">
        <v>201702</v>
      </c>
      <c r="I7" s="29">
        <v>201702</v>
      </c>
      <c r="J7" s="29">
        <v>201702</v>
      </c>
      <c r="K7" s="29">
        <v>201702</v>
      </c>
      <c r="L7" s="29">
        <v>201702</v>
      </c>
      <c r="M7" s="29">
        <v>201702</v>
      </c>
      <c r="N7" s="29">
        <v>201702</v>
      </c>
      <c r="O7" s="29">
        <v>201702</v>
      </c>
      <c r="P7" s="29">
        <v>201702</v>
      </c>
      <c r="Q7" s="29">
        <v>201702</v>
      </c>
      <c r="R7" s="29">
        <v>201702</v>
      </c>
      <c r="S7" s="29">
        <v>201702</v>
      </c>
      <c r="T7" s="29">
        <v>201702</v>
      </c>
      <c r="U7" s="29">
        <v>201702</v>
      </c>
      <c r="V7" s="29">
        <v>201702</v>
      </c>
      <c r="W7" s="29">
        <v>201702</v>
      </c>
      <c r="X7" s="29">
        <v>201702</v>
      </c>
      <c r="Y7" s="29">
        <v>201702</v>
      </c>
      <c r="Z7" s="29">
        <v>201702</v>
      </c>
      <c r="AA7" s="29">
        <v>201702</v>
      </c>
      <c r="AB7" s="29">
        <v>201702</v>
      </c>
      <c r="AC7" s="29">
        <v>201702</v>
      </c>
      <c r="AD7" s="29">
        <v>201702</v>
      </c>
      <c r="AE7" s="29">
        <v>201702</v>
      </c>
      <c r="AF7" s="29">
        <v>201702</v>
      </c>
      <c r="AG7" s="29">
        <v>201702</v>
      </c>
      <c r="AH7" s="29">
        <v>201702</v>
      </c>
      <c r="AI7" s="29">
        <v>201702</v>
      </c>
      <c r="AJ7" s="29">
        <v>201702</v>
      </c>
      <c r="AK7" s="29">
        <v>201702</v>
      </c>
      <c r="AL7" s="29"/>
      <c r="AM7" s="29"/>
      <c r="AN7" s="29"/>
      <c r="AO7" s="29"/>
      <c r="AP7" s="29"/>
      <c r="AQ7" s="3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4.4" x14ac:dyDescent="0.3">
      <c r="A8" s="27" t="s">
        <v>419</v>
      </c>
      <c r="B8" s="29">
        <v>0.21</v>
      </c>
      <c r="C8" s="29">
        <v>0.21</v>
      </c>
      <c r="D8" s="29">
        <v>0.21</v>
      </c>
      <c r="E8" s="29">
        <v>0.21</v>
      </c>
      <c r="F8" s="29">
        <v>0.21</v>
      </c>
      <c r="G8" s="29">
        <v>0.21</v>
      </c>
      <c r="H8" s="29">
        <v>0.21</v>
      </c>
      <c r="I8" s="29">
        <v>0.21</v>
      </c>
      <c r="J8" s="29">
        <v>0.21</v>
      </c>
      <c r="K8" s="29">
        <v>0.21</v>
      </c>
      <c r="L8" s="29">
        <v>0.21</v>
      </c>
      <c r="M8" s="29">
        <v>0.21</v>
      </c>
      <c r="N8" s="29">
        <v>0.21</v>
      </c>
      <c r="O8" s="29">
        <v>0.21</v>
      </c>
      <c r="P8" s="29">
        <v>0.21</v>
      </c>
      <c r="Q8" s="29">
        <v>0.21</v>
      </c>
      <c r="R8" s="29">
        <v>0.21</v>
      </c>
      <c r="S8" s="29">
        <v>0.21</v>
      </c>
      <c r="T8" s="29">
        <v>0.21</v>
      </c>
      <c r="U8" s="29">
        <v>0.21</v>
      </c>
      <c r="V8" s="29">
        <v>0.21</v>
      </c>
      <c r="W8" s="29">
        <v>0.21</v>
      </c>
      <c r="X8" s="29">
        <v>0.21</v>
      </c>
      <c r="Y8" s="29">
        <v>0.21</v>
      </c>
      <c r="Z8" s="29">
        <v>0.21</v>
      </c>
      <c r="AA8" s="29">
        <v>0.21</v>
      </c>
      <c r="AB8" s="29">
        <v>0.21</v>
      </c>
      <c r="AC8" s="29">
        <v>0.21</v>
      </c>
      <c r="AD8" s="29">
        <v>0.21</v>
      </c>
      <c r="AE8" s="29">
        <v>0.21</v>
      </c>
      <c r="AF8" s="29">
        <v>0.21</v>
      </c>
      <c r="AG8" s="29">
        <v>0.21</v>
      </c>
      <c r="AH8" s="29">
        <v>0.21</v>
      </c>
      <c r="AI8" s="29">
        <v>0.21</v>
      </c>
      <c r="AJ8" s="29">
        <v>0.21</v>
      </c>
      <c r="AK8" s="29">
        <v>0.21</v>
      </c>
      <c r="AL8" s="29"/>
      <c r="AM8" s="29"/>
      <c r="AN8" s="29"/>
      <c r="AO8" s="29"/>
      <c r="AP8" s="29"/>
      <c r="AQ8" s="3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4.4" x14ac:dyDescent="0.3">
      <c r="A9" s="27" t="s">
        <v>420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4.4" x14ac:dyDescent="0.3">
      <c r="A10" s="27" t="s">
        <v>421</v>
      </c>
      <c r="B10" s="29">
        <v>56224.573660000002</v>
      </c>
      <c r="C10" s="29">
        <v>30542.315050000001</v>
      </c>
      <c r="D10" s="29">
        <v>25200.894029999999</v>
      </c>
      <c r="E10" s="29">
        <v>13150.1846199999</v>
      </c>
      <c r="F10" s="29">
        <v>29721.90249</v>
      </c>
      <c r="G10" s="29">
        <v>31871.734369999998</v>
      </c>
      <c r="H10" s="29">
        <v>29443.400166637301</v>
      </c>
      <c r="I10" s="29">
        <v>31020.473982993299</v>
      </c>
      <c r="J10" s="29">
        <v>23182.601916148898</v>
      </c>
      <c r="K10" s="29">
        <v>10896.5107460214</v>
      </c>
      <c r="L10" s="29">
        <v>25420.345270305999</v>
      </c>
      <c r="M10" s="29">
        <v>35832.950802686602</v>
      </c>
      <c r="N10" s="29">
        <v>43389.204134525302</v>
      </c>
      <c r="O10" s="29">
        <v>30998.1024313618</v>
      </c>
      <c r="P10" s="29">
        <v>22925.552729343701</v>
      </c>
      <c r="Q10" s="29">
        <v>12835.9099887794</v>
      </c>
      <c r="R10" s="29">
        <v>16490.9755553871</v>
      </c>
      <c r="S10" s="29">
        <v>22068.979146740501</v>
      </c>
      <c r="T10" s="29">
        <v>27708.718350766401</v>
      </c>
      <c r="U10" s="29">
        <v>29933.298944577102</v>
      </c>
      <c r="V10" s="29">
        <v>18435.628722870799</v>
      </c>
      <c r="W10" s="29">
        <v>6307.2110581338202</v>
      </c>
      <c r="X10" s="29">
        <v>17342.997852603999</v>
      </c>
      <c r="Y10" s="29">
        <v>30401.821421866302</v>
      </c>
      <c r="Z10" s="29">
        <v>40227.7425972005</v>
      </c>
      <c r="AA10" s="29">
        <v>29426.4904011086</v>
      </c>
      <c r="AB10" s="29">
        <v>17572.8752539487</v>
      </c>
      <c r="AC10" s="29">
        <v>6160.4879584407699</v>
      </c>
      <c r="AD10" s="29">
        <v>14837.951994463599</v>
      </c>
      <c r="AE10" s="29">
        <v>17900.549601175298</v>
      </c>
      <c r="AF10" s="29">
        <v>25128.538413304199</v>
      </c>
      <c r="AG10" s="29">
        <v>28404.9723177712</v>
      </c>
      <c r="AH10" s="29">
        <v>17634.085254215701</v>
      </c>
      <c r="AI10" s="29">
        <v>5252.5285735336001</v>
      </c>
      <c r="AJ10" s="29">
        <v>14018.666009914199</v>
      </c>
      <c r="AK10" s="29">
        <v>27192.9482396024</v>
      </c>
      <c r="AL10" s="29"/>
      <c r="AM10" s="29"/>
      <c r="AN10" s="29"/>
      <c r="AO10" s="29"/>
      <c r="AP10" s="29"/>
      <c r="AQ10" s="2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4.4" x14ac:dyDescent="0.3">
      <c r="A11" s="27" t="s">
        <v>422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/>
      <c r="AM11" s="29"/>
      <c r="AN11" s="29"/>
      <c r="AO11" s="29"/>
      <c r="AP11" s="29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4.4" x14ac:dyDescent="0.3">
      <c r="A12" s="27" t="s">
        <v>423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/>
      <c r="AM12" s="29"/>
      <c r="AN12" s="29"/>
      <c r="AO12" s="29"/>
      <c r="AP12" s="29"/>
      <c r="AQ12" s="3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10.199999999999999" x14ac:dyDescent="0.2">
      <c r="A13" s="27" t="s">
        <v>424</v>
      </c>
      <c r="B13" s="29">
        <v>56224.573660000002</v>
      </c>
      <c r="C13" s="29">
        <v>30542.315050000001</v>
      </c>
      <c r="D13" s="29">
        <v>25200.894029999999</v>
      </c>
      <c r="E13" s="29">
        <v>13150.1846199999</v>
      </c>
      <c r="F13" s="29">
        <v>29721.90249</v>
      </c>
      <c r="G13" s="29">
        <v>31871.734369999998</v>
      </c>
      <c r="H13" s="29">
        <v>29443.400166637301</v>
      </c>
      <c r="I13" s="29">
        <v>31020.473982993299</v>
      </c>
      <c r="J13" s="29">
        <v>23182.601916148898</v>
      </c>
      <c r="K13" s="29">
        <v>10896.5107460214</v>
      </c>
      <c r="L13" s="29">
        <v>25420.345270305999</v>
      </c>
      <c r="M13" s="29">
        <v>35832.950802686602</v>
      </c>
      <c r="N13" s="29">
        <v>43389.204134525302</v>
      </c>
      <c r="O13" s="29">
        <v>30998.1024313618</v>
      </c>
      <c r="P13" s="29">
        <v>22925.552729343701</v>
      </c>
      <c r="Q13" s="29">
        <v>12835.9099887794</v>
      </c>
      <c r="R13" s="29">
        <v>16490.9755553871</v>
      </c>
      <c r="S13" s="29">
        <v>22068.979146740501</v>
      </c>
      <c r="T13" s="29">
        <v>27708.718350766401</v>
      </c>
      <c r="U13" s="29">
        <v>29933.298944577102</v>
      </c>
      <c r="V13" s="29">
        <v>18435.628722870799</v>
      </c>
      <c r="W13" s="29">
        <v>6307.2110581338202</v>
      </c>
      <c r="X13" s="29">
        <v>17342.997852603999</v>
      </c>
      <c r="Y13" s="29">
        <v>30401.821421866302</v>
      </c>
      <c r="Z13" s="29">
        <v>40227.7425972005</v>
      </c>
      <c r="AA13" s="29">
        <v>29426.4904011086</v>
      </c>
      <c r="AB13" s="29">
        <v>17572.8752539487</v>
      </c>
      <c r="AC13" s="29">
        <v>6160.4879584407699</v>
      </c>
      <c r="AD13" s="29">
        <v>14837.951994463599</v>
      </c>
      <c r="AE13" s="29">
        <v>17900.549601175298</v>
      </c>
      <c r="AF13" s="29">
        <v>25128.538413304199</v>
      </c>
      <c r="AG13" s="29">
        <v>28404.9723177712</v>
      </c>
      <c r="AH13" s="29">
        <v>17634.085254215701</v>
      </c>
      <c r="AI13" s="29">
        <v>5252.5285735336001</v>
      </c>
      <c r="AJ13" s="29">
        <v>14018.666009914199</v>
      </c>
      <c r="AK13" s="29">
        <v>27192.9482396024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14.4" x14ac:dyDescent="0.3">
      <c r="A14" s="27" t="s">
        <v>425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4.4" x14ac:dyDescent="0.3">
      <c r="A15" s="87" t="s">
        <v>426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4.4" x14ac:dyDescent="0.3">
      <c r="A16" s="27" t="s">
        <v>427</v>
      </c>
      <c r="B16" s="29">
        <v>-138.59234999999899</v>
      </c>
      <c r="C16" s="29">
        <v>-118.04796</v>
      </c>
      <c r="D16" s="29">
        <v>147.69310999999999</v>
      </c>
      <c r="E16" s="29">
        <v>-124.83959</v>
      </c>
      <c r="F16" s="29">
        <v>-154.14948000000001</v>
      </c>
      <c r="G16" s="29">
        <v>182.971069999999</v>
      </c>
      <c r="H16" s="29">
        <v>-92.837830170677506</v>
      </c>
      <c r="I16" s="29">
        <v>-65.151421321855196</v>
      </c>
      <c r="J16" s="29">
        <v>237.984768632407</v>
      </c>
      <c r="K16" s="29">
        <v>-56.898733968431898</v>
      </c>
      <c r="L16" s="29">
        <v>-67.957837526806301</v>
      </c>
      <c r="M16" s="29">
        <v>235.44168325141499</v>
      </c>
      <c r="N16" s="29">
        <v>-84.615747758153503</v>
      </c>
      <c r="O16" s="29">
        <v>-81.455448781974297</v>
      </c>
      <c r="P16" s="29">
        <v>206.398257388503</v>
      </c>
      <c r="Q16" s="29">
        <v>-78.574108103790394</v>
      </c>
      <c r="R16" s="29">
        <v>-76.274868404835004</v>
      </c>
      <c r="S16" s="29">
        <v>205.894537451335</v>
      </c>
      <c r="T16" s="29">
        <v>-72.520424633528705</v>
      </c>
      <c r="U16" s="29">
        <v>-76.913597874475002</v>
      </c>
      <c r="V16" s="29">
        <v>216.439236151172</v>
      </c>
      <c r="W16" s="29">
        <v>-70.949562847355395</v>
      </c>
      <c r="X16" s="29">
        <v>-82.428859860558404</v>
      </c>
      <c r="Y16" s="29">
        <v>235.29886173299201</v>
      </c>
      <c r="Z16" s="29">
        <v>-81.888527047804899</v>
      </c>
      <c r="AA16" s="29">
        <v>-81.740707412089094</v>
      </c>
      <c r="AB16" s="29">
        <v>208.406238648168</v>
      </c>
      <c r="AC16" s="29">
        <v>-77.694384765217393</v>
      </c>
      <c r="AD16" s="29">
        <v>-80.636503000636196</v>
      </c>
      <c r="AE16" s="29">
        <v>207.368887604625</v>
      </c>
      <c r="AF16" s="29">
        <v>-73.750298589183402</v>
      </c>
      <c r="AG16" s="29">
        <v>-79.511259177377099</v>
      </c>
      <c r="AH16" s="29">
        <v>216.545399551034</v>
      </c>
      <c r="AI16" s="29">
        <v>-73.751384765217395</v>
      </c>
      <c r="AJ16" s="29">
        <v>-84.084305941604796</v>
      </c>
      <c r="AK16" s="29">
        <v>234.981186600336</v>
      </c>
      <c r="AL16" s="29"/>
      <c r="AM16" s="29"/>
      <c r="AN16" s="29"/>
      <c r="AO16" s="29"/>
      <c r="AP16" s="29"/>
      <c r="AQ16" s="29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4.4" x14ac:dyDescent="0.3">
      <c r="A17" s="27" t="s">
        <v>428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/>
      <c r="AM17" s="29"/>
      <c r="AN17" s="29"/>
      <c r="AO17" s="29"/>
      <c r="AP17" s="29"/>
      <c r="AQ17" s="3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10.199999999999999" x14ac:dyDescent="0.2">
      <c r="A18" s="86" t="s">
        <v>429</v>
      </c>
      <c r="B18" s="29">
        <v>-138.59234999999899</v>
      </c>
      <c r="C18" s="29">
        <v>-118.04796</v>
      </c>
      <c r="D18" s="29">
        <v>147.69310999999999</v>
      </c>
      <c r="E18" s="29">
        <v>-124.83959</v>
      </c>
      <c r="F18" s="29">
        <v>-154.14948000000001</v>
      </c>
      <c r="G18" s="29">
        <v>182.971069999999</v>
      </c>
      <c r="H18" s="29">
        <v>-92.837830170677506</v>
      </c>
      <c r="I18" s="29">
        <v>-65.151421321855196</v>
      </c>
      <c r="J18" s="29">
        <v>237.984768632407</v>
      </c>
      <c r="K18" s="29">
        <v>-56.898733968431898</v>
      </c>
      <c r="L18" s="29">
        <v>-67.957837526806301</v>
      </c>
      <c r="M18" s="29">
        <v>235.44168325141499</v>
      </c>
      <c r="N18" s="29">
        <v>-84.615747758153503</v>
      </c>
      <c r="O18" s="29">
        <v>-81.455448781974297</v>
      </c>
      <c r="P18" s="29">
        <v>206.398257388503</v>
      </c>
      <c r="Q18" s="29">
        <v>-78.574108103790394</v>
      </c>
      <c r="R18" s="29">
        <v>-76.274868404835004</v>
      </c>
      <c r="S18" s="29">
        <v>205.894537451335</v>
      </c>
      <c r="T18" s="29">
        <v>-72.520424633528705</v>
      </c>
      <c r="U18" s="29">
        <v>-76.913597874475002</v>
      </c>
      <c r="V18" s="29">
        <v>216.439236151172</v>
      </c>
      <c r="W18" s="29">
        <v>-70.949562847355395</v>
      </c>
      <c r="X18" s="29">
        <v>-82.428859860558404</v>
      </c>
      <c r="Y18" s="29">
        <v>235.29886173299201</v>
      </c>
      <c r="Z18" s="29">
        <v>-81.888527047804899</v>
      </c>
      <c r="AA18" s="29">
        <v>-81.740707412089094</v>
      </c>
      <c r="AB18" s="29">
        <v>208.406238648168</v>
      </c>
      <c r="AC18" s="29">
        <v>-77.694384765217393</v>
      </c>
      <c r="AD18" s="29">
        <v>-80.636503000636196</v>
      </c>
      <c r="AE18" s="29">
        <v>207.368887604625</v>
      </c>
      <c r="AF18" s="29">
        <v>-73.750298589183402</v>
      </c>
      <c r="AG18" s="29">
        <v>-79.511259177377099</v>
      </c>
      <c r="AH18" s="29">
        <v>216.545399551034</v>
      </c>
      <c r="AI18" s="29">
        <v>-73.751384765217395</v>
      </c>
      <c r="AJ18" s="29">
        <v>-84.084305941604796</v>
      </c>
      <c r="AK18" s="29">
        <v>234.981186600336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14.4" x14ac:dyDescent="0.3">
      <c r="A19" s="27" t="s">
        <v>430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ht="14.4" x14ac:dyDescent="0.3">
      <c r="A20" s="87" t="s">
        <v>431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0.199999999999999" x14ac:dyDescent="0.2">
      <c r="A21" s="27" t="s">
        <v>432</v>
      </c>
      <c r="B21" s="29">
        <v>32976.955540871902</v>
      </c>
      <c r="C21" s="29">
        <v>30356.1903011344</v>
      </c>
      <c r="D21" s="29">
        <v>24827.188301105201</v>
      </c>
      <c r="E21" s="29">
        <v>18047.960371490699</v>
      </c>
      <c r="F21" s="29">
        <v>23595.892539169799</v>
      </c>
      <c r="G21" s="29">
        <v>13851.767473419801</v>
      </c>
      <c r="H21" s="29">
        <v>18024.432265916501</v>
      </c>
      <c r="I21" s="29">
        <v>16108.9994277604</v>
      </c>
      <c r="J21" s="29">
        <v>4827.3039517617199</v>
      </c>
      <c r="K21" s="29">
        <v>9668.5028984238907</v>
      </c>
      <c r="L21" s="29">
        <v>12124.4436723408</v>
      </c>
      <c r="M21" s="29">
        <v>5105.3957249573104</v>
      </c>
      <c r="N21" s="29">
        <v>19861.868562324798</v>
      </c>
      <c r="O21" s="29">
        <v>14159.781279716901</v>
      </c>
      <c r="P21" s="29">
        <v>1641.56534510238</v>
      </c>
      <c r="Q21" s="29">
        <v>14703.3080733799</v>
      </c>
      <c r="R21" s="29">
        <v>20442.3006414267</v>
      </c>
      <c r="S21" s="29">
        <v>8918.2126959447796</v>
      </c>
      <c r="T21" s="29">
        <v>25495.487323005698</v>
      </c>
      <c r="U21" s="29">
        <v>24755.107571565299</v>
      </c>
      <c r="V21" s="29">
        <v>12169.774109042601</v>
      </c>
      <c r="W21" s="29">
        <v>19625.7890266947</v>
      </c>
      <c r="X21" s="29">
        <v>18984.237076269601</v>
      </c>
      <c r="Y21" s="29">
        <v>9471.2528465188498</v>
      </c>
      <c r="Z21" s="29">
        <v>29673.334670599499</v>
      </c>
      <c r="AA21" s="29">
        <v>25826.655726368499</v>
      </c>
      <c r="AB21" s="29">
        <v>4122.8719421874903</v>
      </c>
      <c r="AC21" s="29">
        <v>23400.340357381701</v>
      </c>
      <c r="AD21" s="29">
        <v>26103.955884594601</v>
      </c>
      <c r="AE21" s="29">
        <v>17707.316162347201</v>
      </c>
      <c r="AF21" s="29">
        <v>26310.402619812601</v>
      </c>
      <c r="AG21" s="29">
        <v>26947.660505330099</v>
      </c>
      <c r="AH21" s="29">
        <v>19433.044320617599</v>
      </c>
      <c r="AI21" s="29">
        <v>29160.348741802602</v>
      </c>
      <c r="AJ21" s="29">
        <v>29288.777072683999</v>
      </c>
      <c r="AK21" s="29">
        <v>20926.4243316754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10.199999999999999" x14ac:dyDescent="0.2">
      <c r="A22" s="27" t="s">
        <v>433</v>
      </c>
      <c r="B22" s="29">
        <v>-24495.261194783699</v>
      </c>
      <c r="C22" s="29">
        <v>-24495.261194783699</v>
      </c>
      <c r="D22" s="29">
        <v>-24495.261194783699</v>
      </c>
      <c r="E22" s="29">
        <v>-24495.261194783699</v>
      </c>
      <c r="F22" s="29">
        <v>-24495.261194783699</v>
      </c>
      <c r="G22" s="29">
        <v>-24495.261194783699</v>
      </c>
      <c r="H22" s="29">
        <v>-27277.1745647838</v>
      </c>
      <c r="I22" s="29">
        <v>-40888.6821697837</v>
      </c>
      <c r="J22" s="29">
        <v>-38024.608069783797</v>
      </c>
      <c r="K22" s="29">
        <v>-25369.3274997837</v>
      </c>
      <c r="L22" s="29">
        <v>-25285.508139783698</v>
      </c>
      <c r="M22" s="29">
        <v>-25163.677634783799</v>
      </c>
      <c r="N22" s="29">
        <v>-26340.9493764609</v>
      </c>
      <c r="O22" s="29">
        <v>-26340.9493764609</v>
      </c>
      <c r="P22" s="29">
        <v>-26451.1093764609</v>
      </c>
      <c r="Q22" s="29">
        <v>-41592.259788460899</v>
      </c>
      <c r="R22" s="29">
        <v>-79521.059124460895</v>
      </c>
      <c r="S22" s="29">
        <v>-26738.949728460899</v>
      </c>
      <c r="T22" s="29">
        <v>-26736.549820460899</v>
      </c>
      <c r="U22" s="29">
        <v>-26760.949832460901</v>
      </c>
      <c r="V22" s="29">
        <v>-26700.9497644609</v>
      </c>
      <c r="W22" s="29">
        <v>-26646.9498284609</v>
      </c>
      <c r="X22" s="29">
        <v>-35929.662996460902</v>
      </c>
      <c r="Y22" s="29">
        <v>-54257.959588460901</v>
      </c>
      <c r="Z22" s="29">
        <v>-27830.803336314199</v>
      </c>
      <c r="AA22" s="29">
        <v>-27830.803336314199</v>
      </c>
      <c r="AB22" s="29">
        <v>-27830.803336314199</v>
      </c>
      <c r="AC22" s="29">
        <v>-27830.803336314199</v>
      </c>
      <c r="AD22" s="29">
        <v>-27830.803336314199</v>
      </c>
      <c r="AE22" s="29">
        <v>-27830.803336314199</v>
      </c>
      <c r="AF22" s="29">
        <v>-27830.803336314199</v>
      </c>
      <c r="AG22" s="29">
        <v>-27830.803336314199</v>
      </c>
      <c r="AH22" s="29">
        <v>-27830.803336314199</v>
      </c>
      <c r="AI22" s="29">
        <v>-27830.803336314199</v>
      </c>
      <c r="AJ22" s="29">
        <v>-27830.803336314199</v>
      </c>
      <c r="AK22" s="29">
        <v>-27830.803336314199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ht="10.199999999999999" x14ac:dyDescent="0.2">
      <c r="A23" s="27" t="s">
        <v>434</v>
      </c>
      <c r="B23" s="29">
        <v>8481.6943460881394</v>
      </c>
      <c r="C23" s="29">
        <v>5860.9291063506598</v>
      </c>
      <c r="D23" s="29">
        <v>331.92710632149101</v>
      </c>
      <c r="E23" s="29">
        <v>-6447.3008232930697</v>
      </c>
      <c r="F23" s="29">
        <v>-899.36865561393199</v>
      </c>
      <c r="G23" s="29">
        <v>-10643.4937213639</v>
      </c>
      <c r="H23" s="29">
        <v>-9252.7422988672806</v>
      </c>
      <c r="I23" s="29">
        <v>-24779.682742023298</v>
      </c>
      <c r="J23" s="29">
        <v>-33197.304118022003</v>
      </c>
      <c r="K23" s="29">
        <v>-15700.8246013599</v>
      </c>
      <c r="L23" s="29">
        <v>-13161.0644674429</v>
      </c>
      <c r="M23" s="29">
        <v>-20058.281909826401</v>
      </c>
      <c r="N23" s="29">
        <v>-6479.0808141361604</v>
      </c>
      <c r="O23" s="29">
        <v>-12181.168096744001</v>
      </c>
      <c r="P23" s="29">
        <v>-24809.544031358499</v>
      </c>
      <c r="Q23" s="29">
        <v>-26888.951715080999</v>
      </c>
      <c r="R23" s="29">
        <v>-59078.758483034202</v>
      </c>
      <c r="S23" s="29">
        <v>-17820.737032516099</v>
      </c>
      <c r="T23" s="29">
        <v>-1241.0624974551999</v>
      </c>
      <c r="U23" s="29">
        <v>-2005.84226089564</v>
      </c>
      <c r="V23" s="29">
        <v>-14531.175655418299</v>
      </c>
      <c r="W23" s="29">
        <v>-7021.1608017661902</v>
      </c>
      <c r="X23" s="29">
        <v>-16945.425920191301</v>
      </c>
      <c r="Y23" s="29">
        <v>-44786.7067419421</v>
      </c>
      <c r="Z23" s="29">
        <v>1842.5313342853501</v>
      </c>
      <c r="AA23" s="29">
        <v>-2004.1476099456499</v>
      </c>
      <c r="AB23" s="29">
        <v>-23707.931394126699</v>
      </c>
      <c r="AC23" s="29">
        <v>-4430.4629789324899</v>
      </c>
      <c r="AD23" s="29">
        <v>-1726.84745171955</v>
      </c>
      <c r="AE23" s="29">
        <v>-10123.4871739669</v>
      </c>
      <c r="AF23" s="29">
        <v>-1520.40071650153</v>
      </c>
      <c r="AG23" s="29">
        <v>-883.14283098413205</v>
      </c>
      <c r="AH23" s="29">
        <v>-8397.7590156965307</v>
      </c>
      <c r="AI23" s="29">
        <v>1329.5454054884101</v>
      </c>
      <c r="AJ23" s="29">
        <v>1457.97373636979</v>
      </c>
      <c r="AK23" s="29">
        <v>-6904.3790046387303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ht="10.199999999999999" x14ac:dyDescent="0.2">
      <c r="A24" s="27" t="s">
        <v>435</v>
      </c>
      <c r="B24" s="29">
        <v>8.1439041666666494</v>
      </c>
      <c r="C24" s="29">
        <v>8.1439041666666494</v>
      </c>
      <c r="D24" s="29">
        <v>2669.31408269237</v>
      </c>
      <c r="E24" s="29">
        <v>8.1439041666666494</v>
      </c>
      <c r="F24" s="29">
        <v>8.1439041666666494</v>
      </c>
      <c r="G24" s="29">
        <v>2342.8800826923698</v>
      </c>
      <c r="H24" s="29">
        <v>8.1439041666666494</v>
      </c>
      <c r="I24" s="29">
        <v>8.1439041666666494</v>
      </c>
      <c r="J24" s="29">
        <v>2600.6430538335899</v>
      </c>
      <c r="K24" s="29">
        <v>8.1439041666666494</v>
      </c>
      <c r="L24" s="29">
        <v>8.1439041666666494</v>
      </c>
      <c r="M24" s="29">
        <v>2537.6124064063201</v>
      </c>
      <c r="N24" s="29">
        <v>8.1439041666666494</v>
      </c>
      <c r="O24" s="29">
        <v>8.1439041666666494</v>
      </c>
      <c r="P24" s="29">
        <v>2865.6832748206002</v>
      </c>
      <c r="Q24" s="29">
        <v>8.1439041666666494</v>
      </c>
      <c r="R24" s="29">
        <v>6.7352875000000001</v>
      </c>
      <c r="S24" s="29">
        <v>2864.27465815613</v>
      </c>
      <c r="T24" s="29">
        <v>6.7352875000000001</v>
      </c>
      <c r="U24" s="29">
        <v>6.7352875000000001</v>
      </c>
      <c r="V24" s="29">
        <v>2864.2746581565302</v>
      </c>
      <c r="W24" s="29">
        <v>6.7352875000000001</v>
      </c>
      <c r="X24" s="29">
        <v>6.7352875000000001</v>
      </c>
      <c r="Y24" s="29">
        <v>2864.2746581557699</v>
      </c>
      <c r="Z24" s="29">
        <v>6.7352875000000001</v>
      </c>
      <c r="AA24" s="29">
        <v>6.7352875000000001</v>
      </c>
      <c r="AB24" s="29">
        <v>1801.78320357336</v>
      </c>
      <c r="AC24" s="29">
        <v>6.7352875000000001</v>
      </c>
      <c r="AD24" s="29">
        <v>6.7352875000000001</v>
      </c>
      <c r="AE24" s="29">
        <v>1801.7832035756201</v>
      </c>
      <c r="AF24" s="29">
        <v>6.7352875000000001</v>
      </c>
      <c r="AG24" s="29">
        <v>6.7352875000000001</v>
      </c>
      <c r="AH24" s="29">
        <v>1801.78320357548</v>
      </c>
      <c r="AI24" s="29">
        <v>6.7352875000000001</v>
      </c>
      <c r="AJ24" s="29">
        <v>6.7352875000000001</v>
      </c>
      <c r="AK24" s="29">
        <v>1801.7832035746201</v>
      </c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ht="10.199999999999999" x14ac:dyDescent="0.2">
      <c r="A25" s="27" t="s">
        <v>436</v>
      </c>
      <c r="B25" s="29">
        <v>8489.8382502548102</v>
      </c>
      <c r="C25" s="29">
        <v>5869.0730105173297</v>
      </c>
      <c r="D25" s="29">
        <v>3001.2411890138601</v>
      </c>
      <c r="E25" s="29">
        <v>-6439.1569191264098</v>
      </c>
      <c r="F25" s="29">
        <v>-891.22475144726604</v>
      </c>
      <c r="G25" s="29">
        <v>-8300.6136386715607</v>
      </c>
      <c r="H25" s="29">
        <v>-9244.5983947006207</v>
      </c>
      <c r="I25" s="29">
        <v>-24771.5388378567</v>
      </c>
      <c r="J25" s="29">
        <v>-30596.6610641884</v>
      </c>
      <c r="K25" s="29">
        <v>-15692.6806971932</v>
      </c>
      <c r="L25" s="29">
        <v>-13152.920563276301</v>
      </c>
      <c r="M25" s="29">
        <v>-17520.6695034201</v>
      </c>
      <c r="N25" s="29">
        <v>-6470.9369099695004</v>
      </c>
      <c r="O25" s="29">
        <v>-12173.024192577301</v>
      </c>
      <c r="P25" s="29">
        <v>-21943.860756537899</v>
      </c>
      <c r="Q25" s="29">
        <v>-26880.807810914299</v>
      </c>
      <c r="R25" s="29">
        <v>-59072.023195534202</v>
      </c>
      <c r="S25" s="29">
        <v>-14956.46237436</v>
      </c>
      <c r="T25" s="29">
        <v>-1234.3272099552</v>
      </c>
      <c r="U25" s="29">
        <v>-1999.1069733956399</v>
      </c>
      <c r="V25" s="29">
        <v>-11666.9009972617</v>
      </c>
      <c r="W25" s="29">
        <v>-7014.4255142661896</v>
      </c>
      <c r="X25" s="29">
        <v>-16938.690632691301</v>
      </c>
      <c r="Y25" s="29">
        <v>-41922.432083786298</v>
      </c>
      <c r="Z25" s="29">
        <v>1849.26662178535</v>
      </c>
      <c r="AA25" s="29">
        <v>-1997.41232244565</v>
      </c>
      <c r="AB25" s="29">
        <v>-21906.1481905533</v>
      </c>
      <c r="AC25" s="29">
        <v>-4423.7276914324902</v>
      </c>
      <c r="AD25" s="29">
        <v>-1720.1121642195501</v>
      </c>
      <c r="AE25" s="29">
        <v>-8321.7039703913397</v>
      </c>
      <c r="AF25" s="29">
        <v>-1513.6654290015299</v>
      </c>
      <c r="AG25" s="29">
        <v>-876.40754348413202</v>
      </c>
      <c r="AH25" s="29">
        <v>-6595.9758121210498</v>
      </c>
      <c r="AI25" s="29">
        <v>1336.28069298841</v>
      </c>
      <c r="AJ25" s="29">
        <v>1464.7090238697899</v>
      </c>
      <c r="AK25" s="29">
        <v>-5102.5958010641098</v>
      </c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14.4" x14ac:dyDescent="0.3">
      <c r="A26" s="27" t="s">
        <v>437</v>
      </c>
      <c r="B26" s="29">
        <v>-119465.512779053</v>
      </c>
      <c r="C26" s="29">
        <v>-119465.512779053</v>
      </c>
      <c r="D26" s="29">
        <v>-119465.512779053</v>
      </c>
      <c r="E26" s="29">
        <v>-119465.512779053</v>
      </c>
      <c r="F26" s="29">
        <v>-119465.512779053</v>
      </c>
      <c r="G26" s="29">
        <v>-119465.512779053</v>
      </c>
      <c r="H26" s="29">
        <v>-119465.512779053</v>
      </c>
      <c r="I26" s="29">
        <v>-119465.512779054</v>
      </c>
      <c r="J26" s="29">
        <v>-119465.512779058</v>
      </c>
      <c r="K26" s="29">
        <v>-119465.512779058</v>
      </c>
      <c r="L26" s="29">
        <v>-119465.512779058</v>
      </c>
      <c r="M26" s="29">
        <v>-119465.51277905201</v>
      </c>
      <c r="N26" s="29">
        <v>-233789.61405071701</v>
      </c>
      <c r="O26" s="29">
        <v>-233789.61405068901</v>
      </c>
      <c r="P26" s="29">
        <v>-233789.61405068901</v>
      </c>
      <c r="Q26" s="29">
        <v>-233789.61405063499</v>
      </c>
      <c r="R26" s="29">
        <v>-233789.61405061799</v>
      </c>
      <c r="S26" s="29">
        <v>-233789.61405056599</v>
      </c>
      <c r="T26" s="29">
        <v>-233789.61405055699</v>
      </c>
      <c r="U26" s="29">
        <v>-233789.61405060999</v>
      </c>
      <c r="V26" s="29">
        <v>-233789.61405057</v>
      </c>
      <c r="W26" s="29">
        <v>-233789.61405055301</v>
      </c>
      <c r="X26" s="29">
        <v>-233789.61405056101</v>
      </c>
      <c r="Y26" s="29">
        <v>-233789.61405053901</v>
      </c>
      <c r="Z26" s="29">
        <v>-55068.507700514099</v>
      </c>
      <c r="AA26" s="29">
        <v>-55068.507700533002</v>
      </c>
      <c r="AB26" s="29">
        <v>-55068.507700725801</v>
      </c>
      <c r="AC26" s="29">
        <v>-55068.507700644201</v>
      </c>
      <c r="AD26" s="29">
        <v>-55068.5077005036</v>
      </c>
      <c r="AE26" s="29">
        <v>-55068.507700354203</v>
      </c>
      <c r="AF26" s="29">
        <v>-55068.507700370603</v>
      </c>
      <c r="AG26" s="29">
        <v>-55068.5077004099</v>
      </c>
      <c r="AH26" s="29">
        <v>-55068.507700355003</v>
      </c>
      <c r="AI26" s="29">
        <v>-55068.507700366798</v>
      </c>
      <c r="AJ26" s="29">
        <v>-55068.507700388996</v>
      </c>
      <c r="AK26" s="29">
        <v>-55068.507700368697</v>
      </c>
      <c r="AL26" s="29"/>
      <c r="AM26" s="29"/>
      <c r="AN26" s="29"/>
      <c r="AO26" s="29"/>
      <c r="AP26" s="29"/>
      <c r="AQ26" s="29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0.199999999999999" x14ac:dyDescent="0.2">
      <c r="A27" s="27" t="s">
        <v>438</v>
      </c>
      <c r="B27" s="29">
        <v>-109249.911920096</v>
      </c>
      <c r="C27" s="29">
        <v>-109249.911920096</v>
      </c>
      <c r="D27" s="29">
        <v>-109249.911920096</v>
      </c>
      <c r="E27" s="29">
        <v>-109249.911920096</v>
      </c>
      <c r="F27" s="29">
        <v>-109249.911920096</v>
      </c>
      <c r="G27" s="29">
        <v>-109249.911920096</v>
      </c>
      <c r="H27" s="29">
        <v>-109249.911920096</v>
      </c>
      <c r="I27" s="29">
        <v>-109249.911920097</v>
      </c>
      <c r="J27" s="29">
        <v>-109249.9119201</v>
      </c>
      <c r="K27" s="29">
        <v>-109249.9119201</v>
      </c>
      <c r="L27" s="29">
        <v>-109249.9119201</v>
      </c>
      <c r="M27" s="29">
        <v>-109249.911920094</v>
      </c>
      <c r="N27" s="29">
        <v>-222272.99865143601</v>
      </c>
      <c r="O27" s="29">
        <v>-222272.99865140801</v>
      </c>
      <c r="P27" s="29">
        <v>-222272.99865140399</v>
      </c>
      <c r="Q27" s="29">
        <v>-222272.99865135</v>
      </c>
      <c r="R27" s="29">
        <v>-222272.99865133301</v>
      </c>
      <c r="S27" s="29">
        <v>-222272.99865127899</v>
      </c>
      <c r="T27" s="29">
        <v>-222272.99865127099</v>
      </c>
      <c r="U27" s="29">
        <v>-222272.998651323</v>
      </c>
      <c r="V27" s="29">
        <v>-222272.99865128199</v>
      </c>
      <c r="W27" s="29">
        <v>-222272.99865126499</v>
      </c>
      <c r="X27" s="29">
        <v>-222272.998651273</v>
      </c>
      <c r="Y27" s="29">
        <v>-222272.99865125</v>
      </c>
      <c r="Z27" s="29">
        <v>-47807.4925862253</v>
      </c>
      <c r="AA27" s="29">
        <v>-47807.492586244298</v>
      </c>
      <c r="AB27" s="29">
        <v>-47807.492586435597</v>
      </c>
      <c r="AC27" s="29">
        <v>-47807.492586354099</v>
      </c>
      <c r="AD27" s="29">
        <v>-47807.492586213397</v>
      </c>
      <c r="AE27" s="29">
        <v>-47807.492586058601</v>
      </c>
      <c r="AF27" s="29">
        <v>-47807.492586075001</v>
      </c>
      <c r="AG27" s="29">
        <v>-47807.492586114298</v>
      </c>
      <c r="AH27" s="29">
        <v>-47807.492586054199</v>
      </c>
      <c r="AI27" s="29">
        <v>-47807.492586065899</v>
      </c>
      <c r="AJ27" s="29">
        <v>-47807.492586088098</v>
      </c>
      <c r="AK27" s="29">
        <v>-47807.492586069697</v>
      </c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10.199999999999999" x14ac:dyDescent="0.2">
      <c r="A28" s="27" t="s">
        <v>439</v>
      </c>
      <c r="B28" s="29">
        <v>0</v>
      </c>
      <c r="C28" s="29">
        <v>0</v>
      </c>
      <c r="D28" s="29">
        <v>-29866.378194763201</v>
      </c>
      <c r="E28" s="29">
        <v>0</v>
      </c>
      <c r="F28" s="29">
        <v>0</v>
      </c>
      <c r="G28" s="29">
        <v>-29866.378194763201</v>
      </c>
      <c r="H28" s="29">
        <v>0</v>
      </c>
      <c r="I28" s="29">
        <v>0</v>
      </c>
      <c r="J28" s="29">
        <v>-29866.3781947645</v>
      </c>
      <c r="K28" s="29">
        <v>0</v>
      </c>
      <c r="L28" s="29">
        <v>0</v>
      </c>
      <c r="M28" s="29">
        <v>-29866.3781947631</v>
      </c>
      <c r="N28" s="29">
        <v>0</v>
      </c>
      <c r="O28" s="29">
        <v>0</v>
      </c>
      <c r="P28" s="29">
        <v>-58447.403512672397</v>
      </c>
      <c r="Q28" s="29">
        <v>0</v>
      </c>
      <c r="R28" s="29">
        <v>0</v>
      </c>
      <c r="S28" s="29">
        <v>-58447.403512641598</v>
      </c>
      <c r="T28" s="29">
        <v>0</v>
      </c>
      <c r="U28" s="29">
        <v>0</v>
      </c>
      <c r="V28" s="29">
        <v>-58447.403512642501</v>
      </c>
      <c r="W28" s="29">
        <v>0</v>
      </c>
      <c r="X28" s="29">
        <v>0</v>
      </c>
      <c r="Y28" s="29">
        <v>-58447.403512634701</v>
      </c>
      <c r="Z28" s="29">
        <v>0</v>
      </c>
      <c r="AA28" s="29">
        <v>0</v>
      </c>
      <c r="AB28" s="29">
        <v>-13767.126925181399</v>
      </c>
      <c r="AC28" s="29">
        <v>0</v>
      </c>
      <c r="AD28" s="29">
        <v>0</v>
      </c>
      <c r="AE28" s="29">
        <v>-13767.1269250885</v>
      </c>
      <c r="AF28" s="29">
        <v>0</v>
      </c>
      <c r="AG28" s="29">
        <v>0</v>
      </c>
      <c r="AH28" s="29">
        <v>-13767.1269250887</v>
      </c>
      <c r="AI28" s="29">
        <v>0</v>
      </c>
      <c r="AJ28" s="29">
        <v>0</v>
      </c>
      <c r="AK28" s="29">
        <v>-13767.1269250921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4.4" x14ac:dyDescent="0.3">
      <c r="A29" s="27" t="s">
        <v>440</v>
      </c>
      <c r="B29" s="29">
        <v>0</v>
      </c>
      <c r="C29" s="29">
        <v>0</v>
      </c>
      <c r="D29" s="29">
        <v>-27312.477980024101</v>
      </c>
      <c r="E29" s="29">
        <v>0</v>
      </c>
      <c r="F29" s="29">
        <v>0</v>
      </c>
      <c r="G29" s="29">
        <v>-27312.477980023999</v>
      </c>
      <c r="H29" s="29">
        <v>0</v>
      </c>
      <c r="I29" s="29">
        <v>0</v>
      </c>
      <c r="J29" s="29">
        <v>-27312.477980025</v>
      </c>
      <c r="K29" s="29">
        <v>0</v>
      </c>
      <c r="L29" s="29">
        <v>0</v>
      </c>
      <c r="M29" s="29">
        <v>-27312.477980023599</v>
      </c>
      <c r="N29" s="29">
        <v>0</v>
      </c>
      <c r="O29" s="29">
        <v>0</v>
      </c>
      <c r="P29" s="29">
        <v>-55568.249662851202</v>
      </c>
      <c r="Q29" s="29">
        <v>0</v>
      </c>
      <c r="R29" s="29">
        <v>0</v>
      </c>
      <c r="S29" s="29">
        <v>-55568.249662819901</v>
      </c>
      <c r="T29" s="29">
        <v>0</v>
      </c>
      <c r="U29" s="29">
        <v>0</v>
      </c>
      <c r="V29" s="29">
        <v>-55568.249662820497</v>
      </c>
      <c r="W29" s="29">
        <v>0</v>
      </c>
      <c r="X29" s="29">
        <v>0</v>
      </c>
      <c r="Y29" s="29">
        <v>-55568.249662812501</v>
      </c>
      <c r="Z29" s="29">
        <v>0</v>
      </c>
      <c r="AA29" s="29">
        <v>0</v>
      </c>
      <c r="AB29" s="29">
        <v>-11951.873146608899</v>
      </c>
      <c r="AC29" s="29">
        <v>0</v>
      </c>
      <c r="AD29" s="29">
        <v>0</v>
      </c>
      <c r="AE29" s="29">
        <v>-11951.873146514599</v>
      </c>
      <c r="AF29" s="29">
        <v>0</v>
      </c>
      <c r="AG29" s="29">
        <v>0</v>
      </c>
      <c r="AH29" s="29">
        <v>-11951.873146513501</v>
      </c>
      <c r="AI29" s="29">
        <v>0</v>
      </c>
      <c r="AJ29" s="29">
        <v>0</v>
      </c>
      <c r="AK29" s="29">
        <v>-11951.873146517401</v>
      </c>
      <c r="AL29" s="29"/>
      <c r="AM29" s="29"/>
      <c r="AN29" s="29"/>
      <c r="AO29" s="29"/>
      <c r="AP29" s="29"/>
      <c r="AQ29" s="29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4.4" x14ac:dyDescent="0.3">
      <c r="A30" s="86" t="s">
        <v>441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10.199999999999999" x14ac:dyDescent="0.2">
      <c r="A31" s="27" t="s">
        <v>442</v>
      </c>
      <c r="B31" s="29">
        <v>2669.2990654999999</v>
      </c>
      <c r="C31" s="29">
        <v>1386.2133544999999</v>
      </c>
      <c r="D31" s="29">
        <v>-1663.20682152571</v>
      </c>
      <c r="E31" s="29">
        <v>516.26725149999902</v>
      </c>
      <c r="F31" s="29">
        <v>1343.3876505000001</v>
      </c>
      <c r="G31" s="29">
        <v>-1327.9009065257101</v>
      </c>
      <c r="H31" s="29">
        <v>1332.52811682333</v>
      </c>
      <c r="I31" s="29">
        <v>1412.76612808357</v>
      </c>
      <c r="J31" s="29">
        <v>-1759.6068442870401</v>
      </c>
      <c r="K31" s="29">
        <v>406.98060060264999</v>
      </c>
      <c r="L31" s="29">
        <v>1132.61937163896</v>
      </c>
      <c r="M31" s="29">
        <v>-1127.21655422914</v>
      </c>
      <c r="N31" s="29">
        <v>2030.22941933835</v>
      </c>
      <c r="O31" s="29">
        <v>1410.83234912899</v>
      </c>
      <c r="P31" s="29">
        <v>-2214.85644599137</v>
      </c>
      <c r="Q31" s="29">
        <v>502.86679403378298</v>
      </c>
      <c r="R31" s="29">
        <v>685.73503434911402</v>
      </c>
      <c r="S31" s="29">
        <v>-2257.7103111205802</v>
      </c>
      <c r="T31" s="29">
        <v>1246.80989630664</v>
      </c>
      <c r="U31" s="29">
        <v>1357.81926733513</v>
      </c>
      <c r="V31" s="29">
        <v>-2438.85059737948</v>
      </c>
      <c r="W31" s="29">
        <v>176.81307476432301</v>
      </c>
      <c r="X31" s="29">
        <v>728.02844963717496</v>
      </c>
      <c r="Y31" s="29">
        <v>-1839.5979811498501</v>
      </c>
      <c r="Z31" s="29">
        <v>1872.29270350763</v>
      </c>
      <c r="AA31" s="29">
        <v>1332.2374846848199</v>
      </c>
      <c r="AB31" s="29">
        <v>-1439.8787847267399</v>
      </c>
      <c r="AC31" s="29">
        <v>169.13967868377799</v>
      </c>
      <c r="AD31" s="29">
        <v>602.86577457315195</v>
      </c>
      <c r="AE31" s="29">
        <v>-1423.5469349198499</v>
      </c>
      <c r="AF31" s="29">
        <v>1117.7394057357501</v>
      </c>
      <c r="AG31" s="29">
        <v>1281.27305292969</v>
      </c>
      <c r="AH31" s="29">
        <v>-1436.41132667037</v>
      </c>
      <c r="AI31" s="29">
        <v>123.938859438419</v>
      </c>
      <c r="AJ31" s="29">
        <v>561.72908519863199</v>
      </c>
      <c r="AK31" s="29">
        <v>-957.54638804771002</v>
      </c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10.199999999999999" x14ac:dyDescent="0.2">
      <c r="A32" s="27" t="s">
        <v>443</v>
      </c>
      <c r="B32" s="29">
        <v>8.1439041666666494</v>
      </c>
      <c r="C32" s="29">
        <v>8.1439041666666494</v>
      </c>
      <c r="D32" s="29">
        <v>2669.3140826927101</v>
      </c>
      <c r="E32" s="29">
        <v>8.1439041666666494</v>
      </c>
      <c r="F32" s="29">
        <v>8.1439041666666494</v>
      </c>
      <c r="G32" s="29">
        <v>2342.8800826927099</v>
      </c>
      <c r="H32" s="29">
        <v>8.1439041666666494</v>
      </c>
      <c r="I32" s="29">
        <v>8.1439041666666494</v>
      </c>
      <c r="J32" s="29">
        <v>2600.6430538335899</v>
      </c>
      <c r="K32" s="29">
        <v>8.1439041666666494</v>
      </c>
      <c r="L32" s="29">
        <v>8.1439041666666494</v>
      </c>
      <c r="M32" s="29">
        <v>2537.6124064063101</v>
      </c>
      <c r="N32" s="29">
        <v>8.1439041666666494</v>
      </c>
      <c r="O32" s="29">
        <v>8.1439041666666494</v>
      </c>
      <c r="P32" s="29">
        <v>2865.6832748217698</v>
      </c>
      <c r="Q32" s="29">
        <v>8.1439041666666494</v>
      </c>
      <c r="R32" s="29">
        <v>6.7352875000000001</v>
      </c>
      <c r="S32" s="29">
        <v>2864.2746581535598</v>
      </c>
      <c r="T32" s="29">
        <v>6.7352875000000001</v>
      </c>
      <c r="U32" s="29">
        <v>6.7352875000000001</v>
      </c>
      <c r="V32" s="29">
        <v>2864.2746581536098</v>
      </c>
      <c r="W32" s="29">
        <v>6.7352875000000001</v>
      </c>
      <c r="X32" s="29">
        <v>6.7352875000000001</v>
      </c>
      <c r="Y32" s="29">
        <v>2864.2746581532201</v>
      </c>
      <c r="Z32" s="29">
        <v>6.7352875000000001</v>
      </c>
      <c r="AA32" s="29">
        <v>6.7352875000000001</v>
      </c>
      <c r="AB32" s="29">
        <v>1801.78320357754</v>
      </c>
      <c r="AC32" s="29">
        <v>6.7352875000000001</v>
      </c>
      <c r="AD32" s="29">
        <v>6.7352875000000001</v>
      </c>
      <c r="AE32" s="29">
        <v>1801.7832035729</v>
      </c>
      <c r="AF32" s="29">
        <v>6.7352875000000001</v>
      </c>
      <c r="AG32" s="29">
        <v>6.7352875000000001</v>
      </c>
      <c r="AH32" s="29">
        <v>1801.78320357291</v>
      </c>
      <c r="AI32" s="29">
        <v>6.7352875000000001</v>
      </c>
      <c r="AJ32" s="29">
        <v>6.7352875000000001</v>
      </c>
      <c r="AK32" s="29">
        <v>1801.7832035730801</v>
      </c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14.4" x14ac:dyDescent="0.3">
      <c r="A33" s="27" t="s">
        <v>444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4.4" x14ac:dyDescent="0.3">
      <c r="A34" s="86" t="s">
        <v>445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0.199999999999999" x14ac:dyDescent="0.2">
      <c r="A35" s="27" t="s">
        <v>446</v>
      </c>
      <c r="B35" s="29">
        <v>56224.573660000002</v>
      </c>
      <c r="C35" s="29">
        <v>30542.315050000001</v>
      </c>
      <c r="D35" s="29">
        <v>25200.894029999999</v>
      </c>
      <c r="E35" s="29">
        <v>13150.1846199999</v>
      </c>
      <c r="F35" s="29">
        <v>29721.90249</v>
      </c>
      <c r="G35" s="29">
        <v>31871.734369999998</v>
      </c>
      <c r="H35" s="29">
        <v>29443.400166637301</v>
      </c>
      <c r="I35" s="29">
        <v>31020.473982993299</v>
      </c>
      <c r="J35" s="29">
        <v>23182.601916148898</v>
      </c>
      <c r="K35" s="29">
        <v>10896.5107460214</v>
      </c>
      <c r="L35" s="29">
        <v>25420.345270305999</v>
      </c>
      <c r="M35" s="29">
        <v>35832.950802686602</v>
      </c>
      <c r="N35" s="29">
        <v>43389.204134525302</v>
      </c>
      <c r="O35" s="29">
        <v>30998.1024313618</v>
      </c>
      <c r="P35" s="29">
        <v>22925.552729343701</v>
      </c>
      <c r="Q35" s="29">
        <v>12835.9099887794</v>
      </c>
      <c r="R35" s="29">
        <v>16490.9755553871</v>
      </c>
      <c r="S35" s="29">
        <v>22068.979146740501</v>
      </c>
      <c r="T35" s="29">
        <v>27708.718350766401</v>
      </c>
      <c r="U35" s="29">
        <v>29933.298944577102</v>
      </c>
      <c r="V35" s="29">
        <v>18435.628722870799</v>
      </c>
      <c r="W35" s="29">
        <v>6307.2110581338202</v>
      </c>
      <c r="X35" s="29">
        <v>17342.997852603999</v>
      </c>
      <c r="Y35" s="29">
        <v>30401.821421866302</v>
      </c>
      <c r="Z35" s="29">
        <v>40227.7425972005</v>
      </c>
      <c r="AA35" s="29">
        <v>29426.4904011086</v>
      </c>
      <c r="AB35" s="29">
        <v>17572.8752539487</v>
      </c>
      <c r="AC35" s="29">
        <v>6160.4879584407699</v>
      </c>
      <c r="AD35" s="29">
        <v>14837.951994463599</v>
      </c>
      <c r="AE35" s="29">
        <v>17900.549601175298</v>
      </c>
      <c r="AF35" s="29">
        <v>25128.538413304199</v>
      </c>
      <c r="AG35" s="29">
        <v>28404.9723177712</v>
      </c>
      <c r="AH35" s="29">
        <v>17634.085254215701</v>
      </c>
      <c r="AI35" s="29">
        <v>5252.5285735336001</v>
      </c>
      <c r="AJ35" s="29">
        <v>14018.666009914199</v>
      </c>
      <c r="AK35" s="29">
        <v>27192.9482396024</v>
      </c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ht="14.4" x14ac:dyDescent="0.3">
      <c r="A36" s="27" t="s">
        <v>447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/>
      <c r="AM36" s="29"/>
      <c r="AN36" s="29"/>
      <c r="AO36" s="29"/>
      <c r="AP36" s="29"/>
      <c r="AQ36" s="3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14.4" x14ac:dyDescent="0.3">
      <c r="A37" s="27" t="s">
        <v>448</v>
      </c>
      <c r="B37" s="29">
        <v>-138.59234999999899</v>
      </c>
      <c r="C37" s="29">
        <v>-118.04796</v>
      </c>
      <c r="D37" s="29">
        <v>147.69310999999999</v>
      </c>
      <c r="E37" s="29">
        <v>-124.83959</v>
      </c>
      <c r="F37" s="29">
        <v>-154.14948000000001</v>
      </c>
      <c r="G37" s="29">
        <v>182.971069999999</v>
      </c>
      <c r="H37" s="29">
        <v>-92.837830170677506</v>
      </c>
      <c r="I37" s="29">
        <v>-65.151421321855196</v>
      </c>
      <c r="J37" s="29">
        <v>237.984768632407</v>
      </c>
      <c r="K37" s="29">
        <v>-56.898733968431898</v>
      </c>
      <c r="L37" s="29">
        <v>-67.957837526806301</v>
      </c>
      <c r="M37" s="29">
        <v>235.44168325141499</v>
      </c>
      <c r="N37" s="29">
        <v>-84.615747758153503</v>
      </c>
      <c r="O37" s="29">
        <v>-81.455448781974297</v>
      </c>
      <c r="P37" s="29">
        <v>206.398257388503</v>
      </c>
      <c r="Q37" s="29">
        <v>-78.574108103790394</v>
      </c>
      <c r="R37" s="29">
        <v>-76.274868404835004</v>
      </c>
      <c r="S37" s="29">
        <v>205.894537451335</v>
      </c>
      <c r="T37" s="29">
        <v>-72.520424633528705</v>
      </c>
      <c r="U37" s="29">
        <v>-76.913597874475002</v>
      </c>
      <c r="V37" s="29">
        <v>216.439236151172</v>
      </c>
      <c r="W37" s="29">
        <v>-70.949562847355395</v>
      </c>
      <c r="X37" s="29">
        <v>-82.428859860558404</v>
      </c>
      <c r="Y37" s="29">
        <v>235.29886173299201</v>
      </c>
      <c r="Z37" s="29">
        <v>-81.888527047804899</v>
      </c>
      <c r="AA37" s="29">
        <v>-81.740707412089094</v>
      </c>
      <c r="AB37" s="29">
        <v>208.406238648168</v>
      </c>
      <c r="AC37" s="29">
        <v>-77.694384765217393</v>
      </c>
      <c r="AD37" s="29">
        <v>-80.636503000636196</v>
      </c>
      <c r="AE37" s="29">
        <v>207.368887604625</v>
      </c>
      <c r="AF37" s="29">
        <v>-73.750298589183402</v>
      </c>
      <c r="AG37" s="29">
        <v>-79.511259177377099</v>
      </c>
      <c r="AH37" s="29">
        <v>216.545399551034</v>
      </c>
      <c r="AI37" s="29">
        <v>-73.751384765217395</v>
      </c>
      <c r="AJ37" s="29">
        <v>-84.084305941604796</v>
      </c>
      <c r="AK37" s="29">
        <v>234.981186600336</v>
      </c>
      <c r="AL37" s="29"/>
      <c r="AM37" s="29"/>
      <c r="AN37" s="29"/>
      <c r="AO37" s="29"/>
      <c r="AP37" s="29"/>
      <c r="AQ37" s="29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4.4" x14ac:dyDescent="0.3">
      <c r="A38" s="27" t="s">
        <v>449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/>
      <c r="AM38" s="29"/>
      <c r="AN38" s="29"/>
      <c r="AO38" s="29"/>
      <c r="AP38" s="29"/>
      <c r="AQ38" s="3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6" ht="14.4" x14ac:dyDescent="0.3">
      <c r="A39" s="27" t="s">
        <v>450</v>
      </c>
      <c r="B39" s="29">
        <v>0</v>
      </c>
      <c r="C39" s="29">
        <v>0</v>
      </c>
      <c r="D39" s="29">
        <v>26506.143</v>
      </c>
      <c r="E39" s="29">
        <v>0</v>
      </c>
      <c r="F39" s="29">
        <v>0</v>
      </c>
      <c r="G39" s="29">
        <v>14385.425999999999</v>
      </c>
      <c r="H39" s="29">
        <v>0</v>
      </c>
      <c r="I39" s="29">
        <v>0</v>
      </c>
      <c r="J39" s="29">
        <v>-87340.901264999993</v>
      </c>
      <c r="K39" s="29">
        <v>0</v>
      </c>
      <c r="L39" s="29">
        <v>0</v>
      </c>
      <c r="M39" s="29">
        <v>-15483.110755</v>
      </c>
      <c r="N39" s="29">
        <v>0</v>
      </c>
      <c r="O39" s="29">
        <v>0</v>
      </c>
      <c r="P39" s="29">
        <v>-4298.5005549999996</v>
      </c>
      <c r="Q39" s="29">
        <v>0</v>
      </c>
      <c r="R39" s="29">
        <v>0</v>
      </c>
      <c r="S39" s="29">
        <v>-4298.5005549999996</v>
      </c>
      <c r="T39" s="29">
        <v>0</v>
      </c>
      <c r="U39" s="29">
        <v>0</v>
      </c>
      <c r="V39" s="29">
        <v>-4298.5005549999996</v>
      </c>
      <c r="W39" s="29">
        <v>0</v>
      </c>
      <c r="X39" s="29">
        <v>0</v>
      </c>
      <c r="Y39" s="29">
        <v>-4298.5005549999996</v>
      </c>
      <c r="Z39" s="29">
        <v>0</v>
      </c>
      <c r="AA39" s="29">
        <v>0</v>
      </c>
      <c r="AB39" s="29">
        <v>1483.58275</v>
      </c>
      <c r="AC39" s="29">
        <v>0</v>
      </c>
      <c r="AD39" s="29">
        <v>0</v>
      </c>
      <c r="AE39" s="29">
        <v>1483.58275</v>
      </c>
      <c r="AF39" s="29">
        <v>0</v>
      </c>
      <c r="AG39" s="29">
        <v>0</v>
      </c>
      <c r="AH39" s="29">
        <v>1483.58275</v>
      </c>
      <c r="AI39" s="29">
        <v>0</v>
      </c>
      <c r="AJ39" s="29">
        <v>0</v>
      </c>
      <c r="AK39" s="29">
        <v>1483.58275</v>
      </c>
      <c r="AL39" s="29"/>
      <c r="AM39" s="29"/>
      <c r="AN39" s="29"/>
      <c r="AO39" s="29"/>
      <c r="AP39" s="29"/>
      <c r="AQ39" s="3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1:56" ht="10.199999999999999" x14ac:dyDescent="0.2">
      <c r="A40" s="27" t="s">
        <v>451</v>
      </c>
      <c r="B40" s="29">
        <v>0</v>
      </c>
      <c r="C40" s="29">
        <v>0</v>
      </c>
      <c r="D40" s="29">
        <v>-29866.378194763201</v>
      </c>
      <c r="E40" s="29">
        <v>0</v>
      </c>
      <c r="F40" s="29">
        <v>0</v>
      </c>
      <c r="G40" s="29">
        <v>-29866.378194763201</v>
      </c>
      <c r="H40" s="29">
        <v>0</v>
      </c>
      <c r="I40" s="29">
        <v>0</v>
      </c>
      <c r="J40" s="29">
        <v>-29866.3781947645</v>
      </c>
      <c r="K40" s="29">
        <v>0</v>
      </c>
      <c r="L40" s="29">
        <v>0</v>
      </c>
      <c r="M40" s="29">
        <v>-29866.3781947631</v>
      </c>
      <c r="N40" s="29">
        <v>0</v>
      </c>
      <c r="O40" s="29">
        <v>0</v>
      </c>
      <c r="P40" s="29">
        <v>-58447.403512672397</v>
      </c>
      <c r="Q40" s="29">
        <v>0</v>
      </c>
      <c r="R40" s="29">
        <v>0</v>
      </c>
      <c r="S40" s="29">
        <v>-58447.403512641598</v>
      </c>
      <c r="T40" s="29">
        <v>0</v>
      </c>
      <c r="U40" s="29">
        <v>0</v>
      </c>
      <c r="V40" s="29">
        <v>-58447.403512642501</v>
      </c>
      <c r="W40" s="29">
        <v>0</v>
      </c>
      <c r="X40" s="29">
        <v>0</v>
      </c>
      <c r="Y40" s="29">
        <v>-58447.403512634701</v>
      </c>
      <c r="Z40" s="29">
        <v>0</v>
      </c>
      <c r="AA40" s="29">
        <v>0</v>
      </c>
      <c r="AB40" s="29">
        <v>-13767.126925181399</v>
      </c>
      <c r="AC40" s="29">
        <v>0</v>
      </c>
      <c r="AD40" s="29">
        <v>0</v>
      </c>
      <c r="AE40" s="29">
        <v>-13767.1269250885</v>
      </c>
      <c r="AF40" s="29">
        <v>0</v>
      </c>
      <c r="AG40" s="29">
        <v>0</v>
      </c>
      <c r="AH40" s="29">
        <v>-13767.1269250887</v>
      </c>
      <c r="AI40" s="29">
        <v>0</v>
      </c>
      <c r="AJ40" s="29">
        <v>0</v>
      </c>
      <c r="AK40" s="29">
        <v>-13767.1269250921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56" ht="14.4" x14ac:dyDescent="0.3">
      <c r="A41" s="27" t="s">
        <v>452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10.199999999999999" x14ac:dyDescent="0.2">
      <c r="A42" s="27" t="s">
        <v>453</v>
      </c>
      <c r="B42" s="29">
        <v>-2669.2990654999999</v>
      </c>
      <c r="C42" s="29">
        <v>-1386.2133544999999</v>
      </c>
      <c r="D42" s="29">
        <v>1663.20682152571</v>
      </c>
      <c r="E42" s="29">
        <v>-516.26725149999902</v>
      </c>
      <c r="F42" s="29">
        <v>-1343.3876505000001</v>
      </c>
      <c r="G42" s="29">
        <v>1327.9009065257101</v>
      </c>
      <c r="H42" s="29">
        <v>-1332.52811682333</v>
      </c>
      <c r="I42" s="29">
        <v>-1412.76612808357</v>
      </c>
      <c r="J42" s="29">
        <v>1759.6068442870401</v>
      </c>
      <c r="K42" s="29">
        <v>-406.98060060264999</v>
      </c>
      <c r="L42" s="29">
        <v>-1132.61937163896</v>
      </c>
      <c r="M42" s="29">
        <v>1127.21655422914</v>
      </c>
      <c r="N42" s="29">
        <v>-2030.22941933835</v>
      </c>
      <c r="O42" s="29">
        <v>-1410.83234912899</v>
      </c>
      <c r="P42" s="29">
        <v>2214.85644599137</v>
      </c>
      <c r="Q42" s="29">
        <v>-502.86679403378298</v>
      </c>
      <c r="R42" s="29">
        <v>-685.73503434911402</v>
      </c>
      <c r="S42" s="29">
        <v>2257.7103111205802</v>
      </c>
      <c r="T42" s="29">
        <v>-1246.80989630664</v>
      </c>
      <c r="U42" s="29">
        <v>-1357.81926733513</v>
      </c>
      <c r="V42" s="29">
        <v>2438.85059737948</v>
      </c>
      <c r="W42" s="29">
        <v>-176.81307476432301</v>
      </c>
      <c r="X42" s="29">
        <v>-728.02844963717496</v>
      </c>
      <c r="Y42" s="29">
        <v>1839.5979811498501</v>
      </c>
      <c r="Z42" s="29">
        <v>-1872.29270350763</v>
      </c>
      <c r="AA42" s="29">
        <v>-1332.2374846848199</v>
      </c>
      <c r="AB42" s="29">
        <v>1439.8787847267399</v>
      </c>
      <c r="AC42" s="29">
        <v>-169.13967868377799</v>
      </c>
      <c r="AD42" s="29">
        <v>-602.86577457315195</v>
      </c>
      <c r="AE42" s="29">
        <v>1423.5469349198499</v>
      </c>
      <c r="AF42" s="29">
        <v>-1117.7394057357501</v>
      </c>
      <c r="AG42" s="29">
        <v>-1281.27305292969</v>
      </c>
      <c r="AH42" s="29">
        <v>1436.41132667037</v>
      </c>
      <c r="AI42" s="29">
        <v>-123.938859438419</v>
      </c>
      <c r="AJ42" s="29">
        <v>-561.72908519863199</v>
      </c>
      <c r="AK42" s="29">
        <v>957.54638804771002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10.199999999999999" x14ac:dyDescent="0.2">
      <c r="A43" s="27" t="s">
        <v>454</v>
      </c>
      <c r="B43" s="29">
        <v>53416.6822445</v>
      </c>
      <c r="C43" s="29">
        <v>29038.053735500001</v>
      </c>
      <c r="D43" s="29">
        <v>23651.558766762399</v>
      </c>
      <c r="E43" s="29">
        <v>12509.077778499901</v>
      </c>
      <c r="F43" s="29">
        <v>28224.3653595</v>
      </c>
      <c r="G43" s="29">
        <v>17901.654151762399</v>
      </c>
      <c r="H43" s="29">
        <v>28018.034219643301</v>
      </c>
      <c r="I43" s="29">
        <v>29542.556433587801</v>
      </c>
      <c r="J43" s="29">
        <v>-92027.085930696107</v>
      </c>
      <c r="K43" s="29">
        <v>10432.6314114503</v>
      </c>
      <c r="L43" s="29">
        <v>24219.768061140301</v>
      </c>
      <c r="M43" s="29">
        <v>-8153.8799095959503</v>
      </c>
      <c r="N43" s="29">
        <v>41274.358967428801</v>
      </c>
      <c r="O43" s="29">
        <v>29505.814633450798</v>
      </c>
      <c r="P43" s="29">
        <v>-37399.096634948801</v>
      </c>
      <c r="Q43" s="29">
        <v>12254.4690866418</v>
      </c>
      <c r="R43" s="29">
        <v>15728.9656526331</v>
      </c>
      <c r="S43" s="29">
        <v>-38213.320072329101</v>
      </c>
      <c r="T43" s="29">
        <v>26389.388029826201</v>
      </c>
      <c r="U43" s="29">
        <v>28498.566079367502</v>
      </c>
      <c r="V43" s="29">
        <v>-41654.985511241</v>
      </c>
      <c r="W43" s="29">
        <v>6059.4484205221397</v>
      </c>
      <c r="X43" s="29">
        <v>16532.540543106301</v>
      </c>
      <c r="Y43" s="29">
        <v>-30269.185802885499</v>
      </c>
      <c r="Z43" s="29">
        <v>38273.561366645103</v>
      </c>
      <c r="AA43" s="29">
        <v>28012.5122090117</v>
      </c>
      <c r="AB43" s="29">
        <v>6937.6161021421603</v>
      </c>
      <c r="AC43" s="29">
        <v>5913.6538949917804</v>
      </c>
      <c r="AD43" s="29">
        <v>14154.4497168898</v>
      </c>
      <c r="AE43" s="29">
        <v>7247.9212486112501</v>
      </c>
      <c r="AF43" s="29">
        <v>23937.048708979299</v>
      </c>
      <c r="AG43" s="29">
        <v>27044.188005664098</v>
      </c>
      <c r="AH43" s="29">
        <v>7003.4978053484001</v>
      </c>
      <c r="AI43" s="29">
        <v>5054.8383293299603</v>
      </c>
      <c r="AJ43" s="29">
        <v>13372.852618774001</v>
      </c>
      <c r="AK43" s="29">
        <v>16101.9316391582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s="89" customFormat="1" ht="14.4" x14ac:dyDescent="0.3">
      <c r="A44" s="27" t="s">
        <v>455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/>
      <c r="AM44" s="29"/>
      <c r="AN44" s="29"/>
      <c r="AO44" s="29"/>
      <c r="AP44" s="29"/>
      <c r="AQ44" s="3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</row>
    <row r="45" spans="1:56" ht="10.199999999999999" x14ac:dyDescent="0.2">
      <c r="A45" s="27" t="s">
        <v>456</v>
      </c>
      <c r="B45" s="29">
        <v>0</v>
      </c>
      <c r="C45" s="29">
        <v>0</v>
      </c>
      <c r="D45" s="29">
        <v>-15352.6</v>
      </c>
      <c r="E45" s="29">
        <v>0</v>
      </c>
      <c r="F45" s="29">
        <v>0</v>
      </c>
      <c r="G45" s="29">
        <v>-15352.6</v>
      </c>
      <c r="H45" s="29">
        <v>0</v>
      </c>
      <c r="I45" s="29">
        <v>0</v>
      </c>
      <c r="J45" s="29">
        <v>-24352.599249999999</v>
      </c>
      <c r="K45" s="29">
        <v>0</v>
      </c>
      <c r="L45" s="29">
        <v>0</v>
      </c>
      <c r="M45" s="29">
        <v>-18352.599750000001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ht="14.4" x14ac:dyDescent="0.3">
      <c r="A46" s="27" t="s">
        <v>457</v>
      </c>
      <c r="B46" s="29">
        <v>53416.6822445</v>
      </c>
      <c r="C46" s="29">
        <v>29038.053735500001</v>
      </c>
      <c r="D46" s="29">
        <v>8298.9587667624201</v>
      </c>
      <c r="E46" s="29">
        <v>12509.077778499901</v>
      </c>
      <c r="F46" s="29">
        <v>28224.3653595</v>
      </c>
      <c r="G46" s="29">
        <v>2549.0541517624201</v>
      </c>
      <c r="H46" s="29">
        <v>28018.034219643301</v>
      </c>
      <c r="I46" s="29">
        <v>29542.556433587801</v>
      </c>
      <c r="J46" s="29">
        <v>-116379.685180696</v>
      </c>
      <c r="K46" s="29">
        <v>10432.6314114503</v>
      </c>
      <c r="L46" s="29">
        <v>24219.768061140301</v>
      </c>
      <c r="M46" s="29">
        <v>-26506.479659595901</v>
      </c>
      <c r="N46" s="29">
        <v>41274.358967428801</v>
      </c>
      <c r="O46" s="29">
        <v>29505.814633450798</v>
      </c>
      <c r="P46" s="29">
        <v>-37399.096634948801</v>
      </c>
      <c r="Q46" s="29">
        <v>12254.4690866418</v>
      </c>
      <c r="R46" s="29">
        <v>15728.9656526331</v>
      </c>
      <c r="S46" s="29">
        <v>-38213.320072329101</v>
      </c>
      <c r="T46" s="29">
        <v>26389.388029826201</v>
      </c>
      <c r="U46" s="29">
        <v>28498.566079367502</v>
      </c>
      <c r="V46" s="29">
        <v>-41654.985511241</v>
      </c>
      <c r="W46" s="29">
        <v>6059.4484205221397</v>
      </c>
      <c r="X46" s="29">
        <v>16532.540543106301</v>
      </c>
      <c r="Y46" s="29">
        <v>-30269.185802885499</v>
      </c>
      <c r="Z46" s="29">
        <v>38273.561366645103</v>
      </c>
      <c r="AA46" s="29">
        <v>28012.5122090117</v>
      </c>
      <c r="AB46" s="29">
        <v>6937.6161021421603</v>
      </c>
      <c r="AC46" s="29">
        <v>5913.6538949917804</v>
      </c>
      <c r="AD46" s="29">
        <v>14154.4497168898</v>
      </c>
      <c r="AE46" s="29">
        <v>7247.9212486112501</v>
      </c>
      <c r="AF46" s="29">
        <v>23937.048708979299</v>
      </c>
      <c r="AG46" s="29">
        <v>27044.188005664098</v>
      </c>
      <c r="AH46" s="29">
        <v>7003.4978053484001</v>
      </c>
      <c r="AI46" s="29">
        <v>5054.8383293299603</v>
      </c>
      <c r="AJ46" s="29">
        <v>13372.852618774001</v>
      </c>
      <c r="AK46" s="29">
        <v>16101.9316391582</v>
      </c>
      <c r="AL46" s="29"/>
      <c r="AM46" s="29"/>
      <c r="AN46" s="29"/>
      <c r="AO46" s="29"/>
      <c r="AP46" s="29"/>
      <c r="AQ46" s="29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0.199999999999999" x14ac:dyDescent="0.2">
      <c r="A47" s="90" t="s">
        <v>458</v>
      </c>
      <c r="B47" s="88">
        <v>0.21</v>
      </c>
      <c r="C47" s="88">
        <v>0.21</v>
      </c>
      <c r="D47" s="88">
        <v>0.21</v>
      </c>
      <c r="E47" s="88">
        <v>0.21</v>
      </c>
      <c r="F47" s="88">
        <v>0.21</v>
      </c>
      <c r="G47" s="88">
        <v>0.21</v>
      </c>
      <c r="H47" s="88">
        <v>0.21</v>
      </c>
      <c r="I47" s="88">
        <v>0.21</v>
      </c>
      <c r="J47" s="88">
        <v>0.21</v>
      </c>
      <c r="K47" s="88">
        <v>0.21</v>
      </c>
      <c r="L47" s="88">
        <v>0.21</v>
      </c>
      <c r="M47" s="88">
        <v>0.21</v>
      </c>
      <c r="N47" s="88">
        <v>0.21</v>
      </c>
      <c r="O47" s="88">
        <v>0.21</v>
      </c>
      <c r="P47" s="88">
        <v>0.21</v>
      </c>
      <c r="Q47" s="88">
        <v>0.21</v>
      </c>
      <c r="R47" s="88">
        <v>0.21</v>
      </c>
      <c r="S47" s="88">
        <v>0.21</v>
      </c>
      <c r="T47" s="88">
        <v>0.21</v>
      </c>
      <c r="U47" s="88">
        <v>0.21</v>
      </c>
      <c r="V47" s="88">
        <v>0.21</v>
      </c>
      <c r="W47" s="88">
        <v>0.21</v>
      </c>
      <c r="X47" s="88">
        <v>0.21</v>
      </c>
      <c r="Y47" s="88">
        <v>0.21</v>
      </c>
      <c r="Z47" s="88">
        <v>0.21</v>
      </c>
      <c r="AA47" s="88">
        <v>0.21</v>
      </c>
      <c r="AB47" s="88">
        <v>0.21</v>
      </c>
      <c r="AC47" s="88">
        <v>0.21</v>
      </c>
      <c r="AD47" s="88">
        <v>0.21</v>
      </c>
      <c r="AE47" s="88">
        <v>0.21</v>
      </c>
      <c r="AF47" s="88">
        <v>0.21</v>
      </c>
      <c r="AG47" s="88">
        <v>0.21</v>
      </c>
      <c r="AH47" s="88">
        <v>0.21</v>
      </c>
      <c r="AI47" s="88">
        <v>0.21</v>
      </c>
      <c r="AJ47" s="88">
        <v>0.21</v>
      </c>
      <c r="AK47" s="88">
        <v>0.21</v>
      </c>
      <c r="AL47" s="88"/>
      <c r="AM47" s="88"/>
      <c r="AN47" s="88"/>
      <c r="AO47" s="88"/>
      <c r="AP47" s="88"/>
      <c r="AQ47" s="88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6" ht="10.199999999999999" x14ac:dyDescent="0.2">
      <c r="A48" s="27" t="s">
        <v>459</v>
      </c>
      <c r="B48" s="29">
        <v>11217.503271345</v>
      </c>
      <c r="C48" s="29">
        <v>6097.9912844549999</v>
      </c>
      <c r="D48" s="29">
        <v>1742.7813410200999</v>
      </c>
      <c r="E48" s="29">
        <v>2626.9063334849898</v>
      </c>
      <c r="F48" s="29">
        <v>5927.1167254949996</v>
      </c>
      <c r="G48" s="29">
        <v>535.30137187010905</v>
      </c>
      <c r="H48" s="29">
        <v>5883.7871861250896</v>
      </c>
      <c r="I48" s="29">
        <v>6203.9368510534496</v>
      </c>
      <c r="J48" s="29">
        <v>-24439.733887946099</v>
      </c>
      <c r="K48" s="29">
        <v>2190.8525964045698</v>
      </c>
      <c r="L48" s="29">
        <v>5086.1512928394604</v>
      </c>
      <c r="M48" s="29">
        <v>-5566.3607285151502</v>
      </c>
      <c r="N48" s="29">
        <v>8667.6153831600495</v>
      </c>
      <c r="O48" s="29">
        <v>6196.2210730246798</v>
      </c>
      <c r="P48" s="29">
        <v>-7853.8102933392502</v>
      </c>
      <c r="Q48" s="29">
        <v>2573.4385081947898</v>
      </c>
      <c r="R48" s="29">
        <v>3303.0827870529602</v>
      </c>
      <c r="S48" s="29">
        <v>-8024.7972151891099</v>
      </c>
      <c r="T48" s="29">
        <v>5541.7714862635103</v>
      </c>
      <c r="U48" s="29">
        <v>5984.6988766671702</v>
      </c>
      <c r="V48" s="29">
        <v>-8747.5469573606206</v>
      </c>
      <c r="W48" s="29">
        <v>1272.4841683096399</v>
      </c>
      <c r="X48" s="29">
        <v>3471.83351405233</v>
      </c>
      <c r="Y48" s="29">
        <v>-6356.5290186059601</v>
      </c>
      <c r="Z48" s="29">
        <v>8037.4478869954701</v>
      </c>
      <c r="AA48" s="29">
        <v>5882.6275638924699</v>
      </c>
      <c r="AB48" s="29">
        <v>1456.8993814498499</v>
      </c>
      <c r="AC48" s="29">
        <v>1241.8673179482701</v>
      </c>
      <c r="AD48" s="29">
        <v>2972.4344405468701</v>
      </c>
      <c r="AE48" s="29">
        <v>1522.0634622083601</v>
      </c>
      <c r="AF48" s="29">
        <v>5026.7802288856601</v>
      </c>
      <c r="AG48" s="29">
        <v>5679.2794811894701</v>
      </c>
      <c r="AH48" s="29">
        <v>1470.7345391231599</v>
      </c>
      <c r="AI48" s="29">
        <v>1061.5160491592901</v>
      </c>
      <c r="AJ48" s="29">
        <v>2808.29904994254</v>
      </c>
      <c r="AK48" s="29">
        <v>3381.40564422323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1:56" ht="14.4" x14ac:dyDescent="0.3">
      <c r="A49" s="27" t="s">
        <v>460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4.4" x14ac:dyDescent="0.3">
      <c r="A50" s="27" t="s">
        <v>461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/>
      <c r="AM50" s="29"/>
      <c r="AN50" s="29"/>
      <c r="AO50" s="29"/>
      <c r="AP50" s="29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4.4" x14ac:dyDescent="0.3">
      <c r="A51" s="27" t="s">
        <v>462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/>
      <c r="AM51" s="29"/>
      <c r="AN51" s="29"/>
      <c r="AO51" s="29"/>
      <c r="AP51" s="29"/>
      <c r="AQ51" s="3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4.4" x14ac:dyDescent="0.3">
      <c r="A52" s="27" t="s">
        <v>463</v>
      </c>
      <c r="B52" s="29">
        <v>0</v>
      </c>
      <c r="C52" s="29">
        <v>0</v>
      </c>
      <c r="D52" s="29">
        <v>-1153</v>
      </c>
      <c r="E52" s="29">
        <v>0</v>
      </c>
      <c r="F52" s="29">
        <v>0</v>
      </c>
      <c r="G52" s="29">
        <v>-1153</v>
      </c>
      <c r="H52" s="29">
        <v>0</v>
      </c>
      <c r="I52" s="29">
        <v>0</v>
      </c>
      <c r="J52" s="29">
        <v>-1153</v>
      </c>
      <c r="K52" s="29">
        <v>0</v>
      </c>
      <c r="L52" s="29">
        <v>0</v>
      </c>
      <c r="M52" s="29">
        <v>-1153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/>
      <c r="AM52" s="29"/>
      <c r="AN52" s="29"/>
      <c r="AO52" s="29"/>
      <c r="AP52" s="29"/>
      <c r="AQ52" s="29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0.199999999999999" x14ac:dyDescent="0.2">
      <c r="A53" s="27" t="s">
        <v>464</v>
      </c>
      <c r="B53" s="29">
        <v>0</v>
      </c>
      <c r="C53" s="29">
        <v>0</v>
      </c>
      <c r="D53" s="29">
        <v>-304.1035</v>
      </c>
      <c r="E53" s="29">
        <v>0</v>
      </c>
      <c r="F53" s="29">
        <v>0</v>
      </c>
      <c r="G53" s="29">
        <v>-304.1035</v>
      </c>
      <c r="H53" s="29">
        <v>0</v>
      </c>
      <c r="I53" s="29">
        <v>0</v>
      </c>
      <c r="J53" s="29">
        <v>-304.1035</v>
      </c>
      <c r="K53" s="29">
        <v>0</v>
      </c>
      <c r="L53" s="29">
        <v>0</v>
      </c>
      <c r="M53" s="29">
        <v>-304.1035</v>
      </c>
      <c r="N53" s="29">
        <v>0</v>
      </c>
      <c r="O53" s="29">
        <v>0</v>
      </c>
      <c r="P53" s="29">
        <v>-66.25</v>
      </c>
      <c r="Q53" s="29">
        <v>0</v>
      </c>
      <c r="R53" s="29">
        <v>0</v>
      </c>
      <c r="S53" s="29">
        <v>-66.25</v>
      </c>
      <c r="T53" s="29">
        <v>0</v>
      </c>
      <c r="U53" s="29">
        <v>0</v>
      </c>
      <c r="V53" s="29">
        <v>-66.25</v>
      </c>
      <c r="W53" s="29">
        <v>0</v>
      </c>
      <c r="X53" s="29">
        <v>0</v>
      </c>
      <c r="Y53" s="29">
        <v>-66.25</v>
      </c>
      <c r="Z53" s="29">
        <v>0</v>
      </c>
      <c r="AA53" s="29">
        <v>0</v>
      </c>
      <c r="AB53" s="29">
        <v>-66.25</v>
      </c>
      <c r="AC53" s="29">
        <v>0</v>
      </c>
      <c r="AD53" s="29">
        <v>0</v>
      </c>
      <c r="AE53" s="29">
        <v>-66.25</v>
      </c>
      <c r="AF53" s="29">
        <v>0</v>
      </c>
      <c r="AG53" s="29">
        <v>0</v>
      </c>
      <c r="AH53" s="29">
        <v>-66.25</v>
      </c>
      <c r="AI53" s="29">
        <v>0</v>
      </c>
      <c r="AJ53" s="29">
        <v>0</v>
      </c>
      <c r="AK53" s="29">
        <v>-66.25</v>
      </c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0.199999999999999" x14ac:dyDescent="0.2">
      <c r="A54" s="27" t="s">
        <v>465</v>
      </c>
      <c r="B54" s="29">
        <v>11217.503271345</v>
      </c>
      <c r="C54" s="29">
        <v>6097.9912844549999</v>
      </c>
      <c r="D54" s="29">
        <v>285.67784102010899</v>
      </c>
      <c r="E54" s="29">
        <v>2626.9063334849898</v>
      </c>
      <c r="F54" s="29">
        <v>5927.1167254949996</v>
      </c>
      <c r="G54" s="29">
        <v>-921.80212812988998</v>
      </c>
      <c r="H54" s="29">
        <v>5883.7871861250896</v>
      </c>
      <c r="I54" s="29">
        <v>6203.9368510534496</v>
      </c>
      <c r="J54" s="29">
        <v>-25896.8373879461</v>
      </c>
      <c r="K54" s="29">
        <v>2190.8525964045698</v>
      </c>
      <c r="L54" s="29">
        <v>5086.1512928394604</v>
      </c>
      <c r="M54" s="29">
        <v>-7023.4642285151504</v>
      </c>
      <c r="N54" s="29">
        <v>8667.6153831600495</v>
      </c>
      <c r="O54" s="29">
        <v>6196.2210730246798</v>
      </c>
      <c r="P54" s="29">
        <v>-7920.0602933392502</v>
      </c>
      <c r="Q54" s="29">
        <v>2573.4385081947898</v>
      </c>
      <c r="R54" s="29">
        <v>3303.0827870529602</v>
      </c>
      <c r="S54" s="29">
        <v>-8091.0472151891099</v>
      </c>
      <c r="T54" s="29">
        <v>5541.7714862635103</v>
      </c>
      <c r="U54" s="29">
        <v>5984.6988766671702</v>
      </c>
      <c r="V54" s="29">
        <v>-8813.7969573606206</v>
      </c>
      <c r="W54" s="29">
        <v>1272.4841683096399</v>
      </c>
      <c r="X54" s="29">
        <v>3471.83351405233</v>
      </c>
      <c r="Y54" s="29">
        <v>-6422.7790186059601</v>
      </c>
      <c r="Z54" s="29">
        <v>8037.4478869954701</v>
      </c>
      <c r="AA54" s="29">
        <v>5882.6275638924699</v>
      </c>
      <c r="AB54" s="29">
        <v>1390.6493814498499</v>
      </c>
      <c r="AC54" s="29">
        <v>1241.8673179482701</v>
      </c>
      <c r="AD54" s="29">
        <v>2972.4344405468701</v>
      </c>
      <c r="AE54" s="29">
        <v>1455.8134622083601</v>
      </c>
      <c r="AF54" s="29">
        <v>5026.7802288856601</v>
      </c>
      <c r="AG54" s="29">
        <v>5679.2794811894701</v>
      </c>
      <c r="AH54" s="29">
        <v>1404.4845391231599</v>
      </c>
      <c r="AI54" s="29">
        <v>1061.5160491592901</v>
      </c>
      <c r="AJ54" s="29">
        <v>2808.29904994254</v>
      </c>
      <c r="AK54" s="29">
        <v>3315.15564422323</v>
      </c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4.4" x14ac:dyDescent="0.3">
      <c r="A55" s="27" t="s">
        <v>466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0.199999999999999" x14ac:dyDescent="0.2">
      <c r="A56" s="27" t="s">
        <v>467</v>
      </c>
      <c r="B56" s="29">
        <v>53416.6822445</v>
      </c>
      <c r="C56" s="29">
        <v>29038.053735500001</v>
      </c>
      <c r="D56" s="29">
        <v>8298.9587667624201</v>
      </c>
      <c r="E56" s="29">
        <v>12509.077778499901</v>
      </c>
      <c r="F56" s="29">
        <v>28224.3653595</v>
      </c>
      <c r="G56" s="29">
        <v>2549.0541517624201</v>
      </c>
      <c r="H56" s="29">
        <v>28018.034219643301</v>
      </c>
      <c r="I56" s="29">
        <v>29542.556433587801</v>
      </c>
      <c r="J56" s="29">
        <v>-116379.685180696</v>
      </c>
      <c r="K56" s="29">
        <v>10432.6314114503</v>
      </c>
      <c r="L56" s="29">
        <v>24219.768061140301</v>
      </c>
      <c r="M56" s="29">
        <v>-26506.479659595901</v>
      </c>
      <c r="N56" s="29">
        <v>41274.358967428801</v>
      </c>
      <c r="O56" s="29">
        <v>29505.814633450798</v>
      </c>
      <c r="P56" s="29">
        <v>-37399.096634948801</v>
      </c>
      <c r="Q56" s="29">
        <v>12254.4690866418</v>
      </c>
      <c r="R56" s="29">
        <v>15728.9656526331</v>
      </c>
      <c r="S56" s="29">
        <v>-38213.320072329101</v>
      </c>
      <c r="T56" s="29">
        <v>26389.388029826201</v>
      </c>
      <c r="U56" s="29">
        <v>28498.566079367502</v>
      </c>
      <c r="V56" s="29">
        <v>-41654.985511241</v>
      </c>
      <c r="W56" s="29">
        <v>6059.4484205221397</v>
      </c>
      <c r="X56" s="29">
        <v>16532.540543106301</v>
      </c>
      <c r="Y56" s="29">
        <v>-30269.185802885499</v>
      </c>
      <c r="Z56" s="29">
        <v>38273.561366645103</v>
      </c>
      <c r="AA56" s="29">
        <v>28012.5122090117</v>
      </c>
      <c r="AB56" s="29">
        <v>6937.6161021421603</v>
      </c>
      <c r="AC56" s="29">
        <v>5913.6538949917804</v>
      </c>
      <c r="AD56" s="29">
        <v>14154.4497168898</v>
      </c>
      <c r="AE56" s="29">
        <v>7247.9212486112501</v>
      </c>
      <c r="AF56" s="29">
        <v>23937.048708979299</v>
      </c>
      <c r="AG56" s="29">
        <v>27044.188005664098</v>
      </c>
      <c r="AH56" s="29">
        <v>7003.4978053484001</v>
      </c>
      <c r="AI56" s="29">
        <v>5054.8383293299603</v>
      </c>
      <c r="AJ56" s="29">
        <v>13372.852618774001</v>
      </c>
      <c r="AK56" s="29">
        <v>16101.9316391582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ht="14.4" x14ac:dyDescent="0.3">
      <c r="A57" s="86" t="s">
        <v>468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6" ht="10.199999999999999" x14ac:dyDescent="0.2">
      <c r="A58" s="27" t="s">
        <v>469</v>
      </c>
      <c r="B58" s="29">
        <v>0</v>
      </c>
      <c r="C58" s="29">
        <v>0</v>
      </c>
      <c r="D58" s="29">
        <v>-27312.477980024101</v>
      </c>
      <c r="E58" s="29">
        <v>0</v>
      </c>
      <c r="F58" s="29">
        <v>0</v>
      </c>
      <c r="G58" s="29">
        <v>-27312.477980023999</v>
      </c>
      <c r="H58" s="29">
        <v>0</v>
      </c>
      <c r="I58" s="29">
        <v>0</v>
      </c>
      <c r="J58" s="29">
        <v>-27312.477980025</v>
      </c>
      <c r="K58" s="29">
        <v>0</v>
      </c>
      <c r="L58" s="29">
        <v>0</v>
      </c>
      <c r="M58" s="29">
        <v>-27312.477980023599</v>
      </c>
      <c r="N58" s="29">
        <v>0</v>
      </c>
      <c r="O58" s="29">
        <v>0</v>
      </c>
      <c r="P58" s="29">
        <v>-55568.249662851202</v>
      </c>
      <c r="Q58" s="29">
        <v>0</v>
      </c>
      <c r="R58" s="29">
        <v>0</v>
      </c>
      <c r="S58" s="29">
        <v>-55568.249662819901</v>
      </c>
      <c r="T58" s="29">
        <v>0</v>
      </c>
      <c r="U58" s="29">
        <v>0</v>
      </c>
      <c r="V58" s="29">
        <v>-55568.249662820497</v>
      </c>
      <c r="W58" s="29">
        <v>0</v>
      </c>
      <c r="X58" s="29">
        <v>0</v>
      </c>
      <c r="Y58" s="29">
        <v>-55568.249662812501</v>
      </c>
      <c r="Z58" s="29">
        <v>0</v>
      </c>
      <c r="AA58" s="29">
        <v>0</v>
      </c>
      <c r="AB58" s="29">
        <v>-11951.873146608899</v>
      </c>
      <c r="AC58" s="29">
        <v>0</v>
      </c>
      <c r="AD58" s="29">
        <v>0</v>
      </c>
      <c r="AE58" s="29">
        <v>-11951.873146514599</v>
      </c>
      <c r="AF58" s="29">
        <v>0</v>
      </c>
      <c r="AG58" s="29">
        <v>0</v>
      </c>
      <c r="AH58" s="29">
        <v>-11951.873146513501</v>
      </c>
      <c r="AI58" s="29">
        <v>0</v>
      </c>
      <c r="AJ58" s="29">
        <v>0</v>
      </c>
      <c r="AK58" s="29">
        <v>-11951.873146517401</v>
      </c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6" ht="10.199999999999999" x14ac:dyDescent="0.2">
      <c r="A59" s="27" t="s">
        <v>470</v>
      </c>
      <c r="B59" s="29">
        <v>0</v>
      </c>
      <c r="C59" s="29">
        <v>0</v>
      </c>
      <c r="D59" s="29">
        <v>5735.6203758050597</v>
      </c>
      <c r="E59" s="29">
        <v>0</v>
      </c>
      <c r="F59" s="29">
        <v>0</v>
      </c>
      <c r="G59" s="29">
        <v>5735.6203758050397</v>
      </c>
      <c r="H59" s="29">
        <v>0</v>
      </c>
      <c r="I59" s="29">
        <v>0</v>
      </c>
      <c r="J59" s="29">
        <v>5735.6203758052598</v>
      </c>
      <c r="K59" s="29">
        <v>0</v>
      </c>
      <c r="L59" s="29">
        <v>0</v>
      </c>
      <c r="M59" s="29">
        <v>5735.6203758049696</v>
      </c>
      <c r="N59" s="29">
        <v>0</v>
      </c>
      <c r="O59" s="29">
        <v>0</v>
      </c>
      <c r="P59" s="29">
        <v>11669.332429198699</v>
      </c>
      <c r="Q59" s="29">
        <v>0</v>
      </c>
      <c r="R59" s="29">
        <v>0</v>
      </c>
      <c r="S59" s="29">
        <v>11669.3324291921</v>
      </c>
      <c r="T59" s="29">
        <v>0</v>
      </c>
      <c r="U59" s="29">
        <v>0</v>
      </c>
      <c r="V59" s="29">
        <v>11669.3324291923</v>
      </c>
      <c r="W59" s="29">
        <v>0</v>
      </c>
      <c r="X59" s="29">
        <v>0</v>
      </c>
      <c r="Y59" s="29">
        <v>11669.332429190599</v>
      </c>
      <c r="Z59" s="29">
        <v>0</v>
      </c>
      <c r="AA59" s="29">
        <v>0</v>
      </c>
      <c r="AB59" s="29">
        <v>2509.8933607878698</v>
      </c>
      <c r="AC59" s="29">
        <v>0</v>
      </c>
      <c r="AD59" s="29">
        <v>0</v>
      </c>
      <c r="AE59" s="29">
        <v>2509.8933607680801</v>
      </c>
      <c r="AF59" s="29">
        <v>0</v>
      </c>
      <c r="AG59" s="29">
        <v>0</v>
      </c>
      <c r="AH59" s="29">
        <v>2509.89336076784</v>
      </c>
      <c r="AI59" s="29">
        <v>0</v>
      </c>
      <c r="AJ59" s="29">
        <v>0</v>
      </c>
      <c r="AK59" s="29">
        <v>2509.8933607686499</v>
      </c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56" ht="14.4" x14ac:dyDescent="0.3">
      <c r="A60" s="27" t="s">
        <v>471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1:56" ht="14.4" x14ac:dyDescent="0.3">
      <c r="A61" s="27" t="s">
        <v>472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/>
      <c r="AM61" s="29"/>
      <c r="AN61" s="29"/>
      <c r="AO61" s="29"/>
      <c r="AP61" s="29"/>
      <c r="AQ61" s="3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1:56" ht="10.199999999999999" x14ac:dyDescent="0.2">
      <c r="A62" s="27" t="s">
        <v>473</v>
      </c>
      <c r="B62" s="29">
        <v>0</v>
      </c>
      <c r="C62" s="29">
        <v>0</v>
      </c>
      <c r="D62" s="29">
        <v>3224.0459999999998</v>
      </c>
      <c r="E62" s="29">
        <v>0</v>
      </c>
      <c r="F62" s="29">
        <v>0</v>
      </c>
      <c r="G62" s="29">
        <v>3224.0459999999998</v>
      </c>
      <c r="H62" s="29">
        <v>0</v>
      </c>
      <c r="I62" s="29">
        <v>0</v>
      </c>
      <c r="J62" s="29">
        <v>5114.0458424999997</v>
      </c>
      <c r="K62" s="29">
        <v>0</v>
      </c>
      <c r="L62" s="29">
        <v>0</v>
      </c>
      <c r="M62" s="29">
        <v>3854.0459474999998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ht="14.4" x14ac:dyDescent="0.3">
      <c r="A63" s="27" t="s">
        <v>474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/>
      <c r="AM63" s="29"/>
      <c r="AN63" s="29"/>
      <c r="AO63" s="29"/>
      <c r="AP63" s="29"/>
      <c r="AQ63" s="3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1:56" ht="14.4" x14ac:dyDescent="0.3">
      <c r="A64" s="27" t="s">
        <v>475</v>
      </c>
      <c r="B64" s="29">
        <v>0</v>
      </c>
      <c r="C64" s="29">
        <v>0</v>
      </c>
      <c r="D64" s="29">
        <v>-5566.2900300000001</v>
      </c>
      <c r="E64" s="29">
        <v>0</v>
      </c>
      <c r="F64" s="29">
        <v>0</v>
      </c>
      <c r="G64" s="29">
        <v>-3020.93945999999</v>
      </c>
      <c r="H64" s="29">
        <v>0</v>
      </c>
      <c r="I64" s="29">
        <v>0</v>
      </c>
      <c r="J64" s="29">
        <v>18341.589265649902</v>
      </c>
      <c r="K64" s="29">
        <v>0</v>
      </c>
      <c r="L64" s="29">
        <v>0</v>
      </c>
      <c r="M64" s="29">
        <v>3251.4532585499901</v>
      </c>
      <c r="N64" s="29">
        <v>0</v>
      </c>
      <c r="O64" s="29">
        <v>0</v>
      </c>
      <c r="P64" s="29">
        <v>902.68511654999895</v>
      </c>
      <c r="Q64" s="29">
        <v>0</v>
      </c>
      <c r="R64" s="29">
        <v>0</v>
      </c>
      <c r="S64" s="29">
        <v>902.68511654999895</v>
      </c>
      <c r="T64" s="29">
        <v>0</v>
      </c>
      <c r="U64" s="29">
        <v>0</v>
      </c>
      <c r="V64" s="29">
        <v>902.68511654999895</v>
      </c>
      <c r="W64" s="29">
        <v>0</v>
      </c>
      <c r="X64" s="29">
        <v>0</v>
      </c>
      <c r="Y64" s="29">
        <v>902.68511654999895</v>
      </c>
      <c r="Z64" s="29">
        <v>0</v>
      </c>
      <c r="AA64" s="29">
        <v>0</v>
      </c>
      <c r="AB64" s="29">
        <v>-311.55237749999998</v>
      </c>
      <c r="AC64" s="29">
        <v>0</v>
      </c>
      <c r="AD64" s="29">
        <v>0</v>
      </c>
      <c r="AE64" s="29">
        <v>-311.55237749999998</v>
      </c>
      <c r="AF64" s="29">
        <v>0</v>
      </c>
      <c r="AG64" s="29">
        <v>0</v>
      </c>
      <c r="AH64" s="29">
        <v>-311.55237749999998</v>
      </c>
      <c r="AI64" s="29">
        <v>0</v>
      </c>
      <c r="AJ64" s="29">
        <v>0</v>
      </c>
      <c r="AK64" s="29">
        <v>-311.55237749999998</v>
      </c>
      <c r="AL64" s="29"/>
      <c r="AM64" s="29"/>
      <c r="AN64" s="29"/>
      <c r="AO64" s="29"/>
      <c r="AP64" s="29"/>
      <c r="AQ64" s="3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1:56" ht="10.199999999999999" x14ac:dyDescent="0.2">
      <c r="A65" s="27" t="s">
        <v>476</v>
      </c>
      <c r="B65" s="29">
        <v>34.204397499999899</v>
      </c>
      <c r="C65" s="29">
        <v>34.204397499999899</v>
      </c>
      <c r="D65" s="29">
        <v>40.777147499999899</v>
      </c>
      <c r="E65" s="29">
        <v>34.204397499999899</v>
      </c>
      <c r="F65" s="29">
        <v>34.204397499999899</v>
      </c>
      <c r="G65" s="29">
        <v>40.777147499999899</v>
      </c>
      <c r="H65" s="29">
        <v>34.204397499999899</v>
      </c>
      <c r="I65" s="29">
        <v>34.204397499999899</v>
      </c>
      <c r="J65" s="29">
        <v>40.777147499999899</v>
      </c>
      <c r="K65" s="29">
        <v>34.204397499999899</v>
      </c>
      <c r="L65" s="29">
        <v>34.204397499999899</v>
      </c>
      <c r="M65" s="29">
        <v>40.777147499999899</v>
      </c>
      <c r="N65" s="29">
        <v>34.204397499999899</v>
      </c>
      <c r="O65" s="29">
        <v>34.204397499999899</v>
      </c>
      <c r="P65" s="29">
        <v>40.777147499999899</v>
      </c>
      <c r="Q65" s="29">
        <v>34.204397499999899</v>
      </c>
      <c r="R65" s="29">
        <v>28.288207499999999</v>
      </c>
      <c r="S65" s="29">
        <v>34.860957499999998</v>
      </c>
      <c r="T65" s="29">
        <v>28.288207499999999</v>
      </c>
      <c r="U65" s="29">
        <v>28.288207499999999</v>
      </c>
      <c r="V65" s="29">
        <v>34.860957499999998</v>
      </c>
      <c r="W65" s="29">
        <v>28.288207499999999</v>
      </c>
      <c r="X65" s="29">
        <v>28.288207499999999</v>
      </c>
      <c r="Y65" s="29">
        <v>34.860957499999998</v>
      </c>
      <c r="Z65" s="29">
        <v>28.288207499999999</v>
      </c>
      <c r="AA65" s="29">
        <v>28.288207499999999</v>
      </c>
      <c r="AB65" s="29">
        <v>34.860957499999998</v>
      </c>
      <c r="AC65" s="29">
        <v>28.288207499999999</v>
      </c>
      <c r="AD65" s="29">
        <v>28.288207499999999</v>
      </c>
      <c r="AE65" s="29">
        <v>34.860957499999998</v>
      </c>
      <c r="AF65" s="29">
        <v>28.288207499999999</v>
      </c>
      <c r="AG65" s="29">
        <v>28.288207499999999</v>
      </c>
      <c r="AH65" s="29">
        <v>34.860957499999998</v>
      </c>
      <c r="AI65" s="29">
        <v>28.288207499999999</v>
      </c>
      <c r="AJ65" s="29">
        <v>28.288207499999999</v>
      </c>
      <c r="AK65" s="29">
        <v>34.860957499999998</v>
      </c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1:56" ht="14.4" x14ac:dyDescent="0.3">
      <c r="A66" s="27" t="s">
        <v>477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/>
      <c r="AM66" s="29"/>
      <c r="AN66" s="29"/>
      <c r="AO66" s="29"/>
      <c r="AP66" s="29"/>
      <c r="AQ66" s="3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</row>
    <row r="67" spans="1:56" ht="14.4" x14ac:dyDescent="0.3">
      <c r="A67" s="27" t="s">
        <v>478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/>
      <c r="AM67" s="29"/>
      <c r="AN67" s="29"/>
      <c r="AO67" s="29"/>
      <c r="AP67" s="29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0.199999999999999" x14ac:dyDescent="0.2">
      <c r="A68" s="27" t="s">
        <v>479</v>
      </c>
      <c r="B68" s="29">
        <v>0</v>
      </c>
      <c r="C68" s="29">
        <v>0</v>
      </c>
      <c r="D68" s="29">
        <v>1153</v>
      </c>
      <c r="E68" s="29">
        <v>0</v>
      </c>
      <c r="F68" s="29">
        <v>0</v>
      </c>
      <c r="G68" s="29">
        <v>1153</v>
      </c>
      <c r="H68" s="29">
        <v>0</v>
      </c>
      <c r="I68" s="29">
        <v>0</v>
      </c>
      <c r="J68" s="29">
        <v>1153</v>
      </c>
      <c r="K68" s="29">
        <v>0</v>
      </c>
      <c r="L68" s="29">
        <v>0</v>
      </c>
      <c r="M68" s="29">
        <v>1153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1:56" ht="10.199999999999999" x14ac:dyDescent="0.2">
      <c r="A69" s="27" t="s">
        <v>480</v>
      </c>
      <c r="B69" s="29">
        <v>0</v>
      </c>
      <c r="C69" s="29">
        <v>0</v>
      </c>
      <c r="D69" s="29">
        <v>237.8535</v>
      </c>
      <c r="E69" s="29">
        <v>0</v>
      </c>
      <c r="F69" s="29">
        <v>0</v>
      </c>
      <c r="G69" s="29">
        <v>237.8535</v>
      </c>
      <c r="H69" s="29">
        <v>0</v>
      </c>
      <c r="I69" s="29">
        <v>0</v>
      </c>
      <c r="J69" s="29">
        <v>237.8535</v>
      </c>
      <c r="K69" s="29">
        <v>0</v>
      </c>
      <c r="L69" s="29">
        <v>0</v>
      </c>
      <c r="M69" s="29">
        <v>237.8535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1:56" ht="10.199999999999999" x14ac:dyDescent="0.2">
      <c r="A70" s="27" t="s">
        <v>481</v>
      </c>
      <c r="B70" s="29">
        <v>0</v>
      </c>
      <c r="C70" s="29">
        <v>0</v>
      </c>
      <c r="D70" s="29">
        <v>-2536.6328600000002</v>
      </c>
      <c r="E70" s="29">
        <v>-178.55736999999999</v>
      </c>
      <c r="F70" s="29">
        <v>0</v>
      </c>
      <c r="G70" s="29">
        <v>-2634.6798797711699</v>
      </c>
      <c r="H70" s="29">
        <v>0</v>
      </c>
      <c r="I70" s="29">
        <v>0</v>
      </c>
      <c r="J70" s="29">
        <v>-2337.70741510985</v>
      </c>
      <c r="K70" s="29">
        <v>0</v>
      </c>
      <c r="L70" s="29">
        <v>0</v>
      </c>
      <c r="M70" s="29">
        <v>-2618.3959885348399</v>
      </c>
      <c r="N70" s="29">
        <v>0</v>
      </c>
      <c r="O70" s="29">
        <v>0</v>
      </c>
      <c r="P70" s="29">
        <v>-3810.2390420500001</v>
      </c>
      <c r="Q70" s="29">
        <v>-1300.8721985141699</v>
      </c>
      <c r="R70" s="29">
        <v>0</v>
      </c>
      <c r="S70" s="29">
        <v>-2516.6768435358299</v>
      </c>
      <c r="T70" s="29">
        <v>0</v>
      </c>
      <c r="U70" s="29">
        <v>0</v>
      </c>
      <c r="V70" s="29">
        <v>-3821.20504205</v>
      </c>
      <c r="W70" s="29">
        <v>0</v>
      </c>
      <c r="X70" s="29">
        <v>0</v>
      </c>
      <c r="Y70" s="29">
        <v>-3821.2045759928501</v>
      </c>
      <c r="Z70" s="29">
        <v>0</v>
      </c>
      <c r="AA70" s="29">
        <v>0</v>
      </c>
      <c r="AB70" s="29">
        <v>-4640.8932295313798</v>
      </c>
      <c r="AC70" s="29">
        <v>-1585.3789663979201</v>
      </c>
      <c r="AD70" s="29">
        <v>0</v>
      </c>
      <c r="AE70" s="29">
        <v>-3055.5142631334602</v>
      </c>
      <c r="AF70" s="29">
        <v>0</v>
      </c>
      <c r="AG70" s="29">
        <v>0</v>
      </c>
      <c r="AH70" s="29">
        <v>-4640.8932295313798</v>
      </c>
      <c r="AI70" s="29">
        <v>0</v>
      </c>
      <c r="AJ70" s="29">
        <v>0</v>
      </c>
      <c r="AK70" s="29">
        <v>-4640.8932295313798</v>
      </c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4.4" x14ac:dyDescent="0.3">
      <c r="A71" s="27" t="s">
        <v>482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/>
      <c r="AM71" s="29"/>
      <c r="AN71" s="29"/>
      <c r="AO71" s="29"/>
      <c r="AP71" s="29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14.4" x14ac:dyDescent="0.3">
      <c r="A72" s="27" t="s">
        <v>483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/>
      <c r="AM72" s="29"/>
      <c r="AN72" s="29"/>
      <c r="AO72" s="29"/>
      <c r="AP72" s="29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14.4" x14ac:dyDescent="0.3">
      <c r="A73" s="27" t="s">
        <v>484</v>
      </c>
      <c r="B73" s="29">
        <v>34.204397499999899</v>
      </c>
      <c r="C73" s="29">
        <v>34.204397499999899</v>
      </c>
      <c r="D73" s="29">
        <v>2288.3741333050598</v>
      </c>
      <c r="E73" s="29">
        <v>-144.35297249999999</v>
      </c>
      <c r="F73" s="29">
        <v>34.204397499999899</v>
      </c>
      <c r="G73" s="29">
        <v>4735.6776835338696</v>
      </c>
      <c r="H73" s="29">
        <v>34.204397499999899</v>
      </c>
      <c r="I73" s="29">
        <v>34.204397499999899</v>
      </c>
      <c r="J73" s="29">
        <v>28285.178716345399</v>
      </c>
      <c r="K73" s="29">
        <v>34.204397499999899</v>
      </c>
      <c r="L73" s="29">
        <v>34.204397499999899</v>
      </c>
      <c r="M73" s="29">
        <v>11654.354240820099</v>
      </c>
      <c r="N73" s="29">
        <v>34.204397499999899</v>
      </c>
      <c r="O73" s="29">
        <v>34.204397499999899</v>
      </c>
      <c r="P73" s="29">
        <v>8802.5556511987506</v>
      </c>
      <c r="Q73" s="29">
        <v>-1266.66780101417</v>
      </c>
      <c r="R73" s="29">
        <v>28.288207499999999</v>
      </c>
      <c r="S73" s="29">
        <v>10090.201659706299</v>
      </c>
      <c r="T73" s="29">
        <v>28.288207499999999</v>
      </c>
      <c r="U73" s="29">
        <v>28.288207499999999</v>
      </c>
      <c r="V73" s="29">
        <v>8785.6734611923093</v>
      </c>
      <c r="W73" s="29">
        <v>28.288207499999999</v>
      </c>
      <c r="X73" s="29">
        <v>28.288207499999999</v>
      </c>
      <c r="Y73" s="29">
        <v>8785.6739272477698</v>
      </c>
      <c r="Z73" s="29">
        <v>28.288207499999999</v>
      </c>
      <c r="AA73" s="29">
        <v>28.288207499999999</v>
      </c>
      <c r="AB73" s="29">
        <v>-2407.6912887435001</v>
      </c>
      <c r="AC73" s="29">
        <v>-1557.0907588979201</v>
      </c>
      <c r="AD73" s="29">
        <v>28.288207499999999</v>
      </c>
      <c r="AE73" s="29">
        <v>-822.31232236537903</v>
      </c>
      <c r="AF73" s="29">
        <v>28.288207499999999</v>
      </c>
      <c r="AG73" s="29">
        <v>28.288207499999999</v>
      </c>
      <c r="AH73" s="29">
        <v>-2407.6912887635299</v>
      </c>
      <c r="AI73" s="29">
        <v>28.288207499999999</v>
      </c>
      <c r="AJ73" s="29">
        <v>28.288207499999999</v>
      </c>
      <c r="AK73" s="29">
        <v>-2407.69128876272</v>
      </c>
      <c r="AL73" s="29"/>
      <c r="AM73" s="29"/>
      <c r="AN73" s="29"/>
      <c r="AO73" s="29"/>
      <c r="AP73" s="29"/>
      <c r="AQ73" s="29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14.4" x14ac:dyDescent="0.3">
      <c r="A74" s="27" t="s">
        <v>485</v>
      </c>
      <c r="B74" s="29">
        <v>0</v>
      </c>
      <c r="C74" s="29">
        <v>0</v>
      </c>
      <c r="D74" s="29">
        <v>-1253.89657493602</v>
      </c>
      <c r="E74" s="29">
        <v>0</v>
      </c>
      <c r="F74" s="29">
        <v>0</v>
      </c>
      <c r="G74" s="29">
        <v>912.58027938840303</v>
      </c>
      <c r="H74" s="29">
        <v>0</v>
      </c>
      <c r="I74" s="29">
        <v>0</v>
      </c>
      <c r="J74" s="29">
        <v>-239.318572426673</v>
      </c>
      <c r="K74" s="29">
        <v>0</v>
      </c>
      <c r="L74" s="29">
        <v>0</v>
      </c>
      <c r="M74" s="29">
        <v>580.63486797429505</v>
      </c>
      <c r="N74" s="29">
        <v>0</v>
      </c>
      <c r="O74" s="29">
        <v>0</v>
      </c>
      <c r="P74" s="29">
        <v>-1891.37561449638</v>
      </c>
      <c r="Q74" s="29">
        <v>0</v>
      </c>
      <c r="R74" s="29">
        <v>0</v>
      </c>
      <c r="S74" s="29">
        <v>1283.1915299712</v>
      </c>
      <c r="T74" s="29">
        <v>0</v>
      </c>
      <c r="U74" s="29">
        <v>0</v>
      </c>
      <c r="V74" s="29">
        <v>-464.32884713009099</v>
      </c>
      <c r="W74" s="29">
        <v>0</v>
      </c>
      <c r="X74" s="29">
        <v>0</v>
      </c>
      <c r="Y74" s="29">
        <v>1072.51293165526</v>
      </c>
      <c r="Z74" s="29">
        <v>0</v>
      </c>
      <c r="AA74" s="29">
        <v>0</v>
      </c>
      <c r="AB74" s="29">
        <v>-2452.8616247357099</v>
      </c>
      <c r="AC74" s="29">
        <v>0</v>
      </c>
      <c r="AD74" s="29">
        <v>0</v>
      </c>
      <c r="AE74" s="29">
        <v>2061.8230861084298</v>
      </c>
      <c r="AF74" s="29">
        <v>0</v>
      </c>
      <c r="AG74" s="29">
        <v>0</v>
      </c>
      <c r="AH74" s="29">
        <v>-956.88874925835898</v>
      </c>
      <c r="AI74" s="29">
        <v>0</v>
      </c>
      <c r="AJ74" s="29">
        <v>0</v>
      </c>
      <c r="AK74" s="29">
        <v>1347.92728788563</v>
      </c>
      <c r="AL74" s="29"/>
      <c r="AM74" s="29"/>
      <c r="AN74" s="29"/>
      <c r="AO74" s="29"/>
      <c r="AP74" s="29"/>
      <c r="AQ74" s="29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14.4" x14ac:dyDescent="0.3">
      <c r="A75" s="27" t="s">
        <v>486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561.48600951267804</v>
      </c>
      <c r="AD75" s="29">
        <v>-561.48600951267804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/>
      <c r="AM75" s="29"/>
      <c r="AN75" s="29"/>
      <c r="AO75" s="29"/>
      <c r="AP75" s="29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14.4" x14ac:dyDescent="0.3">
      <c r="A76" s="27" t="s">
        <v>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/>
      <c r="AM76" s="29"/>
      <c r="AN76" s="29"/>
      <c r="AO76" s="29"/>
      <c r="AP76" s="29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14.4" x14ac:dyDescent="0.3">
      <c r="A77" s="27" t="s">
        <v>488</v>
      </c>
      <c r="B77" s="29">
        <v>34.204397499999899</v>
      </c>
      <c r="C77" s="29">
        <v>34.204397499999899</v>
      </c>
      <c r="D77" s="29">
        <v>1034.47755836903</v>
      </c>
      <c r="E77" s="29">
        <v>-144.35297249999999</v>
      </c>
      <c r="F77" s="29">
        <v>34.204397499999899</v>
      </c>
      <c r="G77" s="29">
        <v>5648.2579629222701</v>
      </c>
      <c r="H77" s="29">
        <v>34.204397499999899</v>
      </c>
      <c r="I77" s="29">
        <v>34.204397499999899</v>
      </c>
      <c r="J77" s="29">
        <v>28045.8601439187</v>
      </c>
      <c r="K77" s="29">
        <v>34.204397499999899</v>
      </c>
      <c r="L77" s="29">
        <v>34.204397499999899</v>
      </c>
      <c r="M77" s="29">
        <v>12234.9891087944</v>
      </c>
      <c r="N77" s="29">
        <v>34.204397499999899</v>
      </c>
      <c r="O77" s="29">
        <v>34.204397499999899</v>
      </c>
      <c r="P77" s="29">
        <v>6911.1800367023698</v>
      </c>
      <c r="Q77" s="29">
        <v>-1266.66780101417</v>
      </c>
      <c r="R77" s="29">
        <v>28.288207499999999</v>
      </c>
      <c r="S77" s="29">
        <v>11373.393189677499</v>
      </c>
      <c r="T77" s="29">
        <v>28.288207499999999</v>
      </c>
      <c r="U77" s="29">
        <v>28.288207499999999</v>
      </c>
      <c r="V77" s="29">
        <v>8321.34461406222</v>
      </c>
      <c r="W77" s="29">
        <v>28.288207499999999</v>
      </c>
      <c r="X77" s="29">
        <v>28.288207499999999</v>
      </c>
      <c r="Y77" s="29">
        <v>9858.1868589030291</v>
      </c>
      <c r="Z77" s="29">
        <v>28.288207499999999</v>
      </c>
      <c r="AA77" s="29">
        <v>28.288207499999999</v>
      </c>
      <c r="AB77" s="29">
        <v>-4860.5529134792196</v>
      </c>
      <c r="AC77" s="29">
        <v>-995.60474938524101</v>
      </c>
      <c r="AD77" s="29">
        <v>-533.19780201267804</v>
      </c>
      <c r="AE77" s="29">
        <v>1239.5107637430499</v>
      </c>
      <c r="AF77" s="29">
        <v>28.288207499999999</v>
      </c>
      <c r="AG77" s="29">
        <v>28.288207499999999</v>
      </c>
      <c r="AH77" s="29">
        <v>-3364.5800380218898</v>
      </c>
      <c r="AI77" s="29">
        <v>28.288207499999999</v>
      </c>
      <c r="AJ77" s="29">
        <v>28.288207499999999</v>
      </c>
      <c r="AK77" s="29">
        <v>-1059.76400087708</v>
      </c>
      <c r="AL77" s="29"/>
      <c r="AM77" s="29"/>
      <c r="AN77" s="29"/>
      <c r="AO77" s="29"/>
      <c r="AP77" s="29"/>
      <c r="AQ77" s="29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14.4" x14ac:dyDescent="0.3">
      <c r="A78" s="27" t="s">
        <v>489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14.4" x14ac:dyDescent="0.3">
      <c r="A79" s="27" t="s">
        <v>490</v>
      </c>
      <c r="B79" s="29">
        <v>162.878083333333</v>
      </c>
      <c r="C79" s="29">
        <v>162.878083333333</v>
      </c>
      <c r="D79" s="29">
        <v>162.878083333333</v>
      </c>
      <c r="E79" s="29">
        <v>162.878083333333</v>
      </c>
      <c r="F79" s="29">
        <v>162.878083333333</v>
      </c>
      <c r="G79" s="29">
        <v>162.878083333333</v>
      </c>
      <c r="H79" s="29">
        <v>162.878083333333</v>
      </c>
      <c r="I79" s="29">
        <v>162.878083333333</v>
      </c>
      <c r="J79" s="29">
        <v>162.878083333333</v>
      </c>
      <c r="K79" s="29">
        <v>162.878083333333</v>
      </c>
      <c r="L79" s="29">
        <v>162.878083333333</v>
      </c>
      <c r="M79" s="29">
        <v>162.878083333333</v>
      </c>
      <c r="N79" s="29">
        <v>162.878083333333</v>
      </c>
      <c r="O79" s="29">
        <v>162.878083333333</v>
      </c>
      <c r="P79" s="29">
        <v>162.878083333333</v>
      </c>
      <c r="Q79" s="29">
        <v>162.878083333333</v>
      </c>
      <c r="R79" s="29">
        <v>134.70574999999999</v>
      </c>
      <c r="S79" s="29">
        <v>134.70574999999999</v>
      </c>
      <c r="T79" s="29">
        <v>134.70574999999999</v>
      </c>
      <c r="U79" s="29">
        <v>134.70574999999999</v>
      </c>
      <c r="V79" s="29">
        <v>134.70574999999999</v>
      </c>
      <c r="W79" s="29">
        <v>134.70574999999999</v>
      </c>
      <c r="X79" s="29">
        <v>134.70574999999999</v>
      </c>
      <c r="Y79" s="29">
        <v>134.70574999999999</v>
      </c>
      <c r="Z79" s="29">
        <v>134.70574999999999</v>
      </c>
      <c r="AA79" s="29">
        <v>134.70574999999999</v>
      </c>
      <c r="AB79" s="29">
        <v>134.70574999999999</v>
      </c>
      <c r="AC79" s="29">
        <v>134.70574999999999</v>
      </c>
      <c r="AD79" s="29">
        <v>134.70574999999999</v>
      </c>
      <c r="AE79" s="29">
        <v>134.70574999999999</v>
      </c>
      <c r="AF79" s="29">
        <v>134.70574999999999</v>
      </c>
      <c r="AG79" s="29">
        <v>134.70574999999999</v>
      </c>
      <c r="AH79" s="29">
        <v>134.70574999999999</v>
      </c>
      <c r="AI79" s="29">
        <v>134.70574999999999</v>
      </c>
      <c r="AJ79" s="29">
        <v>134.70574999999999</v>
      </c>
      <c r="AK79" s="29">
        <v>134.70574999999999</v>
      </c>
      <c r="AL79" s="29"/>
      <c r="AM79" s="29"/>
      <c r="AN79" s="29"/>
      <c r="AO79" s="29"/>
      <c r="AP79" s="29"/>
      <c r="AQ79" s="29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14.4" x14ac:dyDescent="0.3">
      <c r="A80" s="27" t="s">
        <v>491</v>
      </c>
      <c r="B80" s="29">
        <v>23.27225</v>
      </c>
      <c r="C80" s="29">
        <v>23.27225</v>
      </c>
      <c r="D80" s="29">
        <v>23.27225</v>
      </c>
      <c r="E80" s="29">
        <v>23.27225</v>
      </c>
      <c r="F80" s="29">
        <v>23.27225</v>
      </c>
      <c r="G80" s="29">
        <v>23.27225</v>
      </c>
      <c r="H80" s="29">
        <v>23.27225</v>
      </c>
      <c r="I80" s="29">
        <v>23.27225</v>
      </c>
      <c r="J80" s="29">
        <v>23.27225</v>
      </c>
      <c r="K80" s="29">
        <v>23.27225</v>
      </c>
      <c r="L80" s="29">
        <v>23.27225</v>
      </c>
      <c r="M80" s="29">
        <v>23.27225</v>
      </c>
      <c r="N80" s="29">
        <v>23.27225</v>
      </c>
      <c r="O80" s="29">
        <v>23.27225</v>
      </c>
      <c r="P80" s="29">
        <v>23.27225</v>
      </c>
      <c r="Q80" s="29">
        <v>23.27225</v>
      </c>
      <c r="R80" s="29">
        <v>23.27225</v>
      </c>
      <c r="S80" s="29">
        <v>23.27225</v>
      </c>
      <c r="T80" s="29">
        <v>23.27225</v>
      </c>
      <c r="U80" s="29">
        <v>23.27225</v>
      </c>
      <c r="V80" s="29">
        <v>23.27225</v>
      </c>
      <c r="W80" s="29">
        <v>23.27225</v>
      </c>
      <c r="X80" s="29">
        <v>23.27225</v>
      </c>
      <c r="Y80" s="29">
        <v>23.27225</v>
      </c>
      <c r="Z80" s="29">
        <v>23.27225</v>
      </c>
      <c r="AA80" s="29">
        <v>23.27225</v>
      </c>
      <c r="AB80" s="29">
        <v>23.27225</v>
      </c>
      <c r="AC80" s="29">
        <v>23.27225</v>
      </c>
      <c r="AD80" s="29">
        <v>23.27225</v>
      </c>
      <c r="AE80" s="29">
        <v>23.27225</v>
      </c>
      <c r="AF80" s="29">
        <v>23.27225</v>
      </c>
      <c r="AG80" s="29">
        <v>23.27225</v>
      </c>
      <c r="AH80" s="29">
        <v>23.27225</v>
      </c>
      <c r="AI80" s="29">
        <v>23.27225</v>
      </c>
      <c r="AJ80" s="29">
        <v>23.27225</v>
      </c>
      <c r="AK80" s="29">
        <v>23.27225</v>
      </c>
      <c r="AL80" s="29"/>
      <c r="AM80" s="29"/>
      <c r="AN80" s="29"/>
      <c r="AO80" s="29"/>
      <c r="AP80" s="29"/>
      <c r="AQ80" s="29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14.4" x14ac:dyDescent="0.3">
      <c r="A81" s="27" t="s">
        <v>492</v>
      </c>
      <c r="B81" s="29">
        <v>0</v>
      </c>
      <c r="C81" s="29">
        <v>0</v>
      </c>
      <c r="D81" s="29">
        <v>6.5727500000000001</v>
      </c>
      <c r="E81" s="29">
        <v>0</v>
      </c>
      <c r="F81" s="29">
        <v>0</v>
      </c>
      <c r="G81" s="29">
        <v>6.5727500000000001</v>
      </c>
      <c r="H81" s="29">
        <v>0</v>
      </c>
      <c r="I81" s="29">
        <v>0</v>
      </c>
      <c r="J81" s="29">
        <v>6.5727500000000001</v>
      </c>
      <c r="K81" s="29">
        <v>0</v>
      </c>
      <c r="L81" s="29">
        <v>0</v>
      </c>
      <c r="M81" s="29">
        <v>6.5727500000000001</v>
      </c>
      <c r="N81" s="29">
        <v>0</v>
      </c>
      <c r="O81" s="29">
        <v>0</v>
      </c>
      <c r="P81" s="29">
        <v>6.5727500000000001</v>
      </c>
      <c r="Q81" s="29">
        <v>0</v>
      </c>
      <c r="R81" s="29">
        <v>0</v>
      </c>
      <c r="S81" s="29">
        <v>6.5727500000000001</v>
      </c>
      <c r="T81" s="29">
        <v>0</v>
      </c>
      <c r="U81" s="29">
        <v>0</v>
      </c>
      <c r="V81" s="29">
        <v>6.5727500000000001</v>
      </c>
      <c r="W81" s="29">
        <v>0</v>
      </c>
      <c r="X81" s="29">
        <v>0</v>
      </c>
      <c r="Y81" s="29">
        <v>6.5727500000000001</v>
      </c>
      <c r="Z81" s="29">
        <v>0</v>
      </c>
      <c r="AA81" s="29">
        <v>0</v>
      </c>
      <c r="AB81" s="29">
        <v>6.5727500000000001</v>
      </c>
      <c r="AC81" s="29">
        <v>0</v>
      </c>
      <c r="AD81" s="29">
        <v>0</v>
      </c>
      <c r="AE81" s="29">
        <v>6.5727500000000001</v>
      </c>
      <c r="AF81" s="29">
        <v>0</v>
      </c>
      <c r="AG81" s="29">
        <v>0</v>
      </c>
      <c r="AH81" s="29">
        <v>6.5727500000000001</v>
      </c>
      <c r="AI81" s="29">
        <v>0</v>
      </c>
      <c r="AJ81" s="29">
        <v>0</v>
      </c>
      <c r="AK81" s="29">
        <v>6.5727500000000001</v>
      </c>
      <c r="AL81" s="29"/>
      <c r="AM81" s="29"/>
      <c r="AN81" s="29"/>
      <c r="AO81" s="29"/>
      <c r="AP81" s="29"/>
      <c r="AQ81" s="29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14.4" x14ac:dyDescent="0.3">
      <c r="A82" s="27" t="s">
        <v>493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14.4" x14ac:dyDescent="0.3">
      <c r="A83" s="27" t="s">
        <v>634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14.4" x14ac:dyDescent="0.3">
      <c r="A84" s="86" t="s">
        <v>635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9"/>
      <c r="AM84" s="29"/>
      <c r="AN84" s="29"/>
      <c r="AO84" s="29"/>
      <c r="AP84" s="29"/>
      <c r="AQ84" s="3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1:56" ht="14.4" x14ac:dyDescent="0.3">
      <c r="A85" s="27" t="s">
        <v>636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/>
      <c r="AM85" s="29"/>
      <c r="AN85" s="29"/>
      <c r="AO85" s="29"/>
      <c r="AP85" s="29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10.199999999999999" x14ac:dyDescent="0.2">
      <c r="A86" s="27" t="s">
        <v>637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1:56" ht="14.4" x14ac:dyDescent="0.3">
      <c r="A87" s="27" t="s">
        <v>638</v>
      </c>
      <c r="B87" s="29">
        <v>13743.000305178301</v>
      </c>
      <c r="C87" s="29">
        <v>7340.4026072883298</v>
      </c>
      <c r="D87" s="29">
        <v>3394.0089021588401</v>
      </c>
      <c r="E87" s="29">
        <v>2820.8141833183199</v>
      </c>
      <c r="F87" s="29">
        <v>7126.7023443283297</v>
      </c>
      <c r="G87" s="29">
        <v>4642.7043982376499</v>
      </c>
      <c r="H87" s="29">
        <v>7072.5132712817604</v>
      </c>
      <c r="I87" s="29">
        <v>7472.9009474703498</v>
      </c>
      <c r="J87" s="29">
        <v>3043.2272046124399</v>
      </c>
      <c r="K87" s="29">
        <v>2454.0311653405502</v>
      </c>
      <c r="L87" s="29">
        <v>6074.9686328117596</v>
      </c>
      <c r="M87" s="29">
        <v>5855.1355311488196</v>
      </c>
      <c r="N87" s="29">
        <v>10554.0427708317</v>
      </c>
      <c r="O87" s="29">
        <v>7463.2513904870102</v>
      </c>
      <c r="P87" s="29">
        <v>1347.17185335656</v>
      </c>
      <c r="Q87" s="29">
        <v>1631.63107204774</v>
      </c>
      <c r="R87" s="29">
        <v>3865.8633164020698</v>
      </c>
      <c r="S87" s="29">
        <v>2447.7407915502199</v>
      </c>
      <c r="T87" s="29">
        <v>6665.6268775701501</v>
      </c>
      <c r="U87" s="29">
        <v>7219.5636390023001</v>
      </c>
      <c r="V87" s="29">
        <v>239.322564605824</v>
      </c>
      <c r="W87" s="29">
        <v>1326.3427380739699</v>
      </c>
      <c r="X87" s="29">
        <v>4076.9074586894999</v>
      </c>
      <c r="Y87" s="29">
        <v>3229.5935856451802</v>
      </c>
      <c r="Z87" s="29">
        <v>9786.7860855031104</v>
      </c>
      <c r="AA87" s="29">
        <v>7091.9105435772999</v>
      </c>
      <c r="AB87" s="29">
        <v>-813.11548844285301</v>
      </c>
      <c r="AC87" s="29">
        <v>-297.32647476586698</v>
      </c>
      <c r="AD87" s="29">
        <v>3452.3457101200202</v>
      </c>
      <c r="AE87" s="29">
        <v>853.75940849603501</v>
      </c>
      <c r="AF87" s="29">
        <v>6021.5651296214101</v>
      </c>
      <c r="AG87" s="29">
        <v>6837.5980291191599</v>
      </c>
      <c r="AH87" s="29">
        <v>-795.81287273782402</v>
      </c>
      <c r="AI87" s="29">
        <v>1062.5004035977099</v>
      </c>
      <c r="AJ87" s="29">
        <v>3247.0736301411698</v>
      </c>
      <c r="AK87" s="29">
        <v>1593.72317098589</v>
      </c>
      <c r="AL87" s="29"/>
      <c r="AM87" s="29"/>
      <c r="AN87" s="29"/>
      <c r="AO87" s="29"/>
      <c r="AP87" s="29"/>
      <c r="AQ87" s="29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ht="10.199999999999999" x14ac:dyDescent="0.2">
      <c r="A88" s="27" t="s">
        <v>639</v>
      </c>
      <c r="B88" s="29">
        <v>71040.409493159605</v>
      </c>
      <c r="C88" s="29">
        <v>71040.409493159605</v>
      </c>
      <c r="D88" s="29">
        <v>71040.409493159605</v>
      </c>
      <c r="E88" s="29">
        <v>71040.409493159605</v>
      </c>
      <c r="F88" s="29">
        <v>71040.409493159605</v>
      </c>
      <c r="G88" s="29">
        <v>71040.409493159503</v>
      </c>
      <c r="H88" s="29">
        <v>71040.409493159706</v>
      </c>
      <c r="I88" s="29">
        <v>71040.409493159998</v>
      </c>
      <c r="J88" s="29">
        <v>71040.409493162602</v>
      </c>
      <c r="K88" s="29">
        <v>71040.409493166095</v>
      </c>
      <c r="L88" s="29">
        <v>71040.409493169806</v>
      </c>
      <c r="M88" s="29">
        <v>71040.409493175495</v>
      </c>
      <c r="N88" s="29">
        <v>50067.058057628201</v>
      </c>
      <c r="O88" s="29">
        <v>50067.058057626396</v>
      </c>
      <c r="P88" s="29">
        <v>50067.058057630798</v>
      </c>
      <c r="Q88" s="29">
        <v>50067.058057654198</v>
      </c>
      <c r="R88" s="29">
        <v>50067.058057694303</v>
      </c>
      <c r="S88" s="29">
        <v>50067.058057772701</v>
      </c>
      <c r="T88" s="29">
        <v>50067.058057854403</v>
      </c>
      <c r="U88" s="29">
        <v>50067.0580578558</v>
      </c>
      <c r="V88" s="29">
        <v>50067.0580579671</v>
      </c>
      <c r="W88" s="29">
        <v>50067.058058093098</v>
      </c>
      <c r="X88" s="29">
        <v>50067.058058219198</v>
      </c>
      <c r="Y88" s="29">
        <v>50067.058058262301</v>
      </c>
      <c r="Z88" s="29">
        <v>38041.007274623102</v>
      </c>
      <c r="AA88" s="29">
        <v>38041.0072746968</v>
      </c>
      <c r="AB88" s="29">
        <v>38041.0072747425</v>
      </c>
      <c r="AC88" s="29">
        <v>38041.007274787502</v>
      </c>
      <c r="AD88" s="29">
        <v>38041.007274841497</v>
      </c>
      <c r="AE88" s="29">
        <v>38041.007274852003</v>
      </c>
      <c r="AF88" s="29">
        <v>38041.007274891897</v>
      </c>
      <c r="AG88" s="29">
        <v>38041.007274941199</v>
      </c>
      <c r="AH88" s="29">
        <v>38041.007274949297</v>
      </c>
      <c r="AI88" s="29">
        <v>38041.007275015298</v>
      </c>
      <c r="AJ88" s="29">
        <v>38041.007275087301</v>
      </c>
      <c r="AK88" s="29">
        <v>38041.007275215299</v>
      </c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1:56" ht="14.4" x14ac:dyDescent="0.3">
      <c r="A89" s="27" t="s">
        <v>640</v>
      </c>
      <c r="B89" s="29">
        <v>342507.88710472599</v>
      </c>
      <c r="C89" s="29">
        <v>342507.88710472599</v>
      </c>
      <c r="D89" s="29">
        <v>342507.88710472599</v>
      </c>
      <c r="E89" s="29">
        <v>342507.88710472599</v>
      </c>
      <c r="F89" s="29">
        <v>342507.88710472599</v>
      </c>
      <c r="G89" s="29">
        <v>342507.88710472599</v>
      </c>
      <c r="H89" s="29">
        <v>342507.88710472599</v>
      </c>
      <c r="I89" s="29">
        <v>342507.88710472698</v>
      </c>
      <c r="J89" s="29">
        <v>342507.88710474002</v>
      </c>
      <c r="K89" s="29">
        <v>342507.88710475399</v>
      </c>
      <c r="L89" s="29">
        <v>342507.887104769</v>
      </c>
      <c r="M89" s="29">
        <v>342507.88710479299</v>
      </c>
      <c r="N89" s="29">
        <v>278838.40033434698</v>
      </c>
      <c r="O89" s="29">
        <v>278838.40033434</v>
      </c>
      <c r="P89" s="29">
        <v>278838.40033437201</v>
      </c>
      <c r="Q89" s="29">
        <v>278838.40033446503</v>
      </c>
      <c r="R89" s="29">
        <v>278838.40033462603</v>
      </c>
      <c r="S89" s="29">
        <v>278838.40033496101</v>
      </c>
      <c r="T89" s="29">
        <v>278838.40033528802</v>
      </c>
      <c r="U89" s="29">
        <v>278838.40033529402</v>
      </c>
      <c r="V89" s="29">
        <v>278838.40033575799</v>
      </c>
      <c r="W89" s="29">
        <v>278838.400336263</v>
      </c>
      <c r="X89" s="29">
        <v>278838.400336769</v>
      </c>
      <c r="Y89" s="29">
        <v>278838.40033695602</v>
      </c>
      <c r="Z89" s="29">
        <v>243757.83661226701</v>
      </c>
      <c r="AA89" s="29">
        <v>243757.83661256201</v>
      </c>
      <c r="AB89" s="29">
        <v>243757.83661272499</v>
      </c>
      <c r="AC89" s="29">
        <v>243757.836612905</v>
      </c>
      <c r="AD89" s="29">
        <v>243757.836613122</v>
      </c>
      <c r="AE89" s="29">
        <v>243757.83661319001</v>
      </c>
      <c r="AF89" s="29">
        <v>243757.83661334999</v>
      </c>
      <c r="AG89" s="29">
        <v>243757.83661354799</v>
      </c>
      <c r="AH89" s="29">
        <v>243757.83661361001</v>
      </c>
      <c r="AI89" s="29">
        <v>243757.836613875</v>
      </c>
      <c r="AJ89" s="29">
        <v>243757.83661416301</v>
      </c>
      <c r="AK89" s="29">
        <v>243757.83661467899</v>
      </c>
      <c r="AL89" s="3"/>
      <c r="AM89" s="3"/>
      <c r="AN89" s="3"/>
      <c r="AO89" s="3"/>
      <c r="AP89" s="3"/>
      <c r="AQ89" s="3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1:56" ht="14.4" x14ac:dyDescent="0.3">
      <c r="A90" s="27" t="s">
        <v>641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9"/>
      <c r="AM90" s="29"/>
      <c r="AN90" s="29"/>
      <c r="AO90" s="29"/>
      <c r="AP90" s="29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ht="14.4" x14ac:dyDescent="0.3">
      <c r="A91" s="27" t="s">
        <v>494</v>
      </c>
      <c r="B91" s="29">
        <v>0</v>
      </c>
      <c r="C91" s="29">
        <v>0</v>
      </c>
      <c r="D91" s="29">
        <v>1</v>
      </c>
      <c r="E91" s="29">
        <v>0</v>
      </c>
      <c r="F91" s="29">
        <v>0</v>
      </c>
      <c r="G91" s="29">
        <v>1</v>
      </c>
      <c r="H91" s="29">
        <v>0</v>
      </c>
      <c r="I91" s="29">
        <v>0</v>
      </c>
      <c r="J91" s="29">
        <v>1</v>
      </c>
      <c r="K91" s="29">
        <v>0</v>
      </c>
      <c r="L91" s="29">
        <v>0</v>
      </c>
      <c r="M91" s="29">
        <v>1</v>
      </c>
      <c r="N91" s="29">
        <v>0</v>
      </c>
      <c r="O91" s="29">
        <v>0</v>
      </c>
      <c r="P91" s="29">
        <v>1</v>
      </c>
      <c r="Q91" s="29">
        <v>0</v>
      </c>
      <c r="R91" s="29">
        <v>0</v>
      </c>
      <c r="S91" s="29">
        <v>1</v>
      </c>
      <c r="T91" s="29">
        <v>0</v>
      </c>
      <c r="U91" s="29">
        <v>0</v>
      </c>
      <c r="V91" s="29">
        <v>1</v>
      </c>
      <c r="W91" s="29">
        <v>0</v>
      </c>
      <c r="X91" s="29">
        <v>0</v>
      </c>
      <c r="Y91" s="29">
        <v>1</v>
      </c>
      <c r="Z91" s="29">
        <v>0</v>
      </c>
      <c r="AA91" s="29">
        <v>0</v>
      </c>
      <c r="AB91" s="29">
        <v>1</v>
      </c>
      <c r="AC91" s="29">
        <v>0</v>
      </c>
      <c r="AD91" s="29">
        <v>0</v>
      </c>
      <c r="AE91" s="29">
        <v>1</v>
      </c>
      <c r="AF91" s="29">
        <v>0</v>
      </c>
      <c r="AG91" s="29">
        <v>0</v>
      </c>
      <c r="AH91" s="29">
        <v>1</v>
      </c>
      <c r="AI91" s="29">
        <v>0</v>
      </c>
      <c r="AJ91" s="29">
        <v>0</v>
      </c>
      <c r="AK91" s="29">
        <v>1</v>
      </c>
      <c r="AL91" s="29"/>
      <c r="AM91" s="29"/>
      <c r="AN91" s="29"/>
      <c r="AO91" s="29"/>
      <c r="AP91" s="29"/>
      <c r="AQ91" s="3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1:56" ht="10.199999999999999" x14ac:dyDescent="0.2">
      <c r="A92" s="27" t="s">
        <v>642</v>
      </c>
      <c r="B92" s="29">
        <v>0</v>
      </c>
      <c r="C92" s="29">
        <v>0</v>
      </c>
      <c r="D92" s="29">
        <v>1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1</v>
      </c>
      <c r="T92" s="29">
        <v>0</v>
      </c>
      <c r="U92" s="29">
        <v>0</v>
      </c>
      <c r="V92" s="29">
        <v>1</v>
      </c>
      <c r="W92" s="29">
        <v>0</v>
      </c>
      <c r="X92" s="29">
        <v>0</v>
      </c>
      <c r="Y92" s="29">
        <v>1</v>
      </c>
      <c r="Z92" s="29">
        <v>0</v>
      </c>
      <c r="AA92" s="29">
        <v>0</v>
      </c>
      <c r="AB92" s="29">
        <v>1</v>
      </c>
      <c r="AC92" s="29">
        <v>0</v>
      </c>
      <c r="AD92" s="29">
        <v>0</v>
      </c>
      <c r="AE92" s="29">
        <v>1</v>
      </c>
      <c r="AF92" s="29">
        <v>0</v>
      </c>
      <c r="AG92" s="29">
        <v>0</v>
      </c>
      <c r="AH92" s="29">
        <v>1</v>
      </c>
      <c r="AI92" s="29">
        <v>0</v>
      </c>
      <c r="AJ92" s="29">
        <v>0</v>
      </c>
      <c r="AK92" s="29">
        <v>1</v>
      </c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1:56" ht="10.199999999999999" x14ac:dyDescent="0.2">
      <c r="A93" s="27" t="s">
        <v>643</v>
      </c>
      <c r="B93" s="29">
        <v>0</v>
      </c>
      <c r="C93" s="29">
        <v>0</v>
      </c>
      <c r="D93" s="29">
        <v>24477.411814625499</v>
      </c>
      <c r="E93" s="29">
        <v>0</v>
      </c>
      <c r="F93" s="29">
        <v>0</v>
      </c>
      <c r="G93" s="29">
        <v>39067.632740509798</v>
      </c>
      <c r="H93" s="29">
        <v>0</v>
      </c>
      <c r="I93" s="29">
        <v>0</v>
      </c>
      <c r="J93" s="29">
        <v>56656.274163874397</v>
      </c>
      <c r="K93" s="29">
        <v>0</v>
      </c>
      <c r="L93" s="29">
        <v>0</v>
      </c>
      <c r="M93" s="29">
        <v>71040.409493175495</v>
      </c>
      <c r="N93" s="29">
        <v>0</v>
      </c>
      <c r="O93" s="29">
        <v>0</v>
      </c>
      <c r="P93" s="29">
        <v>19364.466014675301</v>
      </c>
      <c r="Q93" s="29">
        <v>0</v>
      </c>
      <c r="R93" s="29">
        <v>0</v>
      </c>
      <c r="S93" s="29">
        <v>27309.701194675301</v>
      </c>
      <c r="T93" s="29">
        <v>0</v>
      </c>
      <c r="U93" s="29">
        <v>0</v>
      </c>
      <c r="V93" s="29">
        <v>41434.214275853599</v>
      </c>
      <c r="W93" s="29">
        <v>0</v>
      </c>
      <c r="X93" s="29">
        <v>0</v>
      </c>
      <c r="Y93" s="29">
        <v>50067.058058262301</v>
      </c>
      <c r="Z93" s="29">
        <v>0</v>
      </c>
      <c r="AA93" s="29">
        <v>0</v>
      </c>
      <c r="AB93" s="29">
        <v>16065.5811406375</v>
      </c>
      <c r="AC93" s="29">
        <v>0</v>
      </c>
      <c r="AD93" s="29">
        <v>0</v>
      </c>
      <c r="AE93" s="29">
        <v>20074.3597844877</v>
      </c>
      <c r="AF93" s="29">
        <v>0</v>
      </c>
      <c r="AG93" s="29">
        <v>0</v>
      </c>
      <c r="AH93" s="29">
        <v>32137.710070490499</v>
      </c>
      <c r="AI93" s="29">
        <v>0</v>
      </c>
      <c r="AJ93" s="29">
        <v>0</v>
      </c>
      <c r="AK93" s="29">
        <v>38041.007275215299</v>
      </c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1:56" ht="10.199999999999999" x14ac:dyDescent="0.2">
      <c r="A94" s="27" t="s">
        <v>644</v>
      </c>
      <c r="B94" s="29">
        <v>0</v>
      </c>
      <c r="C94" s="29">
        <v>0</v>
      </c>
      <c r="D94" s="29">
        <v>111967.78274</v>
      </c>
      <c r="E94" s="29">
        <v>0</v>
      </c>
      <c r="F94" s="29">
        <v>0</v>
      </c>
      <c r="G94" s="29">
        <v>186711.60422000001</v>
      </c>
      <c r="H94" s="29">
        <v>0</v>
      </c>
      <c r="I94" s="29">
        <v>0</v>
      </c>
      <c r="J94" s="29">
        <v>270358.08028577903</v>
      </c>
      <c r="K94" s="29">
        <v>0</v>
      </c>
      <c r="L94" s="29">
        <v>0</v>
      </c>
      <c r="M94" s="29">
        <v>342507.88710479299</v>
      </c>
      <c r="N94" s="29">
        <v>0</v>
      </c>
      <c r="O94" s="29">
        <v>0</v>
      </c>
      <c r="P94" s="29">
        <v>97312.859295230897</v>
      </c>
      <c r="Q94" s="29">
        <v>0</v>
      </c>
      <c r="R94" s="29">
        <v>0</v>
      </c>
      <c r="S94" s="29">
        <v>148708.72398613801</v>
      </c>
      <c r="T94" s="29">
        <v>0</v>
      </c>
      <c r="U94" s="29">
        <v>0</v>
      </c>
      <c r="V94" s="29">
        <v>224786.37000435201</v>
      </c>
      <c r="W94" s="29">
        <v>0</v>
      </c>
      <c r="X94" s="29">
        <v>0</v>
      </c>
      <c r="Y94" s="29">
        <v>278838.40033695602</v>
      </c>
      <c r="Z94" s="29">
        <v>0</v>
      </c>
      <c r="AA94" s="29">
        <v>0</v>
      </c>
      <c r="AB94" s="29">
        <v>87227.108252257894</v>
      </c>
      <c r="AC94" s="29">
        <v>0</v>
      </c>
      <c r="AD94" s="29">
        <v>0</v>
      </c>
      <c r="AE94" s="29">
        <v>126126.097806337</v>
      </c>
      <c r="AF94" s="29">
        <v>0</v>
      </c>
      <c r="AG94" s="29">
        <v>0</v>
      </c>
      <c r="AH94" s="29">
        <v>197293.69379162899</v>
      </c>
      <c r="AI94" s="29">
        <v>0</v>
      </c>
      <c r="AJ94" s="29">
        <v>0</v>
      </c>
      <c r="AK94" s="29">
        <v>243757.83661467899</v>
      </c>
      <c r="AL94" s="91"/>
      <c r="AM94" s="91"/>
      <c r="AN94" s="91"/>
      <c r="AO94" s="91"/>
      <c r="AP94" s="91"/>
      <c r="AQ94" s="91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1:56" ht="10.199999999999999" x14ac:dyDescent="0.2">
      <c r="A95" s="92" t="s">
        <v>645</v>
      </c>
      <c r="B95" s="91">
        <v>0</v>
      </c>
      <c r="C95" s="91">
        <v>0</v>
      </c>
      <c r="D95" s="91">
        <v>0.218611204184193</v>
      </c>
      <c r="E95" s="91">
        <v>0</v>
      </c>
      <c r="F95" s="91">
        <v>0</v>
      </c>
      <c r="G95" s="91">
        <v>0.209240517769195</v>
      </c>
      <c r="H95" s="91">
        <v>0</v>
      </c>
      <c r="I95" s="91">
        <v>0</v>
      </c>
      <c r="J95" s="91">
        <v>0.20956012893709799</v>
      </c>
      <c r="K95" s="91">
        <v>0</v>
      </c>
      <c r="L95" s="91">
        <v>0</v>
      </c>
      <c r="M95" s="91">
        <v>0.20741247769117799</v>
      </c>
      <c r="N95" s="91">
        <v>0</v>
      </c>
      <c r="O95" s="91">
        <v>0</v>
      </c>
      <c r="P95" s="91">
        <v>0.19899185117895599</v>
      </c>
      <c r="Q95" s="91">
        <v>0</v>
      </c>
      <c r="R95" s="91">
        <v>0</v>
      </c>
      <c r="S95" s="91">
        <v>0.18364558892470201</v>
      </c>
      <c r="T95" s="91">
        <v>0</v>
      </c>
      <c r="U95" s="91">
        <v>0</v>
      </c>
      <c r="V95" s="91">
        <v>0.18432707585896499</v>
      </c>
      <c r="W95" s="91">
        <v>0</v>
      </c>
      <c r="X95" s="91">
        <v>0</v>
      </c>
      <c r="Y95" s="91">
        <v>0.17955582157177699</v>
      </c>
      <c r="Z95" s="91">
        <v>0</v>
      </c>
      <c r="AA95" s="91">
        <v>0</v>
      </c>
      <c r="AB95" s="91">
        <v>0.184181058647231</v>
      </c>
      <c r="AC95" s="91">
        <v>0</v>
      </c>
      <c r="AD95" s="91">
        <v>0</v>
      </c>
      <c r="AE95" s="91">
        <v>0.159161031171449</v>
      </c>
      <c r="AF95" s="91">
        <v>0</v>
      </c>
      <c r="AG95" s="91">
        <v>0</v>
      </c>
      <c r="AH95" s="91">
        <v>0.162892738499957</v>
      </c>
      <c r="AI95" s="91">
        <v>0</v>
      </c>
      <c r="AJ95" s="91">
        <v>0</v>
      </c>
      <c r="AK95" s="91">
        <v>0.15606065348925999</v>
      </c>
      <c r="AL95" s="91"/>
      <c r="AM95" s="91"/>
      <c r="AN95" s="91"/>
      <c r="AO95" s="91"/>
      <c r="AP95" s="91"/>
      <c r="AQ95" s="91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1:56" ht="10.199999999999999" x14ac:dyDescent="0.2">
      <c r="A96" s="92" t="s">
        <v>646</v>
      </c>
      <c r="B96" s="91">
        <v>0</v>
      </c>
      <c r="C96" s="91">
        <v>0</v>
      </c>
      <c r="D96" s="91">
        <v>0.20741247769117199</v>
      </c>
      <c r="E96" s="91">
        <v>0</v>
      </c>
      <c r="F96" s="91">
        <v>0</v>
      </c>
      <c r="G96" s="91">
        <v>0.20741247769117199</v>
      </c>
      <c r="H96" s="91">
        <v>0</v>
      </c>
      <c r="I96" s="91">
        <v>0</v>
      </c>
      <c r="J96" s="91">
        <v>0.20741247769117199</v>
      </c>
      <c r="K96" s="91">
        <v>0</v>
      </c>
      <c r="L96" s="91">
        <v>0</v>
      </c>
      <c r="M96" s="91">
        <v>0.20741247769117799</v>
      </c>
      <c r="N96" s="91">
        <v>0</v>
      </c>
      <c r="O96" s="91">
        <v>0</v>
      </c>
      <c r="P96" s="91">
        <v>0.179555821571176</v>
      </c>
      <c r="Q96" s="91">
        <v>0</v>
      </c>
      <c r="R96" s="91">
        <v>0</v>
      </c>
      <c r="S96" s="91">
        <v>0.17955582157130601</v>
      </c>
      <c r="T96" s="91">
        <v>0</v>
      </c>
      <c r="U96" s="91">
        <v>0</v>
      </c>
      <c r="V96" s="91">
        <v>0.179555821571489</v>
      </c>
      <c r="W96" s="91">
        <v>0</v>
      </c>
      <c r="X96" s="91">
        <v>0</v>
      </c>
      <c r="Y96" s="91">
        <v>0.17955582157177599</v>
      </c>
      <c r="Z96" s="91">
        <v>0</v>
      </c>
      <c r="AA96" s="91">
        <v>0</v>
      </c>
      <c r="AB96" s="91">
        <v>0.15606065348857201</v>
      </c>
      <c r="AC96" s="91">
        <v>0</v>
      </c>
      <c r="AD96" s="91">
        <v>0</v>
      </c>
      <c r="AE96" s="91">
        <v>0.156060653488723</v>
      </c>
      <c r="AF96" s="91">
        <v>0</v>
      </c>
      <c r="AG96" s="91">
        <v>0</v>
      </c>
      <c r="AH96" s="91">
        <v>0.15606065348885301</v>
      </c>
      <c r="AI96" s="91">
        <v>0</v>
      </c>
      <c r="AJ96" s="91">
        <v>0</v>
      </c>
      <c r="AK96" s="91">
        <v>0.15606065348925999</v>
      </c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1:56" ht="14.4" x14ac:dyDescent="0.3">
      <c r="A97" s="27" t="s">
        <v>647</v>
      </c>
      <c r="B97" s="29">
        <v>0</v>
      </c>
      <c r="C97" s="29">
        <v>0</v>
      </c>
      <c r="D97" s="29">
        <v>23223.515239690299</v>
      </c>
      <c r="E97" s="29">
        <v>0</v>
      </c>
      <c r="F97" s="29">
        <v>0</v>
      </c>
      <c r="G97" s="29">
        <v>38726.316444963697</v>
      </c>
      <c r="H97" s="29">
        <v>0</v>
      </c>
      <c r="I97" s="29">
        <v>0</v>
      </c>
      <c r="J97" s="29">
        <v>56075.639295902401</v>
      </c>
      <c r="K97" s="29">
        <v>0</v>
      </c>
      <c r="L97" s="29">
        <v>0</v>
      </c>
      <c r="M97" s="29">
        <v>71040.409493175495</v>
      </c>
      <c r="N97" s="29">
        <v>0</v>
      </c>
      <c r="O97" s="29">
        <v>0</v>
      </c>
      <c r="P97" s="29">
        <v>17473.090400195499</v>
      </c>
      <c r="Q97" s="29">
        <v>0</v>
      </c>
      <c r="R97" s="29">
        <v>0</v>
      </c>
      <c r="S97" s="29">
        <v>26701.517110151599</v>
      </c>
      <c r="T97" s="29">
        <v>0</v>
      </c>
      <c r="U97" s="29">
        <v>0</v>
      </c>
      <c r="V97" s="29">
        <v>40361.701344204397</v>
      </c>
      <c r="W97" s="29">
        <v>0</v>
      </c>
      <c r="X97" s="29">
        <v>0</v>
      </c>
      <c r="Y97" s="29">
        <v>50067.058058262301</v>
      </c>
      <c r="Z97" s="29">
        <v>0</v>
      </c>
      <c r="AA97" s="29">
        <v>0</v>
      </c>
      <c r="AB97" s="29">
        <v>13612.719515765801</v>
      </c>
      <c r="AC97" s="29">
        <v>0</v>
      </c>
      <c r="AD97" s="29">
        <v>0</v>
      </c>
      <c r="AE97" s="29">
        <v>19683.321245639701</v>
      </c>
      <c r="AF97" s="29">
        <v>0</v>
      </c>
      <c r="AG97" s="29">
        <v>0</v>
      </c>
      <c r="AH97" s="29">
        <v>30789.782782351402</v>
      </c>
      <c r="AI97" s="29">
        <v>0</v>
      </c>
      <c r="AJ97" s="29">
        <v>0</v>
      </c>
      <c r="AK97" s="29">
        <v>38041.007275215299</v>
      </c>
      <c r="AL97" s="29"/>
      <c r="AM97" s="29"/>
      <c r="AN97" s="29"/>
      <c r="AO97" s="29"/>
      <c r="AP97" s="29"/>
      <c r="AQ97" s="3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1:56" ht="14.4" x14ac:dyDescent="0.3">
      <c r="A98" s="27" t="s">
        <v>648</v>
      </c>
      <c r="B98" s="29">
        <v>0</v>
      </c>
      <c r="C98" s="29">
        <v>0</v>
      </c>
      <c r="D98" s="29">
        <v>-1253.8965749352101</v>
      </c>
      <c r="E98" s="29">
        <v>0</v>
      </c>
      <c r="F98" s="29">
        <v>0</v>
      </c>
      <c r="G98" s="29">
        <v>-341.316295546079</v>
      </c>
      <c r="H98" s="29">
        <v>0</v>
      </c>
      <c r="I98" s="29">
        <v>0</v>
      </c>
      <c r="J98" s="29">
        <v>-580.63486797193002</v>
      </c>
      <c r="K98" s="29">
        <v>0</v>
      </c>
      <c r="L98" s="29">
        <v>0</v>
      </c>
      <c r="M98" s="29">
        <v>1.45519152283668E-11</v>
      </c>
      <c r="N98" s="29">
        <v>0</v>
      </c>
      <c r="O98" s="29">
        <v>0</v>
      </c>
      <c r="P98" s="29">
        <v>-1891.3756144798101</v>
      </c>
      <c r="Q98" s="29">
        <v>0</v>
      </c>
      <c r="R98" s="29">
        <v>0</v>
      </c>
      <c r="S98" s="29">
        <v>-608.184084523705</v>
      </c>
      <c r="T98" s="29">
        <v>0</v>
      </c>
      <c r="U98" s="29">
        <v>0</v>
      </c>
      <c r="V98" s="29">
        <v>-1072.51293164923</v>
      </c>
      <c r="W98" s="29">
        <v>0</v>
      </c>
      <c r="X98" s="29">
        <v>0</v>
      </c>
      <c r="Y98" s="29">
        <v>-1.45519152283668E-11</v>
      </c>
      <c r="Z98" s="29">
        <v>0</v>
      </c>
      <c r="AA98" s="29">
        <v>0</v>
      </c>
      <c r="AB98" s="29">
        <v>-2452.8616248717399</v>
      </c>
      <c r="AC98" s="29">
        <v>0</v>
      </c>
      <c r="AD98" s="29">
        <v>0</v>
      </c>
      <c r="AE98" s="29">
        <v>-391.03853884801998</v>
      </c>
      <c r="AF98" s="29">
        <v>0</v>
      </c>
      <c r="AG98" s="29">
        <v>0</v>
      </c>
      <c r="AH98" s="29">
        <v>-1347.92728813907</v>
      </c>
      <c r="AI98" s="29">
        <v>0</v>
      </c>
      <c r="AJ98" s="29">
        <v>0</v>
      </c>
      <c r="AK98" s="29">
        <v>7.2759576141834202E-12</v>
      </c>
      <c r="AL98" s="29"/>
      <c r="AM98" s="29"/>
      <c r="AN98" s="29"/>
      <c r="AO98" s="29"/>
      <c r="AP98" s="29"/>
      <c r="AQ98" s="3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1:56" ht="14.4" x14ac:dyDescent="0.3">
      <c r="A99" s="27" t="s">
        <v>649</v>
      </c>
      <c r="B99" s="29">
        <v>0</v>
      </c>
      <c r="C99" s="29">
        <v>0</v>
      </c>
      <c r="D99" s="29">
        <v>1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1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1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/>
      <c r="AM99" s="29"/>
      <c r="AN99" s="29"/>
      <c r="AO99" s="29"/>
      <c r="AP99" s="29"/>
      <c r="AQ99" s="3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56" ht="14.4" x14ac:dyDescent="0.3">
      <c r="A100" s="27" t="s">
        <v>650</v>
      </c>
      <c r="B100" s="29">
        <v>0</v>
      </c>
      <c r="C100" s="29">
        <v>0</v>
      </c>
      <c r="D100" s="29">
        <v>-1253.8965749352101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-1891.3756144798101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-2452.8616248717399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/>
      <c r="AM100" s="29"/>
      <c r="AN100" s="29"/>
      <c r="AO100" s="29"/>
      <c r="AP100" s="29"/>
      <c r="AQ100" s="3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1:56" ht="14.4" x14ac:dyDescent="0.3">
      <c r="A101" s="27" t="s">
        <v>651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/>
      <c r="AM101" s="29"/>
      <c r="AN101" s="29"/>
      <c r="AO101" s="29"/>
      <c r="AP101" s="29"/>
      <c r="AQ101" s="3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1:56" ht="14.4" x14ac:dyDescent="0.3">
      <c r="A102" s="27" t="s">
        <v>652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1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1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/>
      <c r="AM102" s="29"/>
      <c r="AN102" s="29"/>
      <c r="AO102" s="29"/>
      <c r="AP102" s="29"/>
      <c r="AQ102" s="3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1:56" ht="14.4" x14ac:dyDescent="0.3">
      <c r="A103" s="27" t="s">
        <v>653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-1253.8965749352101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-1891.3756144798101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-2452.8616248717399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/>
      <c r="AM103" s="29"/>
      <c r="AN103" s="29"/>
      <c r="AO103" s="29"/>
      <c r="AP103" s="29"/>
      <c r="AQ103" s="3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1:56" ht="14.4" x14ac:dyDescent="0.3">
      <c r="A104" s="27" t="s">
        <v>654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912.58027938913403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1283.1915299561001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2061.82308602372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/>
      <c r="AM104" s="29"/>
      <c r="AN104" s="29"/>
      <c r="AO104" s="29"/>
      <c r="AP104" s="29"/>
      <c r="AQ104" s="3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1:56" ht="14.4" x14ac:dyDescent="0.3">
      <c r="A105" s="27" t="s">
        <v>655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/>
      <c r="AM105" s="29"/>
      <c r="AN105" s="29"/>
      <c r="AO105" s="29"/>
      <c r="AP105" s="29"/>
      <c r="AQ105" s="3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1:56" ht="14.4" x14ac:dyDescent="0.3">
      <c r="A106" s="27" t="s">
        <v>656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1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1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1</v>
      </c>
      <c r="AI106" s="29">
        <v>0</v>
      </c>
      <c r="AJ106" s="29">
        <v>0</v>
      </c>
      <c r="AK106" s="29">
        <v>0</v>
      </c>
      <c r="AL106" s="29"/>
      <c r="AM106" s="29"/>
      <c r="AN106" s="29"/>
      <c r="AO106" s="29"/>
      <c r="AP106" s="29"/>
      <c r="AQ106" s="3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1:56" ht="14.4" x14ac:dyDescent="0.3">
      <c r="A107" s="27" t="s">
        <v>657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-341.316295546079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-608.184084523705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-391.03853884801998</v>
      </c>
      <c r="AI107" s="29">
        <v>0</v>
      </c>
      <c r="AJ107" s="29">
        <v>0</v>
      </c>
      <c r="AK107" s="29">
        <v>0</v>
      </c>
      <c r="AL107" s="29"/>
      <c r="AM107" s="29"/>
      <c r="AN107" s="29"/>
      <c r="AO107" s="29"/>
      <c r="AP107" s="29"/>
      <c r="AQ107" s="3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1:56" ht="14.4" x14ac:dyDescent="0.3">
      <c r="A108" s="27" t="s">
        <v>658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-239.31857242585099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-464.32884712553198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-956.88874929105395</v>
      </c>
      <c r="AI108" s="29">
        <v>0</v>
      </c>
      <c r="AJ108" s="29">
        <v>0</v>
      </c>
      <c r="AK108" s="29">
        <v>0</v>
      </c>
      <c r="AL108" s="29"/>
      <c r="AM108" s="29"/>
      <c r="AN108" s="29"/>
      <c r="AO108" s="29"/>
      <c r="AP108" s="29"/>
      <c r="AQ108" s="3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1:56" ht="14.4" x14ac:dyDescent="0.3">
      <c r="A109" s="27" t="s">
        <v>659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/>
      <c r="AM109" s="29"/>
      <c r="AN109" s="29"/>
      <c r="AO109" s="29"/>
      <c r="AP109" s="29"/>
      <c r="AQ109" s="3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</row>
    <row r="110" spans="1:56" ht="10.199999999999999" x14ac:dyDescent="0.2">
      <c r="A110" s="27" t="s">
        <v>660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1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1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1</v>
      </c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1:56" s="89" customFormat="1" ht="10.199999999999999" x14ac:dyDescent="0.2">
      <c r="A111" s="27" t="s">
        <v>661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-580.63486797193002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-1072.51293164923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-1347.92728813907</v>
      </c>
      <c r="AL111" s="29"/>
      <c r="AM111" s="29"/>
      <c r="AN111" s="29"/>
      <c r="AO111" s="29"/>
      <c r="AP111" s="29"/>
      <c r="AQ111" s="29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</row>
    <row r="112" spans="1:56" ht="14.4" x14ac:dyDescent="0.3">
      <c r="A112" s="27" t="s">
        <v>662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580.634867971944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1072.51293164922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1347.92728813908</v>
      </c>
      <c r="AL112" s="29"/>
      <c r="AM112" s="29"/>
      <c r="AN112" s="29"/>
      <c r="AO112" s="29"/>
      <c r="AP112" s="29"/>
      <c r="AQ112" s="3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ht="10.199999999999999" x14ac:dyDescent="0.2">
      <c r="A113" s="27" t="s">
        <v>663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1:56" ht="14.4" x14ac:dyDescent="0.3">
      <c r="A114" s="27" t="s">
        <v>664</v>
      </c>
      <c r="B114" s="29">
        <v>0</v>
      </c>
      <c r="C114" s="29">
        <v>0</v>
      </c>
      <c r="D114" s="29">
        <v>-1253.8965749352101</v>
      </c>
      <c r="E114" s="29">
        <v>0</v>
      </c>
      <c r="F114" s="29">
        <v>0</v>
      </c>
      <c r="G114" s="29">
        <v>912.58027938913403</v>
      </c>
      <c r="H114" s="29">
        <v>0</v>
      </c>
      <c r="I114" s="29">
        <v>0</v>
      </c>
      <c r="J114" s="29">
        <v>-239.31857242585099</v>
      </c>
      <c r="K114" s="29">
        <v>0</v>
      </c>
      <c r="L114" s="29">
        <v>0</v>
      </c>
      <c r="M114" s="29">
        <v>580.634867971944</v>
      </c>
      <c r="N114" s="29">
        <v>0</v>
      </c>
      <c r="O114" s="29">
        <v>0</v>
      </c>
      <c r="P114" s="29">
        <v>-1891.3756144798101</v>
      </c>
      <c r="Q114" s="29">
        <v>0</v>
      </c>
      <c r="R114" s="29">
        <v>0</v>
      </c>
      <c r="S114" s="29">
        <v>1283.1915299561001</v>
      </c>
      <c r="T114" s="29">
        <v>0</v>
      </c>
      <c r="U114" s="29">
        <v>0</v>
      </c>
      <c r="V114" s="29">
        <v>-464.32884712553198</v>
      </c>
      <c r="W114" s="29">
        <v>0</v>
      </c>
      <c r="X114" s="29">
        <v>0</v>
      </c>
      <c r="Y114" s="29">
        <v>1072.51293164922</v>
      </c>
      <c r="Z114" s="29">
        <v>0</v>
      </c>
      <c r="AA114" s="29">
        <v>0</v>
      </c>
      <c r="AB114" s="29">
        <v>-2452.8616248717399</v>
      </c>
      <c r="AC114" s="29">
        <v>0</v>
      </c>
      <c r="AD114" s="29">
        <v>0</v>
      </c>
      <c r="AE114" s="29">
        <v>2061.82308602372</v>
      </c>
      <c r="AF114" s="29">
        <v>0</v>
      </c>
      <c r="AG114" s="29">
        <v>0</v>
      </c>
      <c r="AH114" s="29">
        <v>-956.88874929105395</v>
      </c>
      <c r="AI114" s="29">
        <v>0</v>
      </c>
      <c r="AJ114" s="29">
        <v>0</v>
      </c>
      <c r="AK114" s="29">
        <v>1347.92728813908</v>
      </c>
      <c r="AL114" s="29"/>
      <c r="AM114" s="29"/>
      <c r="AN114" s="29"/>
      <c r="AO114" s="29"/>
      <c r="AP114" s="29"/>
      <c r="AQ114" s="3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1:56" ht="14.4" x14ac:dyDescent="0.3">
      <c r="A115" s="27" t="s">
        <v>324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/>
      <c r="AM115" s="29"/>
      <c r="AN115" s="29"/>
      <c r="AO115" s="29"/>
      <c r="AP115" s="29"/>
      <c r="AQ115" s="3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1:56" ht="14.4" x14ac:dyDescent="0.3">
      <c r="A116" s="27" t="s">
        <v>665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4.4" x14ac:dyDescent="0.3">
      <c r="A117" s="27" t="s">
        <v>666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ht="10.199999999999999" x14ac:dyDescent="0.2">
      <c r="A118" s="27" t="s">
        <v>667</v>
      </c>
      <c r="B118" s="29">
        <v>22658.340395087202</v>
      </c>
      <c r="C118" s="29">
        <v>10797.7579823172</v>
      </c>
      <c r="D118" s="29">
        <v>5353.3555477770597</v>
      </c>
      <c r="E118" s="29">
        <v>5793.3494615322597</v>
      </c>
      <c r="F118" s="29">
        <v>11442.296230002201</v>
      </c>
      <c r="G118" s="29">
        <v>6769.8632057375198</v>
      </c>
      <c r="H118" s="29">
        <v>12030.4638274757</v>
      </c>
      <c r="I118" s="29">
        <v>12373.5878852731</v>
      </c>
      <c r="J118" s="29">
        <v>4008.6921555547701</v>
      </c>
      <c r="K118" s="29">
        <v>2751.8881418645501</v>
      </c>
      <c r="L118" s="29">
        <v>8824.6270628485508</v>
      </c>
      <c r="M118" s="29">
        <v>8231.0080653516707</v>
      </c>
      <c r="N118" s="29">
        <v>17280.068239075899</v>
      </c>
      <c r="O118" s="29">
        <v>12002.2168086355</v>
      </c>
      <c r="P118" s="29">
        <v>1876.33423834422</v>
      </c>
      <c r="Q118" s="29">
        <v>1375.6521796315401</v>
      </c>
      <c r="R118" s="29">
        <v>6298.4463104570996</v>
      </c>
      <c r="S118" s="29">
        <v>4282.4372726436304</v>
      </c>
      <c r="T118" s="29">
        <v>11568.044562508299</v>
      </c>
      <c r="U118" s="29">
        <v>12417.462320479201</v>
      </c>
      <c r="V118" s="29">
        <v>-427.35999893101001</v>
      </c>
      <c r="W118" s="29">
        <v>2075.6636225192101</v>
      </c>
      <c r="X118" s="29">
        <v>6910.7856651759903</v>
      </c>
      <c r="Y118" s="29">
        <v>5947.4061190236898</v>
      </c>
      <c r="Z118" s="29">
        <v>17144.340548424901</v>
      </c>
      <c r="AA118" s="29">
        <v>12380.224654056899</v>
      </c>
      <c r="AB118" s="29">
        <v>-192.29918295877499</v>
      </c>
      <c r="AC118" s="29">
        <v>-352.00851205457701</v>
      </c>
      <c r="AD118" s="29">
        <v>5732.6058479433696</v>
      </c>
      <c r="AE118" s="29">
        <v>1950.4234309435701</v>
      </c>
      <c r="AF118" s="29">
        <v>10702.746128528501</v>
      </c>
      <c r="AG118" s="29">
        <v>12449.336614829999</v>
      </c>
      <c r="AH118" s="29">
        <v>-854.56569635734797</v>
      </c>
      <c r="AI118" s="29">
        <v>1496.56028424082</v>
      </c>
      <c r="AJ118" s="29">
        <v>5571.8564306484004</v>
      </c>
      <c r="AK118" s="29">
        <v>3148.2023247524899</v>
      </c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1:56" ht="10.199999999999999" x14ac:dyDescent="0.2">
      <c r="A119" s="27" t="s">
        <v>668</v>
      </c>
      <c r="B119" s="29">
        <v>92349.8753</v>
      </c>
      <c r="C119" s="29">
        <v>44774.2490799999</v>
      </c>
      <c r="D119" s="29">
        <v>43455.191359999997</v>
      </c>
      <c r="E119" s="29">
        <v>16913.171939999898</v>
      </c>
      <c r="F119" s="29">
        <v>47414.190459999998</v>
      </c>
      <c r="G119" s="29">
        <v>52478.795279999998</v>
      </c>
      <c r="H119" s="29">
        <v>49685.9105003851</v>
      </c>
      <c r="I119" s="29">
        <v>51037.250816175103</v>
      </c>
      <c r="J119" s="29">
        <v>36377.412265616702</v>
      </c>
      <c r="K119" s="29">
        <v>12454.469301532599</v>
      </c>
      <c r="L119" s="29">
        <v>36816.091358934696</v>
      </c>
      <c r="M119" s="29">
        <v>56501.245437216501</v>
      </c>
      <c r="N119" s="29">
        <v>70657.384533938704</v>
      </c>
      <c r="O119" s="29">
        <v>49537.600086904698</v>
      </c>
      <c r="P119" s="29">
        <v>36535.108008307703</v>
      </c>
      <c r="Q119" s="29">
        <v>15527.6680366813</v>
      </c>
      <c r="R119" s="29">
        <v>26584.819685505001</v>
      </c>
      <c r="S119" s="29">
        <v>37595.674520133798</v>
      </c>
      <c r="T119" s="29">
        <v>47698.477518492196</v>
      </c>
      <c r="U119" s="29">
        <v>51110.847683600499</v>
      </c>
      <c r="V119" s="29">
        <v>27330.744133650602</v>
      </c>
      <c r="W119" s="29">
        <v>9650.6786667696306</v>
      </c>
      <c r="X119" s="29">
        <v>29050.380627737799</v>
      </c>
      <c r="Y119" s="29">
        <v>52844.123441505901</v>
      </c>
      <c r="Z119" s="29">
        <v>70002.895898461298</v>
      </c>
      <c r="AA119" s="29">
        <v>50945.249195587203</v>
      </c>
      <c r="AB119" s="29">
        <v>32313.476164352702</v>
      </c>
      <c r="AC119" s="29">
        <v>9880.6760367467905</v>
      </c>
      <c r="AD119" s="29">
        <v>24299.459241221401</v>
      </c>
      <c r="AE119" s="29">
        <v>30929.617274258399</v>
      </c>
      <c r="AF119" s="29">
        <v>44207.322963002996</v>
      </c>
      <c r="AG119" s="29">
        <v>51218.162594138397</v>
      </c>
      <c r="AH119" s="29">
        <v>29645.061152618899</v>
      </c>
      <c r="AI119" s="29">
        <v>7309.3535911120998</v>
      </c>
      <c r="AJ119" s="29">
        <v>23661.4548024992</v>
      </c>
      <c r="AK119" s="29">
        <v>45651.901814802703</v>
      </c>
      <c r="AL119" s="91"/>
      <c r="AM119" s="91"/>
      <c r="AN119" s="91"/>
      <c r="AO119" s="91"/>
      <c r="AP119" s="91"/>
      <c r="AQ119" s="91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1:56" ht="10.199999999999999" x14ac:dyDescent="0.2">
      <c r="A120" s="92" t="s">
        <v>669</v>
      </c>
      <c r="B120" s="91">
        <v>0.245353232167139</v>
      </c>
      <c r="C120" s="91">
        <v>0.241160001656855</v>
      </c>
      <c r="D120" s="91">
        <v>0.123192543404716</v>
      </c>
      <c r="E120" s="91">
        <v>0.34253477006467797</v>
      </c>
      <c r="F120" s="91">
        <v>0.24132640711550901</v>
      </c>
      <c r="G120" s="91">
        <v>0.12900187913264699</v>
      </c>
      <c r="H120" s="91">
        <v>0.242130288170577</v>
      </c>
      <c r="I120" s="91">
        <v>0.24244228847357099</v>
      </c>
      <c r="J120" s="91">
        <v>0.110197287434425</v>
      </c>
      <c r="K120" s="91">
        <v>0.22095587336875899</v>
      </c>
      <c r="L120" s="91">
        <v>0.23969483823835999</v>
      </c>
      <c r="M120" s="91">
        <v>0.14567834747108099</v>
      </c>
      <c r="N120" s="91">
        <v>0.24456139090141199</v>
      </c>
      <c r="O120" s="91">
        <v>0.242284987314279</v>
      </c>
      <c r="P120" s="91">
        <v>5.1357019060065803E-2</v>
      </c>
      <c r="Q120" s="91">
        <v>8.8593610861708902E-2</v>
      </c>
      <c r="R120" s="91">
        <v>0.23691890277861199</v>
      </c>
      <c r="S120" s="91">
        <v>0.113907712185087</v>
      </c>
      <c r="T120" s="91">
        <v>0.24252439835262099</v>
      </c>
      <c r="U120" s="91">
        <v>0.24295160192507401</v>
      </c>
      <c r="V120" s="91">
        <v>-1.56366031177625E-2</v>
      </c>
      <c r="W120" s="91">
        <v>0.21507954975916699</v>
      </c>
      <c r="X120" s="91">
        <v>0.23788967703154401</v>
      </c>
      <c r="Y120" s="91">
        <v>0.11254621576998899</v>
      </c>
      <c r="Z120" s="91">
        <v>0.24490901881106</v>
      </c>
      <c r="AA120" s="91">
        <v>0.24301038565003799</v>
      </c>
      <c r="AB120" s="91">
        <v>-5.9510521858033398E-3</v>
      </c>
      <c r="AC120" s="91">
        <v>-3.5625954210565899E-2</v>
      </c>
      <c r="AD120" s="91">
        <v>0.23591495559780201</v>
      </c>
      <c r="AE120" s="91">
        <v>6.3060057085376001E-2</v>
      </c>
      <c r="AF120" s="91">
        <v>0.24210346637559599</v>
      </c>
      <c r="AG120" s="91">
        <v>0.24306488136797699</v>
      </c>
      <c r="AH120" s="91">
        <v>-2.8826578969018302E-2</v>
      </c>
      <c r="AI120" s="91">
        <v>0.204745914339208</v>
      </c>
      <c r="AJ120" s="91">
        <v>0.235482411253084</v>
      </c>
      <c r="AK120" s="91">
        <v>6.8961033376525802E-2</v>
      </c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ht="10.199999999999999" x14ac:dyDescent="0.2">
      <c r="A121" s="27" t="s">
        <v>670</v>
      </c>
      <c r="B121" s="29">
        <v>111035.229949659</v>
      </c>
      <c r="C121" s="29">
        <v>111035.229949659</v>
      </c>
      <c r="D121" s="29">
        <v>111035.229950094</v>
      </c>
      <c r="E121" s="29">
        <v>111035.229950094</v>
      </c>
      <c r="F121" s="29">
        <v>111035.229950094</v>
      </c>
      <c r="G121" s="29">
        <v>111035.22995068</v>
      </c>
      <c r="H121" s="29">
        <v>111035.22995068</v>
      </c>
      <c r="I121" s="29">
        <v>111035.229950678</v>
      </c>
      <c r="J121" s="29">
        <v>111035.22995297299</v>
      </c>
      <c r="K121" s="29">
        <v>111035.229955722</v>
      </c>
      <c r="L121" s="29">
        <v>111035.229958479</v>
      </c>
      <c r="M121" s="29">
        <v>111035.22996082201</v>
      </c>
      <c r="N121" s="29">
        <v>81607.157310888098</v>
      </c>
      <c r="O121" s="29">
        <v>81607.157313630698</v>
      </c>
      <c r="P121" s="29">
        <v>81607.157316704601</v>
      </c>
      <c r="Q121" s="29">
        <v>81607.157319520993</v>
      </c>
      <c r="R121" s="29">
        <v>81607.157322226398</v>
      </c>
      <c r="S121" s="29">
        <v>81607.1573249621</v>
      </c>
      <c r="T121" s="29">
        <v>81607.157327548295</v>
      </c>
      <c r="U121" s="29">
        <v>81607.157330068207</v>
      </c>
      <c r="V121" s="29">
        <v>81607.157332482893</v>
      </c>
      <c r="W121" s="29">
        <v>81607.157334774194</v>
      </c>
      <c r="X121" s="29">
        <v>81607.157337066499</v>
      </c>
      <c r="Y121" s="29">
        <v>81607.157339563593</v>
      </c>
      <c r="Z121" s="29">
        <v>69177.422628943605</v>
      </c>
      <c r="AA121" s="29">
        <v>69177.422632427901</v>
      </c>
      <c r="AB121" s="29">
        <v>69177.422633260401</v>
      </c>
      <c r="AC121" s="29">
        <v>69177.422854448203</v>
      </c>
      <c r="AD121" s="29">
        <v>69177.422860360806</v>
      </c>
      <c r="AE121" s="29">
        <v>69177.423086291499</v>
      </c>
      <c r="AF121" s="29">
        <v>69177.423093621706</v>
      </c>
      <c r="AG121" s="29">
        <v>69177.423100867702</v>
      </c>
      <c r="AH121" s="29">
        <v>69177.4231728257</v>
      </c>
      <c r="AI121" s="29">
        <v>69177.423296780602</v>
      </c>
      <c r="AJ121" s="29">
        <v>69177.423421037602</v>
      </c>
      <c r="AK121" s="29">
        <v>69177.422872998402</v>
      </c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ht="14.4" x14ac:dyDescent="0.3">
      <c r="A122" s="27" t="s">
        <v>671</v>
      </c>
      <c r="B122" s="29">
        <v>540257.85306159302</v>
      </c>
      <c r="C122" s="29">
        <v>540257.85306159302</v>
      </c>
      <c r="D122" s="29">
        <v>540257.85306159302</v>
      </c>
      <c r="E122" s="29">
        <v>540257.85306159302</v>
      </c>
      <c r="F122" s="29">
        <v>540257.85306159302</v>
      </c>
      <c r="G122" s="29">
        <v>540257.85306159302</v>
      </c>
      <c r="H122" s="29">
        <v>540257.85306159104</v>
      </c>
      <c r="I122" s="29">
        <v>540257.85306158697</v>
      </c>
      <c r="J122" s="29">
        <v>540257.85306709399</v>
      </c>
      <c r="K122" s="29">
        <v>540257.85307811503</v>
      </c>
      <c r="L122" s="29">
        <v>540257.85308916296</v>
      </c>
      <c r="M122" s="29">
        <v>540257.85309986095</v>
      </c>
      <c r="N122" s="29">
        <v>454123.50682788301</v>
      </c>
      <c r="O122" s="29">
        <v>454123.50683887501</v>
      </c>
      <c r="P122" s="29">
        <v>454123.50685012498</v>
      </c>
      <c r="Q122" s="29">
        <v>454123.50686141301</v>
      </c>
      <c r="R122" s="29">
        <v>454123.506872256</v>
      </c>
      <c r="S122" s="29">
        <v>454123.50688373699</v>
      </c>
      <c r="T122" s="29">
        <v>454123.50689410203</v>
      </c>
      <c r="U122" s="29">
        <v>454123.50690420199</v>
      </c>
      <c r="V122" s="29">
        <v>454123.50691441202</v>
      </c>
      <c r="W122" s="29">
        <v>454123.50692359498</v>
      </c>
      <c r="X122" s="29">
        <v>454123.506932783</v>
      </c>
      <c r="Y122" s="29">
        <v>454123.50694322801</v>
      </c>
      <c r="Z122" s="29">
        <v>420064.62977279798</v>
      </c>
      <c r="AA122" s="29">
        <v>420064.62978676299</v>
      </c>
      <c r="AB122" s="29">
        <v>420064.62980016298</v>
      </c>
      <c r="AC122" s="29">
        <v>420064.63068668701</v>
      </c>
      <c r="AD122" s="29">
        <v>420064.63071038498</v>
      </c>
      <c r="AE122" s="29">
        <v>420064.63161739003</v>
      </c>
      <c r="AF122" s="29">
        <v>420064.631646769</v>
      </c>
      <c r="AG122" s="29">
        <v>420064.63167581102</v>
      </c>
      <c r="AH122" s="29">
        <v>420064.631931204</v>
      </c>
      <c r="AI122" s="29">
        <v>420064.63242801698</v>
      </c>
      <c r="AJ122" s="29">
        <v>420064.63292604103</v>
      </c>
      <c r="AK122" s="29">
        <v>420064.630728802</v>
      </c>
      <c r="AL122" s="91"/>
      <c r="AM122" s="91"/>
      <c r="AN122" s="91"/>
      <c r="AO122" s="91"/>
      <c r="AP122" s="91"/>
      <c r="AQ122" s="91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:56" ht="10.199999999999999" x14ac:dyDescent="0.2">
      <c r="A123" s="92" t="s">
        <v>672</v>
      </c>
      <c r="B123" s="91">
        <v>0.20552265796865801</v>
      </c>
      <c r="C123" s="91">
        <v>0.20552265796865801</v>
      </c>
      <c r="D123" s="91">
        <v>0.20552265796946401</v>
      </c>
      <c r="E123" s="91">
        <v>0.20552265796946401</v>
      </c>
      <c r="F123" s="91">
        <v>0.20552265796946401</v>
      </c>
      <c r="G123" s="91">
        <v>0.205522657970548</v>
      </c>
      <c r="H123" s="91">
        <v>0.205522657970547</v>
      </c>
      <c r="I123" s="91">
        <v>0.205522657970547</v>
      </c>
      <c r="J123" s="91">
        <v>0.205522657972699</v>
      </c>
      <c r="K123" s="91">
        <v>0.20552265797359601</v>
      </c>
      <c r="L123" s="91">
        <v>0.20552265797449501</v>
      </c>
      <c r="M123" s="91">
        <v>0.20552265797476199</v>
      </c>
      <c r="N123" s="91">
        <v>0.17970256127220899</v>
      </c>
      <c r="O123" s="91">
        <v>0.179702561273898</v>
      </c>
      <c r="P123" s="91">
        <v>0.17970256127621501</v>
      </c>
      <c r="Q123" s="91">
        <v>0.17970256127795001</v>
      </c>
      <c r="R123" s="91">
        <v>0.17970256127961701</v>
      </c>
      <c r="S123" s="91">
        <v>0.17970256128109799</v>
      </c>
      <c r="T123" s="91">
        <v>0.17970256128269099</v>
      </c>
      <c r="U123" s="91">
        <v>0.179702561284243</v>
      </c>
      <c r="V123" s="91">
        <v>0.17970256128552101</v>
      </c>
      <c r="W123" s="91">
        <v>0.17970256128693199</v>
      </c>
      <c r="X123" s="91">
        <v>0.179702561288344</v>
      </c>
      <c r="Y123" s="91">
        <v>0.17970256128970999</v>
      </c>
      <c r="Z123" s="91">
        <v>0.16468280765833501</v>
      </c>
      <c r="AA123" s="91">
        <v>0.16468280766115501</v>
      </c>
      <c r="AB123" s="91">
        <v>0.16468280765788301</v>
      </c>
      <c r="AC123" s="91">
        <v>0.16468280783688599</v>
      </c>
      <c r="AD123" s="91">
        <v>0.16468280784167</v>
      </c>
      <c r="AE123" s="91">
        <v>0.16468280802393401</v>
      </c>
      <c r="AF123" s="91">
        <v>0.16468280802986601</v>
      </c>
      <c r="AG123" s="91">
        <v>0.16468280803572999</v>
      </c>
      <c r="AH123" s="91">
        <v>0.164682808106908</v>
      </c>
      <c r="AI123" s="91">
        <v>0.164682808207222</v>
      </c>
      <c r="AJ123" s="91">
        <v>0.16468280830778001</v>
      </c>
      <c r="AK123" s="91">
        <v>0.16468280786453501</v>
      </c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ht="10.199999999999999" x14ac:dyDescent="0.2">
      <c r="A124" s="27" t="s">
        <v>673</v>
      </c>
      <c r="B124" s="29">
        <v>18979.991834730201</v>
      </c>
      <c r="C124" s="29">
        <v>9202.1226794723807</v>
      </c>
      <c r="D124" s="29">
        <v>8931.0264308788901</v>
      </c>
      <c r="E124" s="29">
        <v>3476.0400518033498</v>
      </c>
      <c r="F124" s="29">
        <v>9744.6904488096006</v>
      </c>
      <c r="G124" s="29">
        <v>10785.5814930378</v>
      </c>
      <c r="H124" s="29">
        <v>10211.580389725899</v>
      </c>
      <c r="I124" s="29">
        <v>10489.311443249801</v>
      </c>
      <c r="J124" s="29">
        <v>7476.3824589982196</v>
      </c>
      <c r="K124" s="29">
        <v>2559.6756345015501</v>
      </c>
      <c r="L124" s="29">
        <v>7566.5409523201197</v>
      </c>
      <c r="M124" s="29">
        <v>11612.2861411411</v>
      </c>
      <c r="N124" s="29">
        <v>12697.3129735441</v>
      </c>
      <c r="O124" s="29">
        <v>8902.03361497888</v>
      </c>
      <c r="P124" s="29">
        <v>6565.4524855960799</v>
      </c>
      <c r="Q124" s="29">
        <v>2790.36171686541</v>
      </c>
      <c r="R124" s="29">
        <v>4777.3601886420402</v>
      </c>
      <c r="S124" s="29">
        <v>6756.0390043585803</v>
      </c>
      <c r="T124" s="29">
        <v>8571.5385793579298</v>
      </c>
      <c r="U124" s="29">
        <v>9184.7502381518898</v>
      </c>
      <c r="V124" s="29">
        <v>4911.4047226562398</v>
      </c>
      <c r="W124" s="29">
        <v>1734.25167457566</v>
      </c>
      <c r="X124" s="29">
        <v>5220.4278052057998</v>
      </c>
      <c r="Y124" s="29">
        <v>9496.2243315482301</v>
      </c>
      <c r="Z124" s="29">
        <v>11528.2734407727</v>
      </c>
      <c r="AA124" s="29">
        <v>8389.8066745265005</v>
      </c>
      <c r="AB124" s="29">
        <v>5321.4739799317103</v>
      </c>
      <c r="AC124" s="29">
        <v>1627.1774730580901</v>
      </c>
      <c r="AD124" s="29">
        <v>4001.7031768785901</v>
      </c>
      <c r="AE124" s="29">
        <v>5093.5762238304796</v>
      </c>
      <c r="AF124" s="29">
        <v>7280.1860810305498</v>
      </c>
      <c r="AG124" s="29">
        <v>8434.7508384333596</v>
      </c>
      <c r="AH124" s="29">
        <v>4882.0319171143001</v>
      </c>
      <c r="AI124" s="29">
        <v>1203.72487556388</v>
      </c>
      <c r="AJ124" s="29">
        <v>3896.6348255232001</v>
      </c>
      <c r="AK124" s="29">
        <v>7518.0833752177996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ht="14.4" x14ac:dyDescent="0.3">
      <c r="A125" s="27" t="s">
        <v>674</v>
      </c>
      <c r="B125" s="29">
        <v>-3678.3485603570698</v>
      </c>
      <c r="C125" s="29">
        <v>-1595.63530284489</v>
      </c>
      <c r="D125" s="29">
        <v>3577.67088310182</v>
      </c>
      <c r="E125" s="29">
        <v>-2317.3094097289099</v>
      </c>
      <c r="F125" s="29">
        <v>-1697.6057811926601</v>
      </c>
      <c r="G125" s="29">
        <v>4015.7182873003298</v>
      </c>
      <c r="H125" s="29">
        <v>-1818.8834377498599</v>
      </c>
      <c r="I125" s="29">
        <v>-1884.27644202335</v>
      </c>
      <c r="J125" s="29">
        <v>3467.6903034434399</v>
      </c>
      <c r="K125" s="29">
        <v>-192.21250736299899</v>
      </c>
      <c r="L125" s="29">
        <v>-1258.08611052843</v>
      </c>
      <c r="M125" s="29">
        <v>3381.2780757894702</v>
      </c>
      <c r="N125" s="29">
        <v>-4582.7552655318204</v>
      </c>
      <c r="O125" s="29">
        <v>-3100.18319365668</v>
      </c>
      <c r="P125" s="29">
        <v>4689.1182472518603</v>
      </c>
      <c r="Q125" s="29">
        <v>1414.7095372338599</v>
      </c>
      <c r="R125" s="29">
        <v>-1521.0861218150601</v>
      </c>
      <c r="S125" s="29">
        <v>2473.6017317149399</v>
      </c>
      <c r="T125" s="29">
        <v>-2996.5059831504</v>
      </c>
      <c r="U125" s="29">
        <v>-3232.7120823273699</v>
      </c>
      <c r="V125" s="29">
        <v>5338.7647215872503</v>
      </c>
      <c r="W125" s="29">
        <v>-341.41194794355198</v>
      </c>
      <c r="X125" s="29">
        <v>-1690.35785997018</v>
      </c>
      <c r="Y125" s="29">
        <v>3548.8182125245398</v>
      </c>
      <c r="Z125" s="29">
        <v>-5616.0671076521703</v>
      </c>
      <c r="AA125" s="29">
        <v>-3990.4179795304599</v>
      </c>
      <c r="AB125" s="29">
        <v>5513.7731628904903</v>
      </c>
      <c r="AC125" s="29">
        <v>1979.1859851126701</v>
      </c>
      <c r="AD125" s="29">
        <v>-1730.90267106478</v>
      </c>
      <c r="AE125" s="29">
        <v>3143.15279288691</v>
      </c>
      <c r="AF125" s="29">
        <v>-3422.5600474979701</v>
      </c>
      <c r="AG125" s="29">
        <v>-4014.5857763967001</v>
      </c>
      <c r="AH125" s="29">
        <v>5736.5976134716502</v>
      </c>
      <c r="AI125" s="29">
        <v>-292.83540867693398</v>
      </c>
      <c r="AJ125" s="29">
        <v>-1675.2216051252001</v>
      </c>
      <c r="AK125" s="29">
        <v>4369.8810504653102</v>
      </c>
      <c r="AL125" s="29"/>
      <c r="AM125" s="29"/>
      <c r="AN125" s="29"/>
      <c r="AO125" s="29"/>
      <c r="AP125" s="29"/>
      <c r="AQ125" s="3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ht="14.4" x14ac:dyDescent="0.3">
      <c r="A126" s="27" t="s">
        <v>675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/>
      <c r="AM126" s="29"/>
      <c r="AN126" s="29"/>
      <c r="AO126" s="29"/>
      <c r="AP126" s="29"/>
      <c r="AQ126" s="3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</row>
    <row r="127" spans="1:56" ht="14.4" x14ac:dyDescent="0.3">
      <c r="A127" s="27" t="s">
        <v>676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/>
      <c r="AM127" s="29"/>
      <c r="AN127" s="29"/>
      <c r="AO127" s="29"/>
      <c r="AP127" s="29"/>
      <c r="AQ127" s="3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ht="14.4" x14ac:dyDescent="0.3">
      <c r="A128" s="27" t="s">
        <v>677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/>
      <c r="AM128" s="29"/>
      <c r="AN128" s="29"/>
      <c r="AO128" s="29"/>
      <c r="AP128" s="29"/>
      <c r="AQ128" s="3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0.199999999999999" x14ac:dyDescent="0.2">
      <c r="A129" s="27" t="s">
        <v>678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0.199999999999999" x14ac:dyDescent="0.2">
      <c r="A130" s="27" t="s">
        <v>679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1:56" ht="10.199999999999999" x14ac:dyDescent="0.2">
      <c r="A131" s="27" t="s">
        <v>680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1:56" ht="14.4" x14ac:dyDescent="0.3">
      <c r="A132" s="27" t="s">
        <v>681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/>
      <c r="AM132" s="29"/>
      <c r="AN132" s="29"/>
      <c r="AO132" s="29"/>
      <c r="AP132" s="29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:56" ht="14.4" x14ac:dyDescent="0.3">
      <c r="A133" s="27" t="s">
        <v>682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3"/>
      <c r="AM133" s="3"/>
      <c r="AN133" s="3"/>
      <c r="AO133" s="3"/>
      <c r="AP133" s="3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1:56" ht="14.4" x14ac:dyDescent="0.3">
      <c r="A134" s="27" t="s">
        <v>683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</row>
    <row r="135" spans="1:56" ht="10.199999999999999" x14ac:dyDescent="0.2">
      <c r="A135" s="27" t="s">
        <v>684</v>
      </c>
      <c r="B135" s="29">
        <v>202004</v>
      </c>
      <c r="C135" s="29">
        <v>202004</v>
      </c>
      <c r="D135" s="29">
        <v>202004</v>
      </c>
      <c r="E135" s="29">
        <v>202004</v>
      </c>
      <c r="F135" s="29">
        <v>202004</v>
      </c>
      <c r="G135" s="29">
        <v>202004</v>
      </c>
      <c r="H135" s="29">
        <v>202004</v>
      </c>
      <c r="I135" s="29">
        <v>202004</v>
      </c>
      <c r="J135" s="29">
        <v>202004</v>
      </c>
      <c r="K135" s="29">
        <v>202004</v>
      </c>
      <c r="L135" s="29">
        <v>202004</v>
      </c>
      <c r="M135" s="29">
        <v>202004</v>
      </c>
      <c r="N135" s="29">
        <v>202004</v>
      </c>
      <c r="O135" s="29">
        <v>202004</v>
      </c>
      <c r="P135" s="29">
        <v>202004</v>
      </c>
      <c r="Q135" s="29">
        <v>202004</v>
      </c>
      <c r="R135" s="29">
        <v>202004</v>
      </c>
      <c r="S135" s="29">
        <v>202004</v>
      </c>
      <c r="T135" s="29">
        <v>202004</v>
      </c>
      <c r="U135" s="29">
        <v>202004</v>
      </c>
      <c r="V135" s="29">
        <v>202004</v>
      </c>
      <c r="W135" s="29">
        <v>202004</v>
      </c>
      <c r="X135" s="29">
        <v>202004</v>
      </c>
      <c r="Y135" s="29">
        <v>202004</v>
      </c>
      <c r="Z135" s="29">
        <v>202004</v>
      </c>
      <c r="AA135" s="29">
        <v>202004</v>
      </c>
      <c r="AB135" s="29">
        <v>202004</v>
      </c>
      <c r="AC135" s="29">
        <v>202004</v>
      </c>
      <c r="AD135" s="29">
        <v>202004</v>
      </c>
      <c r="AE135" s="29">
        <v>202004</v>
      </c>
      <c r="AF135" s="29">
        <v>202004</v>
      </c>
      <c r="AG135" s="29">
        <v>202004</v>
      </c>
      <c r="AH135" s="29">
        <v>202004</v>
      </c>
      <c r="AI135" s="29">
        <v>202004</v>
      </c>
      <c r="AJ135" s="29">
        <v>202004</v>
      </c>
      <c r="AK135" s="29">
        <v>202004</v>
      </c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1:56" ht="10.199999999999999" x14ac:dyDescent="0.2">
      <c r="A136" s="27" t="s">
        <v>685</v>
      </c>
      <c r="B136" s="29">
        <v>202005</v>
      </c>
      <c r="C136" s="29">
        <v>202005</v>
      </c>
      <c r="D136" s="29">
        <v>202005</v>
      </c>
      <c r="E136" s="29">
        <v>202005</v>
      </c>
      <c r="F136" s="29">
        <v>202005</v>
      </c>
      <c r="G136" s="29">
        <v>202005</v>
      </c>
      <c r="H136" s="29">
        <v>202005</v>
      </c>
      <c r="I136" s="29">
        <v>202005</v>
      </c>
      <c r="J136" s="29">
        <v>202005</v>
      </c>
      <c r="K136" s="29">
        <v>202005</v>
      </c>
      <c r="L136" s="29">
        <v>202005</v>
      </c>
      <c r="M136" s="29">
        <v>202005</v>
      </c>
      <c r="N136" s="29">
        <v>202005</v>
      </c>
      <c r="O136" s="29">
        <v>202005</v>
      </c>
      <c r="P136" s="29">
        <v>202005</v>
      </c>
      <c r="Q136" s="29">
        <v>202005</v>
      </c>
      <c r="R136" s="29">
        <v>202005</v>
      </c>
      <c r="S136" s="29">
        <v>202005</v>
      </c>
      <c r="T136" s="29">
        <v>202005</v>
      </c>
      <c r="U136" s="29">
        <v>202005</v>
      </c>
      <c r="V136" s="29">
        <v>202005</v>
      </c>
      <c r="W136" s="29">
        <v>202005</v>
      </c>
      <c r="X136" s="29">
        <v>202005</v>
      </c>
      <c r="Y136" s="29">
        <v>202005</v>
      </c>
      <c r="Z136" s="29">
        <v>202005</v>
      </c>
      <c r="AA136" s="29">
        <v>202005</v>
      </c>
      <c r="AB136" s="29">
        <v>202005</v>
      </c>
      <c r="AC136" s="29">
        <v>202005</v>
      </c>
      <c r="AD136" s="29">
        <v>202005</v>
      </c>
      <c r="AE136" s="29">
        <v>202005</v>
      </c>
      <c r="AF136" s="29">
        <v>202005</v>
      </c>
      <c r="AG136" s="29">
        <v>202005</v>
      </c>
      <c r="AH136" s="29">
        <v>202005</v>
      </c>
      <c r="AI136" s="29">
        <v>202005</v>
      </c>
      <c r="AJ136" s="29">
        <v>202005</v>
      </c>
      <c r="AK136" s="29">
        <v>202005</v>
      </c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1:56" ht="10.199999999999999" x14ac:dyDescent="0.2">
      <c r="A137" s="27" t="s">
        <v>495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1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1:56" ht="10.199999999999999" x14ac:dyDescent="0.2">
      <c r="A138" s="27" t="s">
        <v>686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1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1:56" ht="10.199999999999999" x14ac:dyDescent="0.2">
      <c r="A139" s="27" t="s">
        <v>687</v>
      </c>
      <c r="B139" s="29">
        <v>0</v>
      </c>
      <c r="C139" s="29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561.48601023933895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1:56" ht="10.199999999999999" x14ac:dyDescent="0.2">
      <c r="A140" s="27" t="s">
        <v>496</v>
      </c>
      <c r="B140" s="29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1:56" ht="10.199999999999999" x14ac:dyDescent="0.2">
      <c r="A141" s="27" t="s">
        <v>688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</row>
    <row r="142" spans="1:56" ht="10.199999999999999" x14ac:dyDescent="0.2">
      <c r="A142" s="27" t="s">
        <v>689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1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1:56" ht="14.4" x14ac:dyDescent="0.3">
      <c r="A143" s="27" t="s">
        <v>690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-561.48601023933895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/>
      <c r="AM143" s="29"/>
      <c r="AN143" s="29"/>
      <c r="AO143" s="29"/>
      <c r="AP143" s="29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ht="14.4" x14ac:dyDescent="0.3">
      <c r="A144" s="27" t="s">
        <v>691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/>
      <c r="AM144" s="29"/>
      <c r="AN144" s="29"/>
      <c r="AO144" s="29"/>
      <c r="AP144" s="29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:43" ht="14.4" x14ac:dyDescent="0.3">
      <c r="A145" s="27" t="s">
        <v>692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561.48601023933895</v>
      </c>
      <c r="AD145" s="29">
        <v>-561.48601023933895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/>
      <c r="AM145" s="29"/>
      <c r="AN145" s="29"/>
      <c r="AO145" s="29"/>
      <c r="AP145" s="29"/>
      <c r="AQ145" s="3"/>
    </row>
    <row r="146" spans="1:43" ht="14.4" x14ac:dyDescent="0.3">
      <c r="A146" s="27" t="s">
        <v>325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/>
      <c r="AM146" s="29"/>
      <c r="AN146" s="29"/>
      <c r="AO146" s="29"/>
      <c r="AP146" s="29"/>
      <c r="AQ146" s="3"/>
    </row>
    <row r="147" spans="1:43" ht="14.4" x14ac:dyDescent="0.3">
      <c r="A147" s="27" t="s">
        <v>497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4.4" x14ac:dyDescent="0.3">
      <c r="A148" s="27" t="s">
        <v>498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4.4" x14ac:dyDescent="0.3">
      <c r="A149" s="27" t="s">
        <v>499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4.4" x14ac:dyDescent="0.3">
      <c r="A150" s="27" t="s">
        <v>500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4.4" x14ac:dyDescent="0.3">
      <c r="A151" s="27" t="s">
        <v>501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4.4" x14ac:dyDescent="0.3">
      <c r="A152" s="27" t="s">
        <v>502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4.4" x14ac:dyDescent="0.3">
      <c r="A153" s="27" t="s">
        <v>503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4.4" x14ac:dyDescent="0.3">
      <c r="A154" s="27" t="s">
        <v>504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4.4" x14ac:dyDescent="0.3">
      <c r="A155" s="27" t="s">
        <v>505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4.4" x14ac:dyDescent="0.3">
      <c r="A156" s="27" t="s">
        <v>506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4.4" x14ac:dyDescent="0.3">
      <c r="A157" s="27" t="s">
        <v>507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4.4" x14ac:dyDescent="0.3">
      <c r="A158" s="87" t="s">
        <v>508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0.199999999999999" x14ac:dyDescent="0.2">
      <c r="A159" s="27" t="s">
        <v>509</v>
      </c>
      <c r="B159" s="29">
        <v>11217.503271345</v>
      </c>
      <c r="C159" s="29">
        <v>6097.9912844549999</v>
      </c>
      <c r="D159" s="29">
        <v>285.67784102010899</v>
      </c>
      <c r="E159" s="29">
        <v>2626.9063334849898</v>
      </c>
      <c r="F159" s="29">
        <v>5927.1167254949996</v>
      </c>
      <c r="G159" s="29">
        <v>-921.80212812988998</v>
      </c>
      <c r="H159" s="29">
        <v>5883.7871861250896</v>
      </c>
      <c r="I159" s="29">
        <v>6203.9368510534496</v>
      </c>
      <c r="J159" s="29">
        <v>-25896.8373879461</v>
      </c>
      <c r="K159" s="29">
        <v>2190.8525964045698</v>
      </c>
      <c r="L159" s="29">
        <v>5086.1512928394604</v>
      </c>
      <c r="M159" s="29">
        <v>-7023.4642285151504</v>
      </c>
      <c r="N159" s="29">
        <v>8667.6153831600495</v>
      </c>
      <c r="O159" s="29">
        <v>6196.2210730246798</v>
      </c>
      <c r="P159" s="29">
        <v>-7920.0602933392502</v>
      </c>
      <c r="Q159" s="29">
        <v>2573.4385081947898</v>
      </c>
      <c r="R159" s="29">
        <v>3303.0827870529602</v>
      </c>
      <c r="S159" s="29">
        <v>-8091.0472151891099</v>
      </c>
      <c r="T159" s="29">
        <v>5541.7714862635103</v>
      </c>
      <c r="U159" s="29">
        <v>5984.6988766671702</v>
      </c>
      <c r="V159" s="29">
        <v>-8813.7969573606206</v>
      </c>
      <c r="W159" s="29">
        <v>1272.4841683096399</v>
      </c>
      <c r="X159" s="29">
        <v>3471.83351405233</v>
      </c>
      <c r="Y159" s="29">
        <v>-6422.7790186059601</v>
      </c>
      <c r="Z159" s="29">
        <v>8037.4478869954701</v>
      </c>
      <c r="AA159" s="29">
        <v>5882.6275638924699</v>
      </c>
      <c r="AB159" s="29">
        <v>1390.6493814498499</v>
      </c>
      <c r="AC159" s="29">
        <v>1241.8673179482701</v>
      </c>
      <c r="AD159" s="29">
        <v>2972.4344405468701</v>
      </c>
      <c r="AE159" s="29">
        <v>1455.8134622083601</v>
      </c>
      <c r="AF159" s="29">
        <v>5026.7802288856601</v>
      </c>
      <c r="AG159" s="29">
        <v>5679.2794811894701</v>
      </c>
      <c r="AH159" s="29">
        <v>1404.4845391231599</v>
      </c>
      <c r="AI159" s="29">
        <v>1061.5160491592901</v>
      </c>
      <c r="AJ159" s="29">
        <v>2808.29904994254</v>
      </c>
      <c r="AK159" s="29">
        <v>3315.15564422323</v>
      </c>
      <c r="AL159" s="29"/>
      <c r="AM159" s="29"/>
      <c r="AN159" s="29"/>
      <c r="AO159" s="29"/>
      <c r="AP159" s="29"/>
      <c r="AQ159" s="29"/>
    </row>
    <row r="160" spans="1:43" ht="14.4" x14ac:dyDescent="0.3">
      <c r="A160" s="27" t="s">
        <v>510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14.4" x14ac:dyDescent="0.3">
      <c r="A161" s="27" t="s">
        <v>511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/>
      <c r="AM161" s="29"/>
      <c r="AN161" s="29"/>
      <c r="AO161" s="29"/>
      <c r="AP161" s="29"/>
      <c r="AQ161" s="3"/>
    </row>
    <row r="162" spans="1:43" ht="14.4" x14ac:dyDescent="0.3">
      <c r="A162" s="27" t="s">
        <v>512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ht="10.199999999999999" x14ac:dyDescent="0.2">
      <c r="A163" s="27" t="s">
        <v>513</v>
      </c>
      <c r="B163" s="29">
        <v>11217.503271345</v>
      </c>
      <c r="C163" s="29">
        <v>6097.9912844549999</v>
      </c>
      <c r="D163" s="29">
        <v>285.67784102010899</v>
      </c>
      <c r="E163" s="29">
        <v>2626.9063334849898</v>
      </c>
      <c r="F163" s="29">
        <v>5927.1167254949996</v>
      </c>
      <c r="G163" s="29">
        <v>-921.80212812988998</v>
      </c>
      <c r="H163" s="29">
        <v>5883.7871861250896</v>
      </c>
      <c r="I163" s="29">
        <v>6203.9368510534496</v>
      </c>
      <c r="J163" s="29">
        <v>-25896.8373879461</v>
      </c>
      <c r="K163" s="29">
        <v>2190.8525964045698</v>
      </c>
      <c r="L163" s="29">
        <v>5086.1512928394604</v>
      </c>
      <c r="M163" s="29">
        <v>-7023.4642285151504</v>
      </c>
      <c r="N163" s="29">
        <v>8667.6153831600495</v>
      </c>
      <c r="O163" s="29">
        <v>6196.2210730246798</v>
      </c>
      <c r="P163" s="29">
        <v>-7920.0602933392502</v>
      </c>
      <c r="Q163" s="29">
        <v>2573.4385081947898</v>
      </c>
      <c r="R163" s="29">
        <v>3303.0827870529602</v>
      </c>
      <c r="S163" s="29">
        <v>-8091.0472151891099</v>
      </c>
      <c r="T163" s="29">
        <v>5541.7714862635103</v>
      </c>
      <c r="U163" s="29">
        <v>5984.6988766671702</v>
      </c>
      <c r="V163" s="29">
        <v>-8813.7969573606206</v>
      </c>
      <c r="W163" s="29">
        <v>1272.4841683096399</v>
      </c>
      <c r="X163" s="29">
        <v>3471.83351405233</v>
      </c>
      <c r="Y163" s="29">
        <v>-6422.7790186059601</v>
      </c>
      <c r="Z163" s="29">
        <v>8037.4478869954701</v>
      </c>
      <c r="AA163" s="29">
        <v>5882.6275638924699</v>
      </c>
      <c r="AB163" s="29">
        <v>1390.6493814498499</v>
      </c>
      <c r="AC163" s="29">
        <v>1241.8673179482701</v>
      </c>
      <c r="AD163" s="29">
        <v>2972.4344405468701</v>
      </c>
      <c r="AE163" s="29">
        <v>1455.8134622083601</v>
      </c>
      <c r="AF163" s="29">
        <v>5026.7802288856601</v>
      </c>
      <c r="AG163" s="29">
        <v>5679.2794811894701</v>
      </c>
      <c r="AH163" s="29">
        <v>1404.4845391231599</v>
      </c>
      <c r="AI163" s="29">
        <v>1061.5160491592901</v>
      </c>
      <c r="AJ163" s="29">
        <v>2808.29904994254</v>
      </c>
      <c r="AK163" s="29">
        <v>3315.15564422323</v>
      </c>
      <c r="AL163" s="29"/>
      <c r="AM163" s="29"/>
      <c r="AN163" s="29"/>
      <c r="AO163" s="29"/>
      <c r="AP163" s="29"/>
      <c r="AQ163" s="29"/>
    </row>
    <row r="164" spans="1:43" ht="10.199999999999999" x14ac:dyDescent="0.2">
      <c r="A164" s="27" t="s">
        <v>514</v>
      </c>
      <c r="B164" s="29">
        <v>11217.503271345</v>
      </c>
      <c r="C164" s="29">
        <v>17315.4945558</v>
      </c>
      <c r="D164" s="29">
        <v>17601.1723968201</v>
      </c>
      <c r="E164" s="29">
        <v>20228.0787303051</v>
      </c>
      <c r="F164" s="29">
        <v>26155.195455800102</v>
      </c>
      <c r="G164" s="29">
        <v>25233.393327670201</v>
      </c>
      <c r="H164" s="29">
        <v>31117.180513795302</v>
      </c>
      <c r="I164" s="29">
        <v>37321.117364848702</v>
      </c>
      <c r="J164" s="29">
        <v>11424.2799769025</v>
      </c>
      <c r="K164" s="29">
        <v>13615.132573307101</v>
      </c>
      <c r="L164" s="29">
        <v>18701.283866146601</v>
      </c>
      <c r="M164" s="29">
        <v>11677.819637631401</v>
      </c>
      <c r="N164" s="29">
        <v>8667.6153831600495</v>
      </c>
      <c r="O164" s="29">
        <v>14863.836456184699</v>
      </c>
      <c r="P164" s="29">
        <v>6943.77616284548</v>
      </c>
      <c r="Q164" s="29">
        <v>9517.2146710402794</v>
      </c>
      <c r="R164" s="29">
        <v>12820.2974580932</v>
      </c>
      <c r="S164" s="29">
        <v>4729.2502429041197</v>
      </c>
      <c r="T164" s="29">
        <v>10271.0217291676</v>
      </c>
      <c r="U164" s="29">
        <v>16255.7206058348</v>
      </c>
      <c r="V164" s="29">
        <v>7441.9236484741896</v>
      </c>
      <c r="W164" s="29">
        <v>8714.4078167838397</v>
      </c>
      <c r="X164" s="29">
        <v>12186.241330836099</v>
      </c>
      <c r="Y164" s="29">
        <v>5763.46231223021</v>
      </c>
      <c r="Z164" s="29">
        <v>8037.4478869954701</v>
      </c>
      <c r="AA164" s="29">
        <v>13920.0754508879</v>
      </c>
      <c r="AB164" s="29">
        <v>15310.724832337801</v>
      </c>
      <c r="AC164" s="29">
        <v>16552.592150286</v>
      </c>
      <c r="AD164" s="29">
        <v>19525.026590832898</v>
      </c>
      <c r="AE164" s="29">
        <v>20980.840053041298</v>
      </c>
      <c r="AF164" s="29">
        <v>26007.620281926898</v>
      </c>
      <c r="AG164" s="29">
        <v>31686.899763116398</v>
      </c>
      <c r="AH164" s="29">
        <v>33091.384302239603</v>
      </c>
      <c r="AI164" s="29">
        <v>34152.900351398901</v>
      </c>
      <c r="AJ164" s="29">
        <v>36961.199401341401</v>
      </c>
      <c r="AK164" s="29">
        <v>40276.355045564596</v>
      </c>
      <c r="AL164" s="29"/>
      <c r="AM164" s="29"/>
      <c r="AN164" s="29"/>
      <c r="AO164" s="29"/>
      <c r="AP164" s="29"/>
      <c r="AQ164" s="29"/>
    </row>
    <row r="165" spans="1:43" ht="14.4" x14ac:dyDescent="0.3">
      <c r="A165" s="27" t="s">
        <v>515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14.4" x14ac:dyDescent="0.3">
      <c r="A166" s="27" t="s">
        <v>516</v>
      </c>
      <c r="B166" s="29">
        <v>0</v>
      </c>
      <c r="C166" s="29">
        <v>0</v>
      </c>
      <c r="D166" s="29">
        <v>0</v>
      </c>
      <c r="E166" s="29">
        <v>12</v>
      </c>
      <c r="F166" s="29">
        <v>0</v>
      </c>
      <c r="G166" s="29">
        <v>12</v>
      </c>
      <c r="H166" s="29">
        <v>0</v>
      </c>
      <c r="I166" s="29">
        <v>0</v>
      </c>
      <c r="J166" s="29">
        <v>12</v>
      </c>
      <c r="K166" s="29">
        <v>0</v>
      </c>
      <c r="L166" s="29">
        <v>0</v>
      </c>
      <c r="M166" s="29">
        <v>12</v>
      </c>
      <c r="N166" s="29">
        <v>0</v>
      </c>
      <c r="O166" s="29">
        <v>0</v>
      </c>
      <c r="P166" s="29">
        <v>0</v>
      </c>
      <c r="Q166" s="29">
        <v>12</v>
      </c>
      <c r="R166" s="29">
        <v>0</v>
      </c>
      <c r="S166" s="29">
        <v>12</v>
      </c>
      <c r="T166" s="29">
        <v>0</v>
      </c>
      <c r="U166" s="29">
        <v>0</v>
      </c>
      <c r="V166" s="29">
        <v>12</v>
      </c>
      <c r="W166" s="29">
        <v>0</v>
      </c>
      <c r="X166" s="29">
        <v>0</v>
      </c>
      <c r="Y166" s="29">
        <v>12</v>
      </c>
      <c r="Z166" s="29">
        <v>0</v>
      </c>
      <c r="AA166" s="29">
        <v>0</v>
      </c>
      <c r="AB166" s="29">
        <v>0</v>
      </c>
      <c r="AC166" s="29">
        <v>12</v>
      </c>
      <c r="AD166" s="29">
        <v>0</v>
      </c>
      <c r="AE166" s="29">
        <v>12</v>
      </c>
      <c r="AF166" s="29">
        <v>0</v>
      </c>
      <c r="AG166" s="29">
        <v>0</v>
      </c>
      <c r="AH166" s="29">
        <v>12</v>
      </c>
      <c r="AI166" s="29">
        <v>0</v>
      </c>
      <c r="AJ166" s="29">
        <v>0</v>
      </c>
      <c r="AK166" s="29">
        <v>12</v>
      </c>
      <c r="AL166" s="29"/>
      <c r="AM166" s="29"/>
      <c r="AN166" s="29"/>
      <c r="AO166" s="29"/>
      <c r="AP166" s="29"/>
      <c r="AQ166" s="3"/>
    </row>
    <row r="167" spans="1:43" ht="10.199999999999999" x14ac:dyDescent="0.2">
      <c r="A167" s="27" t="s">
        <v>517</v>
      </c>
      <c r="B167" s="29">
        <v>56224.573660000002</v>
      </c>
      <c r="C167" s="29">
        <v>86766.888709999999</v>
      </c>
      <c r="D167" s="29">
        <v>111967.78274</v>
      </c>
      <c r="E167" s="29">
        <v>125117.96736</v>
      </c>
      <c r="F167" s="29">
        <v>154839.86984999999</v>
      </c>
      <c r="G167" s="29">
        <v>186711.60422000001</v>
      </c>
      <c r="H167" s="29">
        <v>216155.00438663701</v>
      </c>
      <c r="I167" s="29">
        <v>247175.47836963</v>
      </c>
      <c r="J167" s="29">
        <v>270358.08028577903</v>
      </c>
      <c r="K167" s="29">
        <v>281254.59103180101</v>
      </c>
      <c r="L167" s="29">
        <v>306674.936302107</v>
      </c>
      <c r="M167" s="29">
        <v>342507.88710479299</v>
      </c>
      <c r="N167" s="29">
        <v>43389.204134525302</v>
      </c>
      <c r="O167" s="29">
        <v>74387.306565887193</v>
      </c>
      <c r="P167" s="29">
        <v>97312.859295230897</v>
      </c>
      <c r="Q167" s="29">
        <v>110148.76928401001</v>
      </c>
      <c r="R167" s="29">
        <v>126639.744839397</v>
      </c>
      <c r="S167" s="29">
        <v>148708.72398613801</v>
      </c>
      <c r="T167" s="29">
        <v>176417.442336904</v>
      </c>
      <c r="U167" s="29">
        <v>206350.74128148099</v>
      </c>
      <c r="V167" s="29">
        <v>224786.37000435201</v>
      </c>
      <c r="W167" s="29">
        <v>231093.58106248599</v>
      </c>
      <c r="X167" s="29">
        <v>248436.57891509001</v>
      </c>
      <c r="Y167" s="29">
        <v>278838.40033695602</v>
      </c>
      <c r="Z167" s="29">
        <v>40227.7425972005</v>
      </c>
      <c r="AA167" s="29">
        <v>69654.232998309206</v>
      </c>
      <c r="AB167" s="29">
        <v>87227.108252257894</v>
      </c>
      <c r="AC167" s="29">
        <v>93387.596210698699</v>
      </c>
      <c r="AD167" s="29">
        <v>108225.54820516201</v>
      </c>
      <c r="AE167" s="29">
        <v>126126.097806337</v>
      </c>
      <c r="AF167" s="29">
        <v>151254.63621964201</v>
      </c>
      <c r="AG167" s="29">
        <v>179659.60853741301</v>
      </c>
      <c r="AH167" s="29">
        <v>197293.69379162899</v>
      </c>
      <c r="AI167" s="29">
        <v>202546.22236516199</v>
      </c>
      <c r="AJ167" s="29">
        <v>216564.888375076</v>
      </c>
      <c r="AK167" s="29">
        <v>243757.83661467899</v>
      </c>
      <c r="AL167" s="29"/>
      <c r="AM167" s="29"/>
      <c r="AN167" s="29"/>
      <c r="AO167" s="29"/>
      <c r="AP167" s="29"/>
      <c r="AQ167" s="29"/>
    </row>
    <row r="168" spans="1:43" ht="10.199999999999999" x14ac:dyDescent="0.2">
      <c r="A168" s="27" t="s">
        <v>518</v>
      </c>
      <c r="B168" s="29">
        <v>0</v>
      </c>
      <c r="C168" s="29">
        <v>0</v>
      </c>
      <c r="D168" s="29">
        <v>0</v>
      </c>
      <c r="E168" s="29">
        <v>342507.88710472599</v>
      </c>
      <c r="F168" s="29">
        <v>0</v>
      </c>
      <c r="G168" s="29">
        <v>342507.88710472599</v>
      </c>
      <c r="H168" s="29">
        <v>0</v>
      </c>
      <c r="I168" s="29">
        <v>0</v>
      </c>
      <c r="J168" s="29">
        <v>342507.88710472599</v>
      </c>
      <c r="K168" s="29">
        <v>0</v>
      </c>
      <c r="L168" s="29">
        <v>0</v>
      </c>
      <c r="M168" s="29">
        <v>342507.88710479299</v>
      </c>
      <c r="N168" s="29">
        <v>0</v>
      </c>
      <c r="O168" s="29">
        <v>0</v>
      </c>
      <c r="P168" s="29">
        <v>0</v>
      </c>
      <c r="Q168" s="29">
        <v>278838.40033435001</v>
      </c>
      <c r="R168" s="29">
        <v>0</v>
      </c>
      <c r="S168" s="29">
        <v>278838.40033435001</v>
      </c>
      <c r="T168" s="29">
        <v>0</v>
      </c>
      <c r="U168" s="29">
        <v>0</v>
      </c>
      <c r="V168" s="29">
        <v>278838.40033435001</v>
      </c>
      <c r="W168" s="29">
        <v>0</v>
      </c>
      <c r="X168" s="29">
        <v>0</v>
      </c>
      <c r="Y168" s="29">
        <v>278838.40033695602</v>
      </c>
      <c r="Z168" s="29">
        <v>0</v>
      </c>
      <c r="AA168" s="29">
        <v>0</v>
      </c>
      <c r="AB168" s="29">
        <v>0</v>
      </c>
      <c r="AC168" s="29">
        <v>243757.83661199099</v>
      </c>
      <c r="AD168" s="29">
        <v>0</v>
      </c>
      <c r="AE168" s="29">
        <v>243757.83661199099</v>
      </c>
      <c r="AF168" s="29">
        <v>0</v>
      </c>
      <c r="AG168" s="29">
        <v>0</v>
      </c>
      <c r="AH168" s="29">
        <v>243757.83661199099</v>
      </c>
      <c r="AI168" s="29">
        <v>0</v>
      </c>
      <c r="AJ168" s="29">
        <v>0</v>
      </c>
      <c r="AK168" s="29">
        <v>243757.83661467899</v>
      </c>
      <c r="AL168" s="29"/>
      <c r="AM168" s="29"/>
      <c r="AN168" s="29"/>
      <c r="AO168" s="29"/>
      <c r="AP168" s="29"/>
      <c r="AQ168" s="29"/>
    </row>
    <row r="169" spans="1:43" ht="10.199999999999999" x14ac:dyDescent="0.2">
      <c r="A169" s="27" t="s">
        <v>519</v>
      </c>
      <c r="B169" s="29">
        <v>11217.503271345</v>
      </c>
      <c r="C169" s="29">
        <v>17315.4945558</v>
      </c>
      <c r="D169" s="29">
        <v>17601.1723968201</v>
      </c>
      <c r="E169" s="29">
        <v>20228.0787303051</v>
      </c>
      <c r="F169" s="29">
        <v>26155.195455800102</v>
      </c>
      <c r="G169" s="29">
        <v>25233.393327670201</v>
      </c>
      <c r="H169" s="29">
        <v>31117.180513795302</v>
      </c>
      <c r="I169" s="29">
        <v>37321.117364848702</v>
      </c>
      <c r="J169" s="29">
        <v>11424.2799769025</v>
      </c>
      <c r="K169" s="29">
        <v>13615.132573307101</v>
      </c>
      <c r="L169" s="29">
        <v>18701.283866146601</v>
      </c>
      <c r="M169" s="29">
        <v>11677.819637631401</v>
      </c>
      <c r="N169" s="29">
        <v>8667.6153831600495</v>
      </c>
      <c r="O169" s="29">
        <v>14863.836456184699</v>
      </c>
      <c r="P169" s="29">
        <v>6943.77616284548</v>
      </c>
      <c r="Q169" s="29">
        <v>9517.2146710402794</v>
      </c>
      <c r="R169" s="29">
        <v>12820.2974580932</v>
      </c>
      <c r="S169" s="29">
        <v>4729.2502429041197</v>
      </c>
      <c r="T169" s="29">
        <v>10271.0217291676</v>
      </c>
      <c r="U169" s="29">
        <v>16255.7206058348</v>
      </c>
      <c r="V169" s="29">
        <v>7441.9236484741896</v>
      </c>
      <c r="W169" s="29">
        <v>8714.4078167838397</v>
      </c>
      <c r="X169" s="29">
        <v>12186.241330836099</v>
      </c>
      <c r="Y169" s="29">
        <v>5763.46231223021</v>
      </c>
      <c r="Z169" s="29">
        <v>8037.4478869954701</v>
      </c>
      <c r="AA169" s="29">
        <v>13920.0754508879</v>
      </c>
      <c r="AB169" s="29">
        <v>15310.724832337801</v>
      </c>
      <c r="AC169" s="29">
        <v>16552.592150286</v>
      </c>
      <c r="AD169" s="29">
        <v>19525.026590832898</v>
      </c>
      <c r="AE169" s="29">
        <v>20980.840053041298</v>
      </c>
      <c r="AF169" s="29">
        <v>26007.620281926898</v>
      </c>
      <c r="AG169" s="29">
        <v>31686.899763116398</v>
      </c>
      <c r="AH169" s="29">
        <v>33091.384302239603</v>
      </c>
      <c r="AI169" s="29">
        <v>34152.900351398901</v>
      </c>
      <c r="AJ169" s="29">
        <v>36961.199401341401</v>
      </c>
      <c r="AK169" s="29">
        <v>40276.355045564596</v>
      </c>
      <c r="AL169" s="29"/>
      <c r="AM169" s="29"/>
      <c r="AN169" s="29"/>
      <c r="AO169" s="29"/>
      <c r="AP169" s="29"/>
      <c r="AQ169" s="29"/>
    </row>
    <row r="170" spans="1:43" ht="10.199999999999999" x14ac:dyDescent="0.2">
      <c r="A170" s="27" t="s">
        <v>520</v>
      </c>
      <c r="B170" s="29">
        <v>0</v>
      </c>
      <c r="C170" s="29">
        <v>0</v>
      </c>
      <c r="D170" s="29">
        <v>0</v>
      </c>
      <c r="E170" s="29">
        <v>11677.8196376203</v>
      </c>
      <c r="F170" s="29">
        <v>0</v>
      </c>
      <c r="G170" s="29">
        <v>11677.8196376203</v>
      </c>
      <c r="H170" s="29">
        <v>0</v>
      </c>
      <c r="I170" s="29">
        <v>0</v>
      </c>
      <c r="J170" s="29">
        <v>11677.8196376203</v>
      </c>
      <c r="K170" s="29">
        <v>0</v>
      </c>
      <c r="L170" s="29">
        <v>0</v>
      </c>
      <c r="M170" s="29">
        <v>11677.819637631401</v>
      </c>
      <c r="N170" s="29">
        <v>0</v>
      </c>
      <c r="O170" s="29">
        <v>0</v>
      </c>
      <c r="P170" s="29">
        <v>0</v>
      </c>
      <c r="Q170" s="29">
        <v>5763.4623116797802</v>
      </c>
      <c r="R170" s="29">
        <v>0</v>
      </c>
      <c r="S170" s="29">
        <v>5763.4623116797802</v>
      </c>
      <c r="T170" s="29">
        <v>0</v>
      </c>
      <c r="U170" s="29">
        <v>0</v>
      </c>
      <c r="V170" s="29">
        <v>5763.4623116797802</v>
      </c>
      <c r="W170" s="29">
        <v>0</v>
      </c>
      <c r="X170" s="29">
        <v>0</v>
      </c>
      <c r="Y170" s="29">
        <v>5763.46231223021</v>
      </c>
      <c r="Z170" s="29">
        <v>0</v>
      </c>
      <c r="AA170" s="29">
        <v>0</v>
      </c>
      <c r="AB170" s="29">
        <v>0</v>
      </c>
      <c r="AC170" s="29">
        <v>40276.355045015101</v>
      </c>
      <c r="AD170" s="29">
        <v>0</v>
      </c>
      <c r="AE170" s="29">
        <v>40276.355045015101</v>
      </c>
      <c r="AF170" s="29">
        <v>0</v>
      </c>
      <c r="AG170" s="29">
        <v>0</v>
      </c>
      <c r="AH170" s="29">
        <v>40276.355045015101</v>
      </c>
      <c r="AI170" s="29">
        <v>0</v>
      </c>
      <c r="AJ170" s="29">
        <v>0</v>
      </c>
      <c r="AK170" s="29">
        <v>40276.355045564596</v>
      </c>
      <c r="AL170" s="29"/>
      <c r="AM170" s="29"/>
      <c r="AN170" s="29"/>
      <c r="AO170" s="29"/>
      <c r="AP170" s="29"/>
      <c r="AQ170" s="29"/>
    </row>
    <row r="171" spans="1:43" ht="14.4" x14ac:dyDescent="0.3">
      <c r="A171" s="27" t="s">
        <v>521</v>
      </c>
      <c r="B171" s="29">
        <v>0</v>
      </c>
      <c r="C171" s="29">
        <v>0</v>
      </c>
      <c r="D171" s="29">
        <v>0</v>
      </c>
      <c r="E171" s="29">
        <v>86766.888709999999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74387.306565887193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69654.232998309206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/>
      <c r="AM171" s="29"/>
      <c r="AN171" s="29"/>
      <c r="AO171" s="29"/>
      <c r="AP171" s="29"/>
      <c r="AQ171" s="3"/>
    </row>
    <row r="172" spans="1:43" ht="14.4" x14ac:dyDescent="0.3">
      <c r="A172" s="27" t="s">
        <v>522</v>
      </c>
      <c r="B172" s="29">
        <v>0</v>
      </c>
      <c r="C172" s="29">
        <v>0</v>
      </c>
      <c r="D172" s="29">
        <v>0</v>
      </c>
      <c r="E172" s="29">
        <v>520601.33226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446323.83939532301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417925.39798985497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/>
      <c r="AM172" s="29"/>
      <c r="AN172" s="29"/>
      <c r="AO172" s="29"/>
      <c r="AP172" s="29"/>
      <c r="AQ172" s="3"/>
    </row>
    <row r="173" spans="1:43" ht="14.4" x14ac:dyDescent="0.3">
      <c r="A173" s="27" t="s">
        <v>523</v>
      </c>
      <c r="B173" s="29">
        <v>0</v>
      </c>
      <c r="C173" s="29">
        <v>0</v>
      </c>
      <c r="D173" s="29">
        <v>0</v>
      </c>
      <c r="E173" s="29">
        <v>49077.443120227901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40935.404514483998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76851.542934366604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/>
      <c r="AM173" s="29"/>
      <c r="AN173" s="29"/>
      <c r="AO173" s="29"/>
      <c r="AP173" s="29"/>
      <c r="AQ173" s="3"/>
    </row>
    <row r="174" spans="1:43" ht="14.4" x14ac:dyDescent="0.3">
      <c r="A174" s="27" t="s">
        <v>524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125117.96736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110148.76928401001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93387.596210698699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/>
      <c r="AM174" s="29"/>
      <c r="AN174" s="29"/>
      <c r="AO174" s="29"/>
      <c r="AP174" s="29"/>
      <c r="AQ174" s="3"/>
    </row>
    <row r="175" spans="1:43" ht="14.4" x14ac:dyDescent="0.3">
      <c r="A175" s="27" t="s">
        <v>525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375353.90208000003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330446.30785203102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280162.78863209602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/>
      <c r="AM175" s="29"/>
      <c r="AN175" s="29"/>
      <c r="AO175" s="29"/>
      <c r="AP175" s="29"/>
      <c r="AQ175" s="3"/>
    </row>
    <row r="176" spans="1:43" ht="14.4" x14ac:dyDescent="0.3">
      <c r="A176" s="27" t="s">
        <v>526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18575.482782427898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16601.1228903927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47921.394969237197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/>
      <c r="AM176" s="29"/>
      <c r="AN176" s="29"/>
      <c r="AO176" s="29"/>
      <c r="AP176" s="29"/>
      <c r="AQ176" s="3"/>
    </row>
    <row r="177" spans="1:43" ht="14.4" x14ac:dyDescent="0.3">
      <c r="A177" s="27" t="s">
        <v>527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1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1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1</v>
      </c>
      <c r="AI177" s="29">
        <v>0</v>
      </c>
      <c r="AJ177" s="29">
        <v>0</v>
      </c>
      <c r="AK177" s="29">
        <v>0</v>
      </c>
      <c r="AL177" s="29"/>
      <c r="AM177" s="29"/>
      <c r="AN177" s="29"/>
      <c r="AO177" s="29"/>
      <c r="AP177" s="29"/>
      <c r="AQ177" s="3"/>
    </row>
    <row r="178" spans="1:43" ht="14.4" x14ac:dyDescent="0.3">
      <c r="A178" s="27" t="s">
        <v>528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216155.00438663701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176417.442336904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151254.63621964201</v>
      </c>
      <c r="AI178" s="29">
        <v>0</v>
      </c>
      <c r="AJ178" s="29">
        <v>0</v>
      </c>
      <c r="AK178" s="29">
        <v>0</v>
      </c>
      <c r="AL178" s="29"/>
      <c r="AM178" s="29"/>
      <c r="AN178" s="29"/>
      <c r="AO178" s="29"/>
      <c r="AP178" s="29"/>
      <c r="AQ178" s="3"/>
    </row>
    <row r="179" spans="1:43" ht="14.4" x14ac:dyDescent="0.3">
      <c r="A179" s="27" t="s">
        <v>529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370551.43609137798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302429.90114897903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259293.662090814</v>
      </c>
      <c r="AI179" s="29">
        <v>0</v>
      </c>
      <c r="AJ179" s="29">
        <v>0</v>
      </c>
      <c r="AK179" s="29">
        <v>0</v>
      </c>
      <c r="AL179" s="29"/>
      <c r="AM179" s="29"/>
      <c r="AN179" s="29"/>
      <c r="AO179" s="29"/>
      <c r="AP179" s="29"/>
      <c r="AQ179" s="3"/>
    </row>
    <row r="180" spans="1:43" ht="14.4" x14ac:dyDescent="0.3">
      <c r="A180" s="27" t="s">
        <v>530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17566.964924817301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10717.6774827518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43538.878395568099</v>
      </c>
      <c r="AI180" s="29">
        <v>0</v>
      </c>
      <c r="AJ180" s="29">
        <v>0</v>
      </c>
      <c r="AK180" s="29">
        <v>0</v>
      </c>
      <c r="AL180" s="29"/>
      <c r="AM180" s="29"/>
      <c r="AN180" s="29"/>
      <c r="AO180" s="29"/>
      <c r="AP180" s="29"/>
      <c r="AQ180" s="3"/>
    </row>
    <row r="181" spans="1:43" ht="14.4" x14ac:dyDescent="0.3">
      <c r="A181" s="27" t="s">
        <v>531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1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1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1</v>
      </c>
      <c r="AL181" s="29"/>
      <c r="AM181" s="29"/>
      <c r="AN181" s="29"/>
      <c r="AO181" s="29"/>
      <c r="AP181" s="29"/>
      <c r="AQ181" s="3"/>
    </row>
    <row r="182" spans="1:43" ht="10.199999999999999" x14ac:dyDescent="0.2">
      <c r="A182" s="27" t="s">
        <v>532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11677.819637631401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5763.46231223021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40276.355045564596</v>
      </c>
      <c r="AL182" s="29"/>
      <c r="AM182" s="29"/>
      <c r="AN182" s="29"/>
      <c r="AO182" s="29"/>
      <c r="AP182" s="29"/>
      <c r="AQ182" s="29"/>
    </row>
    <row r="183" spans="1:43" ht="10.199999999999999" x14ac:dyDescent="0.2">
      <c r="A183" s="27" t="s">
        <v>533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11677.819637631401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5763.46231223021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40276.355045564596</v>
      </c>
      <c r="AL183" s="29"/>
      <c r="AM183" s="29"/>
      <c r="AN183" s="29"/>
      <c r="AO183" s="29"/>
      <c r="AP183" s="29"/>
      <c r="AQ183" s="29"/>
    </row>
    <row r="184" spans="1:43" ht="14.4" x14ac:dyDescent="0.3">
      <c r="A184" s="27" t="s">
        <v>534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/>
      <c r="AM184" s="29"/>
      <c r="AN184" s="29"/>
      <c r="AO184" s="29"/>
      <c r="AP184" s="29"/>
      <c r="AQ184" s="3"/>
    </row>
    <row r="185" spans="1:43" ht="10.199999999999999" x14ac:dyDescent="0.2">
      <c r="A185" s="27" t="s">
        <v>535</v>
      </c>
      <c r="B185" s="29">
        <v>0</v>
      </c>
      <c r="C185" s="29">
        <v>0</v>
      </c>
      <c r="D185" s="29">
        <v>0</v>
      </c>
      <c r="E185" s="29">
        <v>49077.443120227901</v>
      </c>
      <c r="F185" s="29">
        <v>0</v>
      </c>
      <c r="G185" s="29">
        <v>18575.482782427898</v>
      </c>
      <c r="H185" s="29">
        <v>0</v>
      </c>
      <c r="I185" s="29">
        <v>0</v>
      </c>
      <c r="J185" s="29">
        <v>17566.964924817301</v>
      </c>
      <c r="K185" s="29">
        <v>0</v>
      </c>
      <c r="L185" s="29">
        <v>0</v>
      </c>
      <c r="M185" s="29">
        <v>11677.819637631401</v>
      </c>
      <c r="N185" s="29">
        <v>0</v>
      </c>
      <c r="O185" s="29">
        <v>0</v>
      </c>
      <c r="P185" s="29">
        <v>0</v>
      </c>
      <c r="Q185" s="29">
        <v>40935.404514483998</v>
      </c>
      <c r="R185" s="29">
        <v>0</v>
      </c>
      <c r="S185" s="29">
        <v>16601.1228903927</v>
      </c>
      <c r="T185" s="29">
        <v>0</v>
      </c>
      <c r="U185" s="29">
        <v>0</v>
      </c>
      <c r="V185" s="29">
        <v>10717.6774827518</v>
      </c>
      <c r="W185" s="29">
        <v>0</v>
      </c>
      <c r="X185" s="29">
        <v>0</v>
      </c>
      <c r="Y185" s="29">
        <v>5763.46231223021</v>
      </c>
      <c r="Z185" s="29">
        <v>0</v>
      </c>
      <c r="AA185" s="29">
        <v>0</v>
      </c>
      <c r="AB185" s="29">
        <v>0</v>
      </c>
      <c r="AC185" s="29">
        <v>76851.542934366604</v>
      </c>
      <c r="AD185" s="29">
        <v>0</v>
      </c>
      <c r="AE185" s="29">
        <v>47921.394969237197</v>
      </c>
      <c r="AF185" s="29">
        <v>0</v>
      </c>
      <c r="AG185" s="29">
        <v>0</v>
      </c>
      <c r="AH185" s="29">
        <v>43538.878395568099</v>
      </c>
      <c r="AI185" s="29">
        <v>0</v>
      </c>
      <c r="AJ185" s="29">
        <v>0</v>
      </c>
      <c r="AK185" s="29">
        <v>40276.355045564596</v>
      </c>
      <c r="AL185" s="29"/>
      <c r="AM185" s="29"/>
      <c r="AN185" s="29"/>
      <c r="AO185" s="29"/>
      <c r="AP185" s="29"/>
      <c r="AQ185" s="29"/>
    </row>
    <row r="186" spans="1:43" ht="10.199999999999999" x14ac:dyDescent="0.2">
      <c r="A186" s="90" t="s">
        <v>536</v>
      </c>
      <c r="B186" s="88">
        <v>0</v>
      </c>
      <c r="C186" s="88">
        <v>0</v>
      </c>
      <c r="D186" s="88">
        <v>0</v>
      </c>
      <c r="E186" s="88">
        <v>0.25</v>
      </c>
      <c r="F186" s="88">
        <v>0</v>
      </c>
      <c r="G186" s="88">
        <v>0.5</v>
      </c>
      <c r="H186" s="88">
        <v>0</v>
      </c>
      <c r="I186" s="88">
        <v>0</v>
      </c>
      <c r="J186" s="88">
        <v>0.75</v>
      </c>
      <c r="K186" s="88">
        <v>0</v>
      </c>
      <c r="L186" s="88">
        <v>0</v>
      </c>
      <c r="M186" s="88">
        <v>1</v>
      </c>
      <c r="N186" s="88">
        <v>0</v>
      </c>
      <c r="O186" s="88">
        <v>0</v>
      </c>
      <c r="P186" s="88">
        <v>0</v>
      </c>
      <c r="Q186" s="88">
        <v>0.25</v>
      </c>
      <c r="R186" s="88">
        <v>0</v>
      </c>
      <c r="S186" s="88">
        <v>0.5</v>
      </c>
      <c r="T186" s="88">
        <v>0</v>
      </c>
      <c r="U186" s="88">
        <v>0</v>
      </c>
      <c r="V186" s="88">
        <v>0.75</v>
      </c>
      <c r="W186" s="88">
        <v>0</v>
      </c>
      <c r="X186" s="88">
        <v>0</v>
      </c>
      <c r="Y186" s="88">
        <v>1</v>
      </c>
      <c r="Z186" s="88">
        <v>0</v>
      </c>
      <c r="AA186" s="88">
        <v>0</v>
      </c>
      <c r="AB186" s="88">
        <v>0</v>
      </c>
      <c r="AC186" s="88">
        <v>0.25</v>
      </c>
      <c r="AD186" s="88">
        <v>0</v>
      </c>
      <c r="AE186" s="88">
        <v>0.5</v>
      </c>
      <c r="AF186" s="88">
        <v>0</v>
      </c>
      <c r="AG186" s="88">
        <v>0</v>
      </c>
      <c r="AH186" s="88">
        <v>0.75</v>
      </c>
      <c r="AI186" s="88">
        <v>0</v>
      </c>
      <c r="AJ186" s="88">
        <v>0</v>
      </c>
      <c r="AK186" s="88">
        <v>1</v>
      </c>
      <c r="AL186" s="88"/>
      <c r="AM186" s="88"/>
      <c r="AN186" s="88"/>
      <c r="AO186" s="88"/>
      <c r="AP186" s="88"/>
      <c r="AQ186" s="88"/>
    </row>
    <row r="187" spans="1:43" ht="10.199999999999999" x14ac:dyDescent="0.2">
      <c r="A187" s="27" t="s">
        <v>537</v>
      </c>
      <c r="B187" s="29">
        <v>0</v>
      </c>
      <c r="C187" s="29">
        <v>0</v>
      </c>
      <c r="D187" s="29">
        <v>0</v>
      </c>
      <c r="E187" s="29">
        <v>12269.360780056901</v>
      </c>
      <c r="F187" s="29">
        <v>0</v>
      </c>
      <c r="G187" s="29">
        <v>9287.74139121396</v>
      </c>
      <c r="H187" s="29">
        <v>0</v>
      </c>
      <c r="I187" s="29">
        <v>0</v>
      </c>
      <c r="J187" s="29">
        <v>13175.223693612999</v>
      </c>
      <c r="K187" s="29">
        <v>0</v>
      </c>
      <c r="L187" s="29">
        <v>0</v>
      </c>
      <c r="M187" s="29">
        <v>11677.819637631401</v>
      </c>
      <c r="N187" s="29">
        <v>0</v>
      </c>
      <c r="O187" s="29">
        <v>0</v>
      </c>
      <c r="P187" s="29">
        <v>0</v>
      </c>
      <c r="Q187" s="29">
        <v>10233.851128621</v>
      </c>
      <c r="R187" s="29">
        <v>0</v>
      </c>
      <c r="S187" s="29">
        <v>8300.5614451963702</v>
      </c>
      <c r="T187" s="29">
        <v>0</v>
      </c>
      <c r="U187" s="29">
        <v>0</v>
      </c>
      <c r="V187" s="29">
        <v>8038.2581120638597</v>
      </c>
      <c r="W187" s="29">
        <v>0</v>
      </c>
      <c r="X187" s="29">
        <v>0</v>
      </c>
      <c r="Y187" s="29">
        <v>5763.46231223021</v>
      </c>
      <c r="Z187" s="29">
        <v>0</v>
      </c>
      <c r="AA187" s="29">
        <v>0</v>
      </c>
      <c r="AB187" s="29">
        <v>0</v>
      </c>
      <c r="AC187" s="29">
        <v>19212.8857335916</v>
      </c>
      <c r="AD187" s="29">
        <v>0</v>
      </c>
      <c r="AE187" s="29">
        <v>23960.697484618599</v>
      </c>
      <c r="AF187" s="29">
        <v>0</v>
      </c>
      <c r="AG187" s="29">
        <v>0</v>
      </c>
      <c r="AH187" s="29">
        <v>32654.1587966761</v>
      </c>
      <c r="AI187" s="29">
        <v>0</v>
      </c>
      <c r="AJ187" s="29">
        <v>0</v>
      </c>
      <c r="AK187" s="29">
        <v>40276.355045564596</v>
      </c>
      <c r="AL187" s="29"/>
      <c r="AM187" s="29"/>
      <c r="AN187" s="29"/>
      <c r="AO187" s="29"/>
      <c r="AP187" s="29"/>
      <c r="AQ187" s="29"/>
    </row>
    <row r="188" spans="1:43" ht="10.199999999999999" x14ac:dyDescent="0.2">
      <c r="A188" s="27" t="s">
        <v>538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>
        <v>-16529.681</v>
      </c>
      <c r="H188" s="29">
        <v>0</v>
      </c>
      <c r="I188" s="29">
        <v>0</v>
      </c>
      <c r="J188" s="29">
        <v>-21075.871999999999</v>
      </c>
      <c r="K188" s="29">
        <v>0</v>
      </c>
      <c r="L188" s="29">
        <v>0</v>
      </c>
      <c r="M188" s="29">
        <v>-13175.223693612999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-10233.851128621</v>
      </c>
      <c r="T188" s="29">
        <v>0</v>
      </c>
      <c r="U188" s="29">
        <v>0</v>
      </c>
      <c r="V188" s="29">
        <v>-8300.5614451963702</v>
      </c>
      <c r="W188" s="29">
        <v>0</v>
      </c>
      <c r="X188" s="29">
        <v>0</v>
      </c>
      <c r="Y188" s="29">
        <v>-8038.2581120638597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-19212.8857335916</v>
      </c>
      <c r="AF188" s="29">
        <v>0</v>
      </c>
      <c r="AG188" s="29">
        <v>0</v>
      </c>
      <c r="AH188" s="29">
        <v>-23960.697484618599</v>
      </c>
      <c r="AI188" s="29">
        <v>0</v>
      </c>
      <c r="AJ188" s="29">
        <v>0</v>
      </c>
      <c r="AK188" s="29">
        <v>-32654.1587966761</v>
      </c>
      <c r="AL188" s="29"/>
      <c r="AM188" s="29"/>
      <c r="AN188" s="29"/>
      <c r="AO188" s="29"/>
      <c r="AP188" s="29"/>
      <c r="AQ188" s="29"/>
    </row>
    <row r="189" spans="1:43" ht="14.4" x14ac:dyDescent="0.3">
      <c r="A189" s="27" t="s">
        <v>539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/>
      <c r="AM189" s="29"/>
      <c r="AN189" s="29"/>
      <c r="AO189" s="29"/>
      <c r="AP189" s="29"/>
      <c r="AQ189" s="3"/>
    </row>
    <row r="190" spans="1:43" ht="14.4" x14ac:dyDescent="0.3">
      <c r="A190" s="27" t="s">
        <v>540</v>
      </c>
      <c r="B190" s="29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/>
      <c r="AM190" s="29"/>
      <c r="AN190" s="29"/>
      <c r="AO190" s="29"/>
      <c r="AP190" s="29"/>
      <c r="AQ190" s="3"/>
    </row>
    <row r="191" spans="1:43" ht="14.4" x14ac:dyDescent="0.3">
      <c r="A191" s="27" t="s">
        <v>541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4.4" x14ac:dyDescent="0.3">
      <c r="A192" s="27" t="s">
        <v>542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/>
      <c r="AM192" s="29"/>
      <c r="AN192" s="29"/>
      <c r="AO192" s="29"/>
      <c r="AP192" s="29"/>
      <c r="AQ192" s="3"/>
    </row>
    <row r="193" spans="1:43" ht="14.4" x14ac:dyDescent="0.3">
      <c r="A193" s="27" t="s">
        <v>543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/>
      <c r="AM193" s="29"/>
      <c r="AN193" s="29"/>
      <c r="AO193" s="29"/>
      <c r="AP193" s="29"/>
      <c r="AQ193" s="3"/>
    </row>
    <row r="194" spans="1:43" ht="14.4" x14ac:dyDescent="0.3">
      <c r="A194" s="27" t="s">
        <v>544</v>
      </c>
      <c r="B194" s="29">
        <v>0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/>
      <c r="AM194" s="29"/>
      <c r="AN194" s="29"/>
      <c r="AO194" s="29"/>
      <c r="AP194" s="29"/>
      <c r="AQ194" s="3"/>
    </row>
    <row r="195" spans="1:43" ht="14.4" x14ac:dyDescent="0.3">
      <c r="A195" s="27" t="s">
        <v>545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/>
      <c r="AM195" s="29"/>
      <c r="AN195" s="29"/>
      <c r="AO195" s="29"/>
      <c r="AP195" s="29"/>
      <c r="AQ195" s="3"/>
    </row>
    <row r="196" spans="1:43" ht="14.4" x14ac:dyDescent="0.3">
      <c r="A196" s="27" t="s">
        <v>546</v>
      </c>
      <c r="B196" s="29">
        <v>1</v>
      </c>
      <c r="C196" s="29">
        <v>1</v>
      </c>
      <c r="D196" s="29">
        <v>1</v>
      </c>
      <c r="E196" s="29">
        <v>1</v>
      </c>
      <c r="F196" s="29">
        <v>1</v>
      </c>
      <c r="G196" s="29">
        <v>1</v>
      </c>
      <c r="H196" s="29">
        <v>1</v>
      </c>
      <c r="I196" s="29">
        <v>1</v>
      </c>
      <c r="J196" s="29">
        <v>1</v>
      </c>
      <c r="K196" s="29">
        <v>1</v>
      </c>
      <c r="L196" s="29">
        <v>1</v>
      </c>
      <c r="M196" s="29">
        <v>1</v>
      </c>
      <c r="N196" s="29">
        <v>1</v>
      </c>
      <c r="O196" s="29">
        <v>1</v>
      </c>
      <c r="P196" s="29">
        <v>1</v>
      </c>
      <c r="Q196" s="29">
        <v>1</v>
      </c>
      <c r="R196" s="29">
        <v>1</v>
      </c>
      <c r="S196" s="29">
        <v>1</v>
      </c>
      <c r="T196" s="29">
        <v>1</v>
      </c>
      <c r="U196" s="29">
        <v>1</v>
      </c>
      <c r="V196" s="29">
        <v>1</v>
      </c>
      <c r="W196" s="29">
        <v>1</v>
      </c>
      <c r="X196" s="29">
        <v>1</v>
      </c>
      <c r="Y196" s="29">
        <v>1</v>
      </c>
      <c r="Z196" s="29">
        <v>1</v>
      </c>
      <c r="AA196" s="29">
        <v>1</v>
      </c>
      <c r="AB196" s="29">
        <v>1</v>
      </c>
      <c r="AC196" s="29">
        <v>1</v>
      </c>
      <c r="AD196" s="29">
        <v>1</v>
      </c>
      <c r="AE196" s="29">
        <v>1</v>
      </c>
      <c r="AF196" s="29">
        <v>1</v>
      </c>
      <c r="AG196" s="29">
        <v>1</v>
      </c>
      <c r="AH196" s="29">
        <v>1</v>
      </c>
      <c r="AI196" s="29">
        <v>1</v>
      </c>
      <c r="AJ196" s="29">
        <v>1</v>
      </c>
      <c r="AK196" s="29">
        <v>1</v>
      </c>
      <c r="AL196" s="29"/>
      <c r="AM196" s="29"/>
      <c r="AN196" s="29"/>
      <c r="AO196" s="29"/>
      <c r="AP196" s="29"/>
      <c r="AQ196" s="3"/>
    </row>
    <row r="197" spans="1:43" ht="10.199999999999999" x14ac:dyDescent="0.2">
      <c r="A197" s="27" t="s">
        <v>547</v>
      </c>
      <c r="B197" s="29">
        <v>0</v>
      </c>
      <c r="C197" s="29">
        <v>0</v>
      </c>
      <c r="D197" s="29">
        <v>0</v>
      </c>
      <c r="E197" s="29">
        <v>12269.360780056901</v>
      </c>
      <c r="F197" s="29">
        <v>0</v>
      </c>
      <c r="G197" s="29">
        <v>-7241.9396087860396</v>
      </c>
      <c r="H197" s="29">
        <v>0</v>
      </c>
      <c r="I197" s="29">
        <v>0</v>
      </c>
      <c r="J197" s="29">
        <v>-7900.64830638696</v>
      </c>
      <c r="K197" s="29">
        <v>0</v>
      </c>
      <c r="L197" s="29">
        <v>0</v>
      </c>
      <c r="M197" s="29">
        <v>-1497.4040559815601</v>
      </c>
      <c r="N197" s="29">
        <v>0</v>
      </c>
      <c r="O197" s="29">
        <v>0</v>
      </c>
      <c r="P197" s="29">
        <v>0</v>
      </c>
      <c r="Q197" s="29">
        <v>10233.851128621</v>
      </c>
      <c r="R197" s="29">
        <v>0</v>
      </c>
      <c r="S197" s="29">
        <v>-1933.2896834246401</v>
      </c>
      <c r="T197" s="29">
        <v>0</v>
      </c>
      <c r="U197" s="29">
        <v>0</v>
      </c>
      <c r="V197" s="29">
        <v>-262.30333313250901</v>
      </c>
      <c r="W197" s="29">
        <v>0</v>
      </c>
      <c r="X197" s="29">
        <v>0</v>
      </c>
      <c r="Y197" s="29">
        <v>-2274.7957998336401</v>
      </c>
      <c r="Z197" s="29">
        <v>0</v>
      </c>
      <c r="AA197" s="29">
        <v>0</v>
      </c>
      <c r="AB197" s="29">
        <v>0</v>
      </c>
      <c r="AC197" s="29">
        <v>19212.8857335916</v>
      </c>
      <c r="AD197" s="29">
        <v>0</v>
      </c>
      <c r="AE197" s="29">
        <v>4747.8117510269403</v>
      </c>
      <c r="AF197" s="29">
        <v>0</v>
      </c>
      <c r="AG197" s="29">
        <v>0</v>
      </c>
      <c r="AH197" s="29">
        <v>8693.4613120574904</v>
      </c>
      <c r="AI197" s="29">
        <v>0</v>
      </c>
      <c r="AJ197" s="29">
        <v>0</v>
      </c>
      <c r="AK197" s="29">
        <v>7622.1962488885802</v>
      </c>
      <c r="AL197" s="29"/>
      <c r="AM197" s="29"/>
      <c r="AN197" s="29"/>
      <c r="AO197" s="29"/>
      <c r="AP197" s="29"/>
      <c r="AQ197" s="29"/>
    </row>
    <row r="198" spans="1:43" ht="14.4" x14ac:dyDescent="0.3">
      <c r="A198" s="27" t="s">
        <v>548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/>
      <c r="AM198" s="29"/>
      <c r="AN198" s="29"/>
      <c r="AO198" s="29"/>
      <c r="AP198" s="29"/>
      <c r="AQ198" s="3"/>
    </row>
    <row r="199" spans="1:43" ht="10.199999999999999" x14ac:dyDescent="0.2">
      <c r="A199" s="27" t="s">
        <v>549</v>
      </c>
      <c r="B199" s="29">
        <v>0</v>
      </c>
      <c r="C199" s="29">
        <v>0</v>
      </c>
      <c r="D199" s="29">
        <v>0</v>
      </c>
      <c r="E199" s="29">
        <v>12269.360780056901</v>
      </c>
      <c r="F199" s="29">
        <v>0</v>
      </c>
      <c r="G199" s="29">
        <v>-7241.9396087860396</v>
      </c>
      <c r="H199" s="29">
        <v>0</v>
      </c>
      <c r="I199" s="29">
        <v>0</v>
      </c>
      <c r="J199" s="29">
        <v>-7900.64830638696</v>
      </c>
      <c r="K199" s="29">
        <v>0</v>
      </c>
      <c r="L199" s="29">
        <v>0</v>
      </c>
      <c r="M199" s="29">
        <v>-1497.4040559815601</v>
      </c>
      <c r="N199" s="29">
        <v>0</v>
      </c>
      <c r="O199" s="29">
        <v>0</v>
      </c>
      <c r="P199" s="29">
        <v>0</v>
      </c>
      <c r="Q199" s="29">
        <v>10233.851128621</v>
      </c>
      <c r="R199" s="29">
        <v>0</v>
      </c>
      <c r="S199" s="29">
        <v>-1933.2896834246401</v>
      </c>
      <c r="T199" s="29">
        <v>0</v>
      </c>
      <c r="U199" s="29">
        <v>0</v>
      </c>
      <c r="V199" s="29">
        <v>-262.30333313250901</v>
      </c>
      <c r="W199" s="29">
        <v>0</v>
      </c>
      <c r="X199" s="29">
        <v>0</v>
      </c>
      <c r="Y199" s="29">
        <v>-2274.7957998336401</v>
      </c>
      <c r="Z199" s="29">
        <v>0</v>
      </c>
      <c r="AA199" s="29">
        <v>0</v>
      </c>
      <c r="AB199" s="29">
        <v>0</v>
      </c>
      <c r="AC199" s="29">
        <v>19212.8857335916</v>
      </c>
      <c r="AD199" s="29">
        <v>0</v>
      </c>
      <c r="AE199" s="29">
        <v>4747.8117510269403</v>
      </c>
      <c r="AF199" s="29">
        <v>0</v>
      </c>
      <c r="AG199" s="29">
        <v>0</v>
      </c>
      <c r="AH199" s="29">
        <v>8693.4613120574904</v>
      </c>
      <c r="AI199" s="29">
        <v>0</v>
      </c>
      <c r="AJ199" s="29">
        <v>0</v>
      </c>
      <c r="AK199" s="29">
        <v>7622.1962488885802</v>
      </c>
      <c r="AL199" s="29"/>
      <c r="AM199" s="29"/>
      <c r="AN199" s="29"/>
      <c r="AO199" s="29"/>
      <c r="AP199" s="29"/>
      <c r="AQ199" s="29"/>
    </row>
    <row r="200" spans="1:43" ht="14.4" x14ac:dyDescent="0.3">
      <c r="A200" s="27" t="s">
        <v>550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ht="14.4" x14ac:dyDescent="0.3">
      <c r="A201" s="86" t="s">
        <v>551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ht="10.199999999999999" x14ac:dyDescent="0.2">
      <c r="A202" s="27" t="s">
        <v>552</v>
      </c>
      <c r="B202" s="29">
        <v>11677.8196376203</v>
      </c>
      <c r="C202" s="29">
        <v>11677.8196376203</v>
      </c>
      <c r="D202" s="29">
        <v>11677.8196376203</v>
      </c>
      <c r="E202" s="29">
        <v>11677.8196376203</v>
      </c>
      <c r="F202" s="29">
        <v>11677.8196376203</v>
      </c>
      <c r="G202" s="29">
        <v>11677.8196376203</v>
      </c>
      <c r="H202" s="29">
        <v>11677.8196376203</v>
      </c>
      <c r="I202" s="29">
        <v>11677.8196376203</v>
      </c>
      <c r="J202" s="29">
        <v>11677.8196376203</v>
      </c>
      <c r="K202" s="29">
        <v>11677.8196376203</v>
      </c>
      <c r="L202" s="29">
        <v>11677.8196376203</v>
      </c>
      <c r="M202" s="29">
        <v>11677.819637631401</v>
      </c>
      <c r="N202" s="29">
        <v>5763.4623116797802</v>
      </c>
      <c r="O202" s="29">
        <v>5763.4623116797802</v>
      </c>
      <c r="P202" s="29">
        <v>5763.4623116797802</v>
      </c>
      <c r="Q202" s="29">
        <v>5763.4623116797802</v>
      </c>
      <c r="R202" s="29">
        <v>5763.4623116797802</v>
      </c>
      <c r="S202" s="29">
        <v>5763.4623116797802</v>
      </c>
      <c r="T202" s="29">
        <v>5763.4623116797802</v>
      </c>
      <c r="U202" s="29">
        <v>5763.4623116797802</v>
      </c>
      <c r="V202" s="29">
        <v>5763.4623116797802</v>
      </c>
      <c r="W202" s="29">
        <v>5763.4623116797802</v>
      </c>
      <c r="X202" s="29">
        <v>5763.4623116797802</v>
      </c>
      <c r="Y202" s="29">
        <v>5763.46231223021</v>
      </c>
      <c r="Z202" s="29">
        <v>40276.355045015101</v>
      </c>
      <c r="AA202" s="29">
        <v>40276.355045015101</v>
      </c>
      <c r="AB202" s="29">
        <v>40276.355045015101</v>
      </c>
      <c r="AC202" s="29">
        <v>40276.355045015101</v>
      </c>
      <c r="AD202" s="29">
        <v>40276.355045015101</v>
      </c>
      <c r="AE202" s="29">
        <v>40276.355045015101</v>
      </c>
      <c r="AF202" s="29">
        <v>40276.355045015101</v>
      </c>
      <c r="AG202" s="29">
        <v>40276.355045015101</v>
      </c>
      <c r="AH202" s="29">
        <v>40276.355045015101</v>
      </c>
      <c r="AI202" s="29">
        <v>40276.355045015101</v>
      </c>
      <c r="AJ202" s="29">
        <v>40276.355045015101</v>
      </c>
      <c r="AK202" s="29">
        <v>40276.355045564596</v>
      </c>
      <c r="AL202" s="29"/>
      <c r="AM202" s="29"/>
      <c r="AN202" s="29"/>
      <c r="AO202" s="29"/>
      <c r="AP202" s="29"/>
      <c r="AQ202" s="29"/>
    </row>
    <row r="203" spans="1:43" ht="10.199999999999999" x14ac:dyDescent="0.2">
      <c r="A203" s="27" t="s">
        <v>553</v>
      </c>
      <c r="B203" s="29">
        <v>11678</v>
      </c>
      <c r="C203" s="29">
        <v>11678</v>
      </c>
      <c r="D203" s="29">
        <v>11678</v>
      </c>
      <c r="E203" s="29">
        <v>11678</v>
      </c>
      <c r="F203" s="29">
        <v>11678</v>
      </c>
      <c r="G203" s="29">
        <v>11678</v>
      </c>
      <c r="H203" s="29">
        <v>11678</v>
      </c>
      <c r="I203" s="29">
        <v>11678</v>
      </c>
      <c r="J203" s="29">
        <v>11678</v>
      </c>
      <c r="K203" s="29">
        <v>11678</v>
      </c>
      <c r="L203" s="29">
        <v>11678</v>
      </c>
      <c r="M203" s="29">
        <v>11678</v>
      </c>
      <c r="N203" s="29">
        <v>5763</v>
      </c>
      <c r="O203" s="29">
        <v>5763</v>
      </c>
      <c r="P203" s="29">
        <v>5763</v>
      </c>
      <c r="Q203" s="29">
        <v>5763</v>
      </c>
      <c r="R203" s="29">
        <v>5763</v>
      </c>
      <c r="S203" s="29">
        <v>5763</v>
      </c>
      <c r="T203" s="29">
        <v>5763</v>
      </c>
      <c r="U203" s="29">
        <v>5763</v>
      </c>
      <c r="V203" s="29">
        <v>5763</v>
      </c>
      <c r="W203" s="29">
        <v>5763</v>
      </c>
      <c r="X203" s="29">
        <v>5763</v>
      </c>
      <c r="Y203" s="29">
        <v>5763</v>
      </c>
      <c r="Z203" s="29">
        <v>40276</v>
      </c>
      <c r="AA203" s="29">
        <v>40276</v>
      </c>
      <c r="AB203" s="29">
        <v>40276</v>
      </c>
      <c r="AC203" s="29">
        <v>40276</v>
      </c>
      <c r="AD203" s="29">
        <v>40276</v>
      </c>
      <c r="AE203" s="29">
        <v>40276</v>
      </c>
      <c r="AF203" s="29">
        <v>40276</v>
      </c>
      <c r="AG203" s="29">
        <v>40276</v>
      </c>
      <c r="AH203" s="29">
        <v>40276</v>
      </c>
      <c r="AI203" s="29">
        <v>40276</v>
      </c>
      <c r="AJ203" s="29">
        <v>40276</v>
      </c>
      <c r="AK203" s="29">
        <v>40276</v>
      </c>
      <c r="AL203" s="29"/>
      <c r="AM203" s="29"/>
      <c r="AN203" s="29"/>
      <c r="AO203" s="29"/>
      <c r="AP203" s="29"/>
      <c r="AQ203" s="29"/>
    </row>
    <row r="204" spans="1:43" ht="14.4" x14ac:dyDescent="0.3">
      <c r="A204" s="27" t="s">
        <v>554</v>
      </c>
      <c r="B204" s="29">
        <v>0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/>
      <c r="AM204" s="29"/>
      <c r="AN204" s="29"/>
      <c r="AO204" s="29"/>
      <c r="AP204" s="29"/>
      <c r="AQ204" s="3"/>
    </row>
    <row r="205" spans="1:43" ht="10.199999999999999" x14ac:dyDescent="0.2">
      <c r="A205" s="27" t="s">
        <v>555</v>
      </c>
      <c r="B205" s="29">
        <v>0</v>
      </c>
      <c r="C205" s="29">
        <v>0</v>
      </c>
      <c r="D205" s="29">
        <v>0</v>
      </c>
      <c r="E205" s="29">
        <v>12269.360780056901</v>
      </c>
      <c r="F205" s="29">
        <v>0</v>
      </c>
      <c r="G205" s="29">
        <v>-7241.9396087860396</v>
      </c>
      <c r="H205" s="29">
        <v>0</v>
      </c>
      <c r="I205" s="29">
        <v>0</v>
      </c>
      <c r="J205" s="29">
        <v>-7900.64830638696</v>
      </c>
      <c r="K205" s="29">
        <v>0</v>
      </c>
      <c r="L205" s="29">
        <v>0</v>
      </c>
      <c r="M205" s="29">
        <v>-1497.4040559815601</v>
      </c>
      <c r="N205" s="29">
        <v>0</v>
      </c>
      <c r="O205" s="29">
        <v>0</v>
      </c>
      <c r="P205" s="29">
        <v>0</v>
      </c>
      <c r="Q205" s="29">
        <v>10233.851128621</v>
      </c>
      <c r="R205" s="29">
        <v>0</v>
      </c>
      <c r="S205" s="29">
        <v>-1933.2896834246401</v>
      </c>
      <c r="T205" s="29">
        <v>0</v>
      </c>
      <c r="U205" s="29">
        <v>0</v>
      </c>
      <c r="V205" s="29">
        <v>-262.30333313250901</v>
      </c>
      <c r="W205" s="29">
        <v>0</v>
      </c>
      <c r="X205" s="29">
        <v>0</v>
      </c>
      <c r="Y205" s="29">
        <v>-2274.7957998336401</v>
      </c>
      <c r="Z205" s="29">
        <v>0</v>
      </c>
      <c r="AA205" s="29">
        <v>0</v>
      </c>
      <c r="AB205" s="29">
        <v>0</v>
      </c>
      <c r="AC205" s="29">
        <v>19212.8857335916</v>
      </c>
      <c r="AD205" s="29">
        <v>0</v>
      </c>
      <c r="AE205" s="29">
        <v>4747.8117510269403</v>
      </c>
      <c r="AF205" s="29">
        <v>0</v>
      </c>
      <c r="AG205" s="29">
        <v>0</v>
      </c>
      <c r="AH205" s="29">
        <v>8693.4613120574904</v>
      </c>
      <c r="AI205" s="29">
        <v>0</v>
      </c>
      <c r="AJ205" s="29">
        <v>0</v>
      </c>
      <c r="AK205" s="29">
        <v>7622.1962488885802</v>
      </c>
      <c r="AL205" s="29"/>
      <c r="AM205" s="29"/>
      <c r="AN205" s="29"/>
      <c r="AO205" s="29"/>
      <c r="AP205" s="29"/>
      <c r="AQ205" s="29"/>
    </row>
    <row r="206" spans="1:43" ht="10.199999999999999" x14ac:dyDescent="0.2">
      <c r="A206" s="27" t="s">
        <v>556</v>
      </c>
      <c r="B206" s="29">
        <v>0</v>
      </c>
      <c r="C206" s="29">
        <v>0</v>
      </c>
      <c r="D206" s="29">
        <v>0</v>
      </c>
      <c r="E206" s="29">
        <v>12269.360780056901</v>
      </c>
      <c r="F206" s="29">
        <v>0</v>
      </c>
      <c r="G206" s="29">
        <v>-7241.9396087860396</v>
      </c>
      <c r="H206" s="29">
        <v>0</v>
      </c>
      <c r="I206" s="29">
        <v>0</v>
      </c>
      <c r="J206" s="29">
        <v>-7900.64830638696</v>
      </c>
      <c r="K206" s="29">
        <v>0</v>
      </c>
      <c r="L206" s="29">
        <v>0</v>
      </c>
      <c r="M206" s="29">
        <v>-1497.4040559815601</v>
      </c>
      <c r="N206" s="29">
        <v>0</v>
      </c>
      <c r="O206" s="29">
        <v>0</v>
      </c>
      <c r="P206" s="29">
        <v>0</v>
      </c>
      <c r="Q206" s="29">
        <v>10233.851128621</v>
      </c>
      <c r="R206" s="29">
        <v>0</v>
      </c>
      <c r="S206" s="29">
        <v>-1933.2896834246401</v>
      </c>
      <c r="T206" s="29">
        <v>0</v>
      </c>
      <c r="U206" s="29">
        <v>0</v>
      </c>
      <c r="V206" s="29">
        <v>-262.30333313250901</v>
      </c>
      <c r="W206" s="29">
        <v>0</v>
      </c>
      <c r="X206" s="29">
        <v>0</v>
      </c>
      <c r="Y206" s="29">
        <v>-2274.7957998336401</v>
      </c>
      <c r="Z206" s="29">
        <v>0</v>
      </c>
      <c r="AA206" s="29">
        <v>0</v>
      </c>
      <c r="AB206" s="29">
        <v>0</v>
      </c>
      <c r="AC206" s="29">
        <v>19212.8857335916</v>
      </c>
      <c r="AD206" s="29">
        <v>0</v>
      </c>
      <c r="AE206" s="29">
        <v>4747.8117510269403</v>
      </c>
      <c r="AF206" s="29">
        <v>0</v>
      </c>
      <c r="AG206" s="29">
        <v>0</v>
      </c>
      <c r="AH206" s="29">
        <v>8693.4613120574904</v>
      </c>
      <c r="AI206" s="29">
        <v>0</v>
      </c>
      <c r="AJ206" s="29">
        <v>0</v>
      </c>
      <c r="AK206" s="29">
        <v>7622.1962488885802</v>
      </c>
      <c r="AL206" s="29"/>
      <c r="AM206" s="29"/>
      <c r="AN206" s="29"/>
      <c r="AO206" s="29"/>
      <c r="AP206" s="29"/>
      <c r="AQ206" s="29"/>
    </row>
    <row r="207" spans="1:43" ht="14.4" x14ac:dyDescent="0.3">
      <c r="A207" s="27" t="s">
        <v>557</v>
      </c>
      <c r="B207" s="29">
        <v>0</v>
      </c>
      <c r="C207" s="29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/>
      <c r="AM207" s="29"/>
      <c r="AN207" s="29"/>
      <c r="AO207" s="29"/>
      <c r="AP207" s="29"/>
      <c r="AQ207" s="3"/>
    </row>
    <row r="208" spans="1:43" ht="14.4" x14ac:dyDescent="0.3">
      <c r="A208" s="27" t="s">
        <v>558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/>
      <c r="AM208" s="29"/>
      <c r="AN208" s="29"/>
      <c r="AO208" s="29"/>
      <c r="AP208" s="29"/>
      <c r="AQ208" s="3"/>
    </row>
    <row r="209" spans="1:42" ht="10.199999999999999" x14ac:dyDescent="0.2">
      <c r="A209" s="27" t="s">
        <v>559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/>
      <c r="AM209" s="29"/>
      <c r="AN209" s="29"/>
      <c r="AO209" s="29"/>
      <c r="AP209" s="29"/>
    </row>
    <row r="210" spans="1:42" ht="10.199999999999999" x14ac:dyDescent="0.2">
      <c r="A210" s="27" t="s">
        <v>560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/>
      <c r="AM210" s="29"/>
      <c r="AN210" s="29"/>
      <c r="AO210" s="29"/>
      <c r="AP210" s="29"/>
    </row>
    <row r="211" spans="1:42" ht="10.199999999999999" x14ac:dyDescent="0.2">
      <c r="A211" s="27" t="s">
        <v>561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/>
      <c r="AM211" s="29"/>
      <c r="AN211" s="29"/>
      <c r="AO211" s="29"/>
      <c r="AP211" s="29"/>
    </row>
    <row r="212" spans="1:42" ht="10.199999999999999" x14ac:dyDescent="0.2">
      <c r="A212" s="27" t="s">
        <v>562</v>
      </c>
      <c r="B212" s="29">
        <v>0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/>
      <c r="AM212" s="29"/>
      <c r="AN212" s="29"/>
      <c r="AO212" s="29"/>
      <c r="AP212" s="29"/>
    </row>
    <row r="213" spans="1:42" ht="10.199999999999999" x14ac:dyDescent="0.2">
      <c r="A213" s="27" t="s">
        <v>563</v>
      </c>
      <c r="B213" s="29">
        <v>0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29"/>
      <c r="AM213" s="29"/>
      <c r="AN213" s="29"/>
      <c r="AO213" s="29"/>
      <c r="AP213" s="29"/>
    </row>
    <row r="214" spans="1:42" ht="10.199999999999999" x14ac:dyDescent="0.2">
      <c r="A214" s="27" t="s">
        <v>564</v>
      </c>
      <c r="B214" s="29">
        <v>0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/>
      <c r="AM214" s="29"/>
      <c r="AN214" s="29"/>
      <c r="AO214" s="29"/>
      <c r="AP214" s="29"/>
    </row>
    <row r="215" spans="1:42" ht="10.199999999999999" x14ac:dyDescent="0.2">
      <c r="A215" s="27" t="s">
        <v>565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/>
      <c r="AM215" s="29"/>
      <c r="AN215" s="29"/>
      <c r="AO215" s="29"/>
      <c r="AP215" s="29"/>
    </row>
    <row r="216" spans="1:42" ht="10.199999999999999" x14ac:dyDescent="0.2">
      <c r="A216" s="27" t="s">
        <v>566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/>
      <c r="AM216" s="29"/>
      <c r="AN216" s="29"/>
      <c r="AO216" s="29"/>
      <c r="AP216" s="29"/>
    </row>
    <row r="217" spans="1:42" ht="10.199999999999999" x14ac:dyDescent="0.2">
      <c r="A217" s="27" t="s">
        <v>567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/>
      <c r="AM217" s="29"/>
      <c r="AN217" s="29"/>
      <c r="AO217" s="29"/>
      <c r="AP217" s="29"/>
    </row>
    <row r="218" spans="1:42" ht="10.199999999999999" x14ac:dyDescent="0.2">
      <c r="A218" s="27" t="s">
        <v>568</v>
      </c>
      <c r="B218" s="29">
        <v>0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/>
      <c r="AM218" s="29"/>
      <c r="AN218" s="29"/>
      <c r="AO218" s="29"/>
      <c r="AP218" s="29"/>
    </row>
    <row r="219" spans="1:42" ht="10.199999999999999" x14ac:dyDescent="0.2">
      <c r="A219" s="27" t="s">
        <v>569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/>
      <c r="AM219" s="29"/>
      <c r="AN219" s="29"/>
      <c r="AO219" s="29"/>
      <c r="AP219" s="29"/>
    </row>
    <row r="220" spans="1:42" ht="10.199999999999999" x14ac:dyDescent="0.2">
      <c r="A220" s="27" t="s">
        <v>570</v>
      </c>
      <c r="B220" s="29">
        <v>1</v>
      </c>
      <c r="C220" s="29">
        <v>2</v>
      </c>
      <c r="D220" s="29">
        <v>3</v>
      </c>
      <c r="E220" s="29">
        <v>4</v>
      </c>
      <c r="F220" s="29">
        <v>5</v>
      </c>
      <c r="G220" s="29">
        <v>6</v>
      </c>
      <c r="H220" s="29">
        <v>7</v>
      </c>
      <c r="I220" s="29">
        <v>8</v>
      </c>
      <c r="J220" s="29">
        <v>9</v>
      </c>
      <c r="K220" s="29">
        <v>10</v>
      </c>
      <c r="L220" s="29">
        <v>11</v>
      </c>
      <c r="M220" s="29">
        <v>12</v>
      </c>
      <c r="N220" s="29">
        <v>1</v>
      </c>
      <c r="O220" s="29">
        <v>2</v>
      </c>
      <c r="P220" s="29">
        <v>3</v>
      </c>
      <c r="Q220" s="29">
        <v>4</v>
      </c>
      <c r="R220" s="29">
        <v>5</v>
      </c>
      <c r="S220" s="29">
        <v>6</v>
      </c>
      <c r="T220" s="29">
        <v>7</v>
      </c>
      <c r="U220" s="29">
        <v>8</v>
      </c>
      <c r="V220" s="29">
        <v>9</v>
      </c>
      <c r="W220" s="29">
        <v>10</v>
      </c>
      <c r="X220" s="29">
        <v>11</v>
      </c>
      <c r="Y220" s="29">
        <v>12</v>
      </c>
      <c r="Z220" s="29">
        <v>1</v>
      </c>
      <c r="AA220" s="29">
        <v>2</v>
      </c>
      <c r="AB220" s="29">
        <v>3</v>
      </c>
      <c r="AC220" s="29">
        <v>4</v>
      </c>
      <c r="AD220" s="29">
        <v>5</v>
      </c>
      <c r="AE220" s="29">
        <v>6</v>
      </c>
      <c r="AF220" s="29">
        <v>7</v>
      </c>
      <c r="AG220" s="29">
        <v>8</v>
      </c>
      <c r="AH220" s="29">
        <v>9</v>
      </c>
      <c r="AI220" s="29">
        <v>10</v>
      </c>
      <c r="AJ220" s="29">
        <v>11</v>
      </c>
      <c r="AK220" s="29">
        <v>12</v>
      </c>
      <c r="AL220" s="29"/>
      <c r="AM220" s="29"/>
      <c r="AN220" s="29"/>
      <c r="AO220" s="29"/>
      <c r="AP220" s="29"/>
    </row>
    <row r="221" spans="1:42" ht="10.199999999999999" x14ac:dyDescent="0.2">
      <c r="A221" s="27" t="s">
        <v>571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/>
      <c r="AM221" s="29"/>
      <c r="AN221" s="29"/>
      <c r="AO221" s="29"/>
      <c r="AP221" s="29"/>
    </row>
    <row r="222" spans="1:42" ht="10.199999999999999" x14ac:dyDescent="0.2">
      <c r="A222" s="27" t="s">
        <v>572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/>
      <c r="AM222" s="29"/>
      <c r="AN222" s="29"/>
      <c r="AO222" s="29"/>
      <c r="AP222" s="29"/>
    </row>
    <row r="223" spans="1:42" ht="10.199999999999999" x14ac:dyDescent="0.2">
      <c r="A223" s="27" t="s">
        <v>573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/>
      <c r="AM223" s="29"/>
      <c r="AN223" s="29"/>
      <c r="AO223" s="29"/>
      <c r="AP223" s="29"/>
    </row>
    <row r="224" spans="1:42" ht="10.199999999999999" x14ac:dyDescent="0.2">
      <c r="A224" s="27" t="s">
        <v>574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/>
      <c r="AM224" s="29"/>
      <c r="AN224" s="29"/>
      <c r="AO224" s="29"/>
      <c r="AP224" s="29"/>
    </row>
    <row r="225" spans="1:43" ht="10.199999999999999" x14ac:dyDescent="0.2">
      <c r="A225" s="27" t="s">
        <v>575</v>
      </c>
      <c r="B225" s="29">
        <v>0</v>
      </c>
      <c r="C225" s="29">
        <v>0</v>
      </c>
      <c r="D225" s="29">
        <v>0</v>
      </c>
      <c r="E225" s="29">
        <v>16529.681</v>
      </c>
      <c r="F225" s="29">
        <v>0</v>
      </c>
      <c r="G225" s="29">
        <v>4546.1909999999998</v>
      </c>
      <c r="H225" s="29">
        <v>0</v>
      </c>
      <c r="I225" s="29">
        <v>0</v>
      </c>
      <c r="J225" s="29">
        <v>-7900.64830638696</v>
      </c>
      <c r="K225" s="29">
        <v>0</v>
      </c>
      <c r="L225" s="29">
        <v>0</v>
      </c>
      <c r="M225" s="29">
        <v>-1497.4040559815601</v>
      </c>
      <c r="N225" s="29">
        <v>0</v>
      </c>
      <c r="O225" s="29">
        <v>0</v>
      </c>
      <c r="P225" s="29">
        <v>0</v>
      </c>
      <c r="Q225" s="29">
        <v>10233.851128621</v>
      </c>
      <c r="R225" s="29">
        <v>0</v>
      </c>
      <c r="S225" s="29">
        <v>-1933.2896834246401</v>
      </c>
      <c r="T225" s="29">
        <v>0</v>
      </c>
      <c r="U225" s="29">
        <v>0</v>
      </c>
      <c r="V225" s="29">
        <v>-262.30333313250901</v>
      </c>
      <c r="W225" s="29">
        <v>0</v>
      </c>
      <c r="X225" s="29">
        <v>0</v>
      </c>
      <c r="Y225" s="29">
        <v>-2274.7957998336401</v>
      </c>
      <c r="Z225" s="29">
        <v>0</v>
      </c>
      <c r="AA225" s="29">
        <v>0</v>
      </c>
      <c r="AB225" s="29">
        <v>0</v>
      </c>
      <c r="AC225" s="29">
        <v>19212.8857335916</v>
      </c>
      <c r="AD225" s="29">
        <v>0</v>
      </c>
      <c r="AE225" s="29">
        <v>4747.8117510269403</v>
      </c>
      <c r="AF225" s="29">
        <v>0</v>
      </c>
      <c r="AG225" s="29">
        <v>0</v>
      </c>
      <c r="AH225" s="29">
        <v>8693.4613120574904</v>
      </c>
      <c r="AI225" s="29">
        <v>0</v>
      </c>
      <c r="AJ225" s="29">
        <v>0</v>
      </c>
      <c r="AK225" s="29">
        <v>7622.1962488885802</v>
      </c>
      <c r="AL225" s="29"/>
      <c r="AM225" s="29"/>
      <c r="AN225" s="29"/>
      <c r="AO225" s="29"/>
      <c r="AP225" s="29"/>
      <c r="AQ225" s="29"/>
    </row>
    <row r="226" spans="1:43" ht="10.199999999999999" x14ac:dyDescent="0.2">
      <c r="A226" s="27" t="s">
        <v>576</v>
      </c>
      <c r="B226" s="29">
        <v>0</v>
      </c>
      <c r="C226" s="29">
        <v>0</v>
      </c>
      <c r="D226" s="29">
        <v>0</v>
      </c>
      <c r="E226" s="29">
        <v>16529.681</v>
      </c>
      <c r="F226" s="29">
        <v>16529.681</v>
      </c>
      <c r="G226" s="29">
        <v>21075.871999999999</v>
      </c>
      <c r="H226" s="29">
        <v>21075.871999999999</v>
      </c>
      <c r="I226" s="29">
        <v>21075.871999999999</v>
      </c>
      <c r="J226" s="29">
        <v>13175.223693612999</v>
      </c>
      <c r="K226" s="29">
        <v>13175.223693612999</v>
      </c>
      <c r="L226" s="29">
        <v>13175.223693612999</v>
      </c>
      <c r="M226" s="29">
        <v>11677.819637631401</v>
      </c>
      <c r="N226" s="29">
        <v>0</v>
      </c>
      <c r="O226" s="29">
        <v>0</v>
      </c>
      <c r="P226" s="29">
        <v>0</v>
      </c>
      <c r="Q226" s="29">
        <v>10233.851128621</v>
      </c>
      <c r="R226" s="29">
        <v>10233.851128621</v>
      </c>
      <c r="S226" s="29">
        <v>8300.5614451963702</v>
      </c>
      <c r="T226" s="29">
        <v>8300.5614451963702</v>
      </c>
      <c r="U226" s="29">
        <v>8300.5614451963702</v>
      </c>
      <c r="V226" s="29">
        <v>8038.2581120638597</v>
      </c>
      <c r="W226" s="29">
        <v>8038.2581120638597</v>
      </c>
      <c r="X226" s="29">
        <v>8038.2581120638597</v>
      </c>
      <c r="Y226" s="29">
        <v>5763.46231223021</v>
      </c>
      <c r="Z226" s="29">
        <v>0</v>
      </c>
      <c r="AA226" s="29">
        <v>0</v>
      </c>
      <c r="AB226" s="29">
        <v>0</v>
      </c>
      <c r="AC226" s="29">
        <v>19212.8857335916</v>
      </c>
      <c r="AD226" s="29">
        <v>19212.8857335916</v>
      </c>
      <c r="AE226" s="29">
        <v>23960.697484618599</v>
      </c>
      <c r="AF226" s="29">
        <v>23960.697484618599</v>
      </c>
      <c r="AG226" s="29">
        <v>23960.697484618599</v>
      </c>
      <c r="AH226" s="29">
        <v>32654.1587966761</v>
      </c>
      <c r="AI226" s="29">
        <v>32654.1587966761</v>
      </c>
      <c r="AJ226" s="29">
        <v>32654.1587966761</v>
      </c>
      <c r="AK226" s="29">
        <v>40276.355045564596</v>
      </c>
      <c r="AL226" s="29"/>
      <c r="AM226" s="29"/>
      <c r="AN226" s="29"/>
      <c r="AO226" s="29"/>
      <c r="AP226" s="29"/>
      <c r="AQ226" s="29"/>
    </row>
    <row r="227" spans="1:43" ht="14.4" x14ac:dyDescent="0.3">
      <c r="A227" s="86" t="s">
        <v>577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ht="14.4" x14ac:dyDescent="0.3">
      <c r="A228" s="27" t="s">
        <v>578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/>
      <c r="AM228" s="29"/>
      <c r="AN228" s="29"/>
      <c r="AO228" s="29"/>
      <c r="AP228" s="29"/>
      <c r="AQ228" s="3"/>
    </row>
    <row r="229" spans="1:43" ht="14.4" x14ac:dyDescent="0.3">
      <c r="A229" s="27" t="s">
        <v>579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ht="14.4" x14ac:dyDescent="0.3">
      <c r="A230" s="27" t="s">
        <v>580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/>
      <c r="AM230" s="29"/>
      <c r="AN230" s="29"/>
      <c r="AO230" s="29"/>
      <c r="AP230" s="29"/>
      <c r="AQ230" s="3"/>
    </row>
    <row r="231" spans="1:43" ht="14.4" x14ac:dyDescent="0.3">
      <c r="A231" s="27" t="s">
        <v>581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1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1</v>
      </c>
      <c r="AL231" s="29"/>
      <c r="AM231" s="29"/>
      <c r="AN231" s="29"/>
      <c r="AO231" s="29"/>
      <c r="AP231" s="29"/>
      <c r="AQ231" s="3"/>
    </row>
    <row r="232" spans="1:43" ht="14.4" x14ac:dyDescent="0.3">
      <c r="A232" s="27" t="s">
        <v>582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/>
      <c r="AM232" s="29"/>
      <c r="AN232" s="29"/>
      <c r="AO232" s="29"/>
      <c r="AP232" s="29"/>
      <c r="AQ232" s="3"/>
    </row>
    <row r="233" spans="1:43" ht="14.4" x14ac:dyDescent="0.3">
      <c r="A233" s="27" t="s">
        <v>583</v>
      </c>
      <c r="B233" s="29">
        <v>0</v>
      </c>
      <c r="C233" s="29">
        <v>0</v>
      </c>
      <c r="D233" s="29">
        <v>1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1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1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/>
      <c r="AM233" s="29"/>
      <c r="AN233" s="29"/>
      <c r="AO233" s="29"/>
      <c r="AP233" s="29"/>
      <c r="AQ233" s="3"/>
    </row>
    <row r="234" spans="1:43" ht="14.4" x14ac:dyDescent="0.3">
      <c r="A234" s="27" t="s">
        <v>584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/>
      <c r="AM234" s="29"/>
      <c r="AN234" s="29"/>
      <c r="AO234" s="29"/>
      <c r="AP234" s="29"/>
      <c r="AQ234" s="3"/>
    </row>
    <row r="235" spans="1:43" ht="14.4" x14ac:dyDescent="0.3">
      <c r="A235" s="27" t="s">
        <v>585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/>
      <c r="AM235" s="29"/>
      <c r="AN235" s="29"/>
      <c r="AO235" s="29"/>
      <c r="AP235" s="29"/>
      <c r="AQ235" s="3"/>
    </row>
    <row r="236" spans="1:43" ht="14.4" x14ac:dyDescent="0.3">
      <c r="A236" s="27" t="s">
        <v>586</v>
      </c>
      <c r="B236" s="29">
        <v>1</v>
      </c>
      <c r="C236" s="29">
        <v>1</v>
      </c>
      <c r="D236" s="29">
        <v>1</v>
      </c>
      <c r="E236" s="29">
        <v>1</v>
      </c>
      <c r="F236" s="29">
        <v>1</v>
      </c>
      <c r="G236" s="29">
        <v>1</v>
      </c>
      <c r="H236" s="29">
        <v>1</v>
      </c>
      <c r="I236" s="29">
        <v>1</v>
      </c>
      <c r="J236" s="29">
        <v>1</v>
      </c>
      <c r="K236" s="29">
        <v>1</v>
      </c>
      <c r="L236" s="29">
        <v>1</v>
      </c>
      <c r="M236" s="29">
        <v>1</v>
      </c>
      <c r="N236" s="29">
        <v>1</v>
      </c>
      <c r="O236" s="29">
        <v>1</v>
      </c>
      <c r="P236" s="29">
        <v>1</v>
      </c>
      <c r="Q236" s="29">
        <v>1</v>
      </c>
      <c r="R236" s="29">
        <v>1</v>
      </c>
      <c r="S236" s="29">
        <v>1</v>
      </c>
      <c r="T236" s="29">
        <v>1</v>
      </c>
      <c r="U236" s="29">
        <v>1</v>
      </c>
      <c r="V236" s="29">
        <v>1</v>
      </c>
      <c r="W236" s="29">
        <v>1</v>
      </c>
      <c r="X236" s="29">
        <v>1</v>
      </c>
      <c r="Y236" s="29">
        <v>1</v>
      </c>
      <c r="Z236" s="29">
        <v>1</v>
      </c>
      <c r="AA236" s="29">
        <v>1</v>
      </c>
      <c r="AB236" s="29">
        <v>1</v>
      </c>
      <c r="AC236" s="29">
        <v>1</v>
      </c>
      <c r="AD236" s="29">
        <v>1</v>
      </c>
      <c r="AE236" s="29">
        <v>1</v>
      </c>
      <c r="AF236" s="29">
        <v>1</v>
      </c>
      <c r="AG236" s="29">
        <v>1</v>
      </c>
      <c r="AH236" s="29">
        <v>1</v>
      </c>
      <c r="AI236" s="29">
        <v>1</v>
      </c>
      <c r="AJ236" s="29">
        <v>1</v>
      </c>
      <c r="AK236" s="29">
        <v>1</v>
      </c>
      <c r="AL236" s="29"/>
      <c r="AM236" s="29"/>
      <c r="AN236" s="29"/>
      <c r="AO236" s="29"/>
      <c r="AP236" s="29"/>
      <c r="AQ236" s="3"/>
    </row>
    <row r="237" spans="1:43" ht="14.4" x14ac:dyDescent="0.3">
      <c r="A237" s="27" t="s">
        <v>587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/>
      <c r="AM237" s="29"/>
      <c r="AN237" s="29"/>
      <c r="AO237" s="29"/>
      <c r="AP237" s="29"/>
      <c r="AQ237" s="3"/>
    </row>
    <row r="238" spans="1:43" ht="14.4" x14ac:dyDescent="0.3">
      <c r="A238" s="27" t="s">
        <v>588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/>
      <c r="AM238" s="29"/>
      <c r="AN238" s="29"/>
      <c r="AO238" s="29"/>
      <c r="AP238" s="29"/>
      <c r="AQ238" s="3"/>
    </row>
    <row r="239" spans="1:43" ht="14.4" x14ac:dyDescent="0.3">
      <c r="A239" s="27" t="s">
        <v>589</v>
      </c>
      <c r="B239" s="29">
        <v>0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/>
      <c r="AM239" s="29"/>
      <c r="AN239" s="29"/>
      <c r="AO239" s="29"/>
      <c r="AP239" s="29"/>
      <c r="AQ239" s="3"/>
    </row>
    <row r="240" spans="1:43" ht="14.4" x14ac:dyDescent="0.3">
      <c r="A240" s="27" t="s">
        <v>590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/>
      <c r="AM240" s="29"/>
      <c r="AN240" s="29"/>
      <c r="AO240" s="29"/>
      <c r="AP240" s="29"/>
      <c r="AQ240" s="3"/>
    </row>
    <row r="241" spans="1:43" ht="14.4" x14ac:dyDescent="0.3">
      <c r="A241" s="27" t="s">
        <v>591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ht="14.4" x14ac:dyDescent="0.3">
      <c r="A242" s="27" t="s">
        <v>592</v>
      </c>
      <c r="B242" s="29">
        <v>201801</v>
      </c>
      <c r="C242" s="29">
        <v>201801</v>
      </c>
      <c r="D242" s="29">
        <v>201801</v>
      </c>
      <c r="E242" s="29">
        <v>201801</v>
      </c>
      <c r="F242" s="29">
        <v>201801</v>
      </c>
      <c r="G242" s="29">
        <v>201801</v>
      </c>
      <c r="H242" s="29">
        <v>201801</v>
      </c>
      <c r="I242" s="29">
        <v>201801</v>
      </c>
      <c r="J242" s="29">
        <v>201801</v>
      </c>
      <c r="K242" s="29">
        <v>201801</v>
      </c>
      <c r="L242" s="29">
        <v>201801</v>
      </c>
      <c r="M242" s="29">
        <v>201801</v>
      </c>
      <c r="N242" s="29">
        <v>201801</v>
      </c>
      <c r="O242" s="29">
        <v>201801</v>
      </c>
      <c r="P242" s="29">
        <v>201801</v>
      </c>
      <c r="Q242" s="29">
        <v>201801</v>
      </c>
      <c r="R242" s="29">
        <v>201801</v>
      </c>
      <c r="S242" s="29">
        <v>201801</v>
      </c>
      <c r="T242" s="29">
        <v>201801</v>
      </c>
      <c r="U242" s="29">
        <v>201801</v>
      </c>
      <c r="V242" s="29">
        <v>201801</v>
      </c>
      <c r="W242" s="29">
        <v>201801</v>
      </c>
      <c r="X242" s="29">
        <v>201801</v>
      </c>
      <c r="Y242" s="29">
        <v>201801</v>
      </c>
      <c r="Z242" s="29">
        <v>201801</v>
      </c>
      <c r="AA242" s="29">
        <v>201801</v>
      </c>
      <c r="AB242" s="29">
        <v>201801</v>
      </c>
      <c r="AC242" s="29">
        <v>201801</v>
      </c>
      <c r="AD242" s="29">
        <v>201801</v>
      </c>
      <c r="AE242" s="29">
        <v>201801</v>
      </c>
      <c r="AF242" s="29">
        <v>201801</v>
      </c>
      <c r="AG242" s="29">
        <v>201801</v>
      </c>
      <c r="AH242" s="29">
        <v>201801</v>
      </c>
      <c r="AI242" s="29">
        <v>201801</v>
      </c>
      <c r="AJ242" s="29">
        <v>201801</v>
      </c>
      <c r="AK242" s="29">
        <v>201801</v>
      </c>
      <c r="AL242" s="29"/>
      <c r="AM242" s="29"/>
      <c r="AN242" s="29"/>
      <c r="AO242" s="29"/>
      <c r="AP242" s="29"/>
      <c r="AQ242" s="3"/>
    </row>
    <row r="243" spans="1:43" ht="14.4" x14ac:dyDescent="0.3">
      <c r="A243" s="27" t="s">
        <v>593</v>
      </c>
      <c r="B243" s="29">
        <v>201801</v>
      </c>
      <c r="C243" s="29">
        <v>201802</v>
      </c>
      <c r="D243" s="29">
        <v>201803</v>
      </c>
      <c r="E243" s="29">
        <v>201804</v>
      </c>
      <c r="F243" s="29">
        <v>201805</v>
      </c>
      <c r="G243" s="29">
        <v>201806</v>
      </c>
      <c r="H243" s="29">
        <v>201807</v>
      </c>
      <c r="I243" s="29">
        <v>201808</v>
      </c>
      <c r="J243" s="29">
        <v>201809</v>
      </c>
      <c r="K243" s="29">
        <v>201810</v>
      </c>
      <c r="L243" s="29">
        <v>201811</v>
      </c>
      <c r="M243" s="29">
        <v>201812</v>
      </c>
      <c r="N243" s="29">
        <v>201901</v>
      </c>
      <c r="O243" s="29">
        <v>201902</v>
      </c>
      <c r="P243" s="29">
        <v>201903</v>
      </c>
      <c r="Q243" s="29">
        <v>201904</v>
      </c>
      <c r="R243" s="29">
        <v>201905</v>
      </c>
      <c r="S243" s="29">
        <v>201906</v>
      </c>
      <c r="T243" s="29">
        <v>201907</v>
      </c>
      <c r="U243" s="29">
        <v>201908</v>
      </c>
      <c r="V243" s="29">
        <v>201909</v>
      </c>
      <c r="W243" s="29">
        <v>201910</v>
      </c>
      <c r="X243" s="29">
        <v>201911</v>
      </c>
      <c r="Y243" s="29">
        <v>201912</v>
      </c>
      <c r="Z243" s="29">
        <v>202001</v>
      </c>
      <c r="AA243" s="29">
        <v>202002</v>
      </c>
      <c r="AB243" s="29">
        <v>202003</v>
      </c>
      <c r="AC243" s="29">
        <v>202004</v>
      </c>
      <c r="AD243" s="29">
        <v>202005</v>
      </c>
      <c r="AE243" s="29">
        <v>202006</v>
      </c>
      <c r="AF243" s="29">
        <v>202007</v>
      </c>
      <c r="AG243" s="29">
        <v>202008</v>
      </c>
      <c r="AH243" s="29">
        <v>202009</v>
      </c>
      <c r="AI243" s="29">
        <v>202010</v>
      </c>
      <c r="AJ243" s="29">
        <v>202011</v>
      </c>
      <c r="AK243" s="29">
        <v>202012</v>
      </c>
      <c r="AL243" s="29"/>
      <c r="AM243" s="29"/>
      <c r="AN243" s="29"/>
      <c r="AO243" s="29"/>
      <c r="AP243" s="29"/>
      <c r="AQ243" s="3"/>
    </row>
    <row r="244" spans="1:43" ht="14.4" x14ac:dyDescent="0.3">
      <c r="A244" s="27" t="s">
        <v>594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/>
      <c r="AM244" s="29"/>
      <c r="AN244" s="29"/>
      <c r="AO244" s="29"/>
      <c r="AP244" s="29"/>
      <c r="AQ244" s="3"/>
    </row>
    <row r="245" spans="1:43" ht="14.4" x14ac:dyDescent="0.3">
      <c r="A245" s="27" t="s">
        <v>595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/>
      <c r="AM245" s="29"/>
      <c r="AN245" s="29"/>
      <c r="AO245" s="29"/>
      <c r="AP245" s="29"/>
      <c r="AQ245" s="3"/>
    </row>
    <row r="246" spans="1:43" ht="14.4" x14ac:dyDescent="0.3">
      <c r="A246" s="27" t="s">
        <v>596</v>
      </c>
      <c r="B246" s="29">
        <v>1</v>
      </c>
      <c r="C246" s="29">
        <v>1</v>
      </c>
      <c r="D246" s="29">
        <v>1</v>
      </c>
      <c r="E246" s="29">
        <v>1</v>
      </c>
      <c r="F246" s="29">
        <v>1</v>
      </c>
      <c r="G246" s="29">
        <v>1</v>
      </c>
      <c r="H246" s="29">
        <v>1</v>
      </c>
      <c r="I246" s="29">
        <v>1</v>
      </c>
      <c r="J246" s="29">
        <v>1</v>
      </c>
      <c r="K246" s="29">
        <v>1</v>
      </c>
      <c r="L246" s="29">
        <v>1</v>
      </c>
      <c r="M246" s="29">
        <v>1</v>
      </c>
      <c r="N246" s="29">
        <v>1</v>
      </c>
      <c r="O246" s="29">
        <v>1</v>
      </c>
      <c r="P246" s="29">
        <v>1</v>
      </c>
      <c r="Q246" s="29">
        <v>1</v>
      </c>
      <c r="R246" s="29">
        <v>1</v>
      </c>
      <c r="S246" s="29">
        <v>1</v>
      </c>
      <c r="T246" s="29">
        <v>1</v>
      </c>
      <c r="U246" s="29">
        <v>1</v>
      </c>
      <c r="V246" s="29">
        <v>1</v>
      </c>
      <c r="W246" s="29">
        <v>1</v>
      </c>
      <c r="X246" s="29">
        <v>1</v>
      </c>
      <c r="Y246" s="29">
        <v>1</v>
      </c>
      <c r="Z246" s="29">
        <v>1</v>
      </c>
      <c r="AA246" s="29">
        <v>1</v>
      </c>
      <c r="AB246" s="29">
        <v>1</v>
      </c>
      <c r="AC246" s="29">
        <v>1</v>
      </c>
      <c r="AD246" s="29">
        <v>1</v>
      </c>
      <c r="AE246" s="29">
        <v>1</v>
      </c>
      <c r="AF246" s="29">
        <v>1</v>
      </c>
      <c r="AG246" s="29">
        <v>1</v>
      </c>
      <c r="AH246" s="29">
        <v>1</v>
      </c>
      <c r="AI246" s="29">
        <v>1</v>
      </c>
      <c r="AJ246" s="29">
        <v>1</v>
      </c>
      <c r="AK246" s="29">
        <v>1</v>
      </c>
      <c r="AL246" s="29"/>
      <c r="AM246" s="29"/>
      <c r="AN246" s="29"/>
      <c r="AO246" s="29"/>
      <c r="AP246" s="29"/>
      <c r="AQ246" s="3"/>
    </row>
    <row r="247" spans="1:43" ht="10.199999999999999" x14ac:dyDescent="0.2">
      <c r="A247" s="27" t="s">
        <v>597</v>
      </c>
      <c r="B247" s="29">
        <v>8259.1220699999994</v>
      </c>
      <c r="C247" s="29">
        <v>8096.2983899999999</v>
      </c>
      <c r="D247" s="29">
        <v>8172.1546699999999</v>
      </c>
      <c r="E247" s="29">
        <v>8323.8140899999908</v>
      </c>
      <c r="F247" s="29">
        <v>8382.3513299999995</v>
      </c>
      <c r="G247" s="29">
        <v>8321.2631999999994</v>
      </c>
      <c r="H247" s="29">
        <v>8377.0719002548794</v>
      </c>
      <c r="I247" s="29">
        <v>8421.4114610966299</v>
      </c>
      <c r="J247" s="29">
        <v>8428.2007074555495</v>
      </c>
      <c r="K247" s="29">
        <v>8562.4915233762295</v>
      </c>
      <c r="L247" s="29">
        <v>8655.6474848462203</v>
      </c>
      <c r="M247" s="29">
        <v>8749.0314026546694</v>
      </c>
      <c r="N247" s="29">
        <v>8769.4846390440107</v>
      </c>
      <c r="O247" s="29">
        <v>8722.4031784100607</v>
      </c>
      <c r="P247" s="29">
        <v>8825.3920892275291</v>
      </c>
      <c r="Q247" s="29">
        <v>8927.7693617082696</v>
      </c>
      <c r="R247" s="29">
        <v>9894.5506831357598</v>
      </c>
      <c r="S247" s="29">
        <v>9548.7582977830698</v>
      </c>
      <c r="T247" s="29">
        <v>9556.1835301650499</v>
      </c>
      <c r="U247" s="29">
        <v>9534.9570510457306</v>
      </c>
      <c r="V247" s="29">
        <v>9628.1932950959908</v>
      </c>
      <c r="W247" s="29">
        <v>9721.9009723281597</v>
      </c>
      <c r="X247" s="29">
        <v>9826.5900011511494</v>
      </c>
      <c r="Y247" s="29">
        <v>9894.9714028364906</v>
      </c>
      <c r="Z247" s="29">
        <v>9830.1471240270293</v>
      </c>
      <c r="AA247" s="29">
        <v>9710.0727345383093</v>
      </c>
      <c r="AB247" s="29">
        <v>9774.5109770226209</v>
      </c>
      <c r="AC247" s="29">
        <v>9907.1671223263602</v>
      </c>
      <c r="AD247" s="29">
        <v>10038.818656605999</v>
      </c>
      <c r="AE247" s="29">
        <v>10046.6246137164</v>
      </c>
      <c r="AF247" s="29">
        <v>9994.7546447194109</v>
      </c>
      <c r="AG247" s="29">
        <v>9929.2188799004198</v>
      </c>
      <c r="AH247" s="29">
        <v>8763.8002211058792</v>
      </c>
      <c r="AI247" s="29">
        <v>10753.361624519801</v>
      </c>
      <c r="AJ247" s="29">
        <v>10712.6254242948</v>
      </c>
      <c r="AK247" s="29">
        <v>10767.894017556901</v>
      </c>
      <c r="AL247" s="29"/>
      <c r="AM247" s="29"/>
      <c r="AN247" s="29"/>
      <c r="AO247" s="29"/>
      <c r="AP247" s="29"/>
      <c r="AQ247" s="29"/>
    </row>
    <row r="248" spans="1:43" ht="14.4" x14ac:dyDescent="0.3">
      <c r="A248" s="27" t="s">
        <v>598</v>
      </c>
      <c r="B248" s="29">
        <v>0</v>
      </c>
      <c r="C248" s="29">
        <v>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/>
      <c r="AM248" s="29"/>
      <c r="AN248" s="29"/>
      <c r="AO248" s="29"/>
      <c r="AP248" s="29"/>
      <c r="AQ248" s="3"/>
    </row>
    <row r="249" spans="1:43" ht="10.199999999999999" x14ac:dyDescent="0.2">
      <c r="A249" s="27" t="s">
        <v>599</v>
      </c>
      <c r="B249" s="29">
        <v>8259.1220699999994</v>
      </c>
      <c r="C249" s="29">
        <v>8096.2983899999999</v>
      </c>
      <c r="D249" s="29">
        <v>8172.1546699999999</v>
      </c>
      <c r="E249" s="29">
        <v>8323.8140899999908</v>
      </c>
      <c r="F249" s="29">
        <v>8382.3513299999995</v>
      </c>
      <c r="G249" s="29">
        <v>8321.2631999999994</v>
      </c>
      <c r="H249" s="29">
        <v>8377.0719002548794</v>
      </c>
      <c r="I249" s="29">
        <v>8421.4114610966299</v>
      </c>
      <c r="J249" s="29">
        <v>8428.2007074555495</v>
      </c>
      <c r="K249" s="29">
        <v>8562.4915233762295</v>
      </c>
      <c r="L249" s="29">
        <v>8655.6474848462203</v>
      </c>
      <c r="M249" s="29">
        <v>8749.0314026546694</v>
      </c>
      <c r="N249" s="29">
        <v>8769.4846390440107</v>
      </c>
      <c r="O249" s="29">
        <v>8722.4031784100607</v>
      </c>
      <c r="P249" s="29">
        <v>8825.3920892275291</v>
      </c>
      <c r="Q249" s="29">
        <v>8927.7693617082696</v>
      </c>
      <c r="R249" s="29">
        <v>9894.5506831357598</v>
      </c>
      <c r="S249" s="29">
        <v>9548.7582977830698</v>
      </c>
      <c r="T249" s="29">
        <v>9556.1835301650499</v>
      </c>
      <c r="U249" s="29">
        <v>9534.9570510457306</v>
      </c>
      <c r="V249" s="29">
        <v>9628.1932950959908</v>
      </c>
      <c r="W249" s="29">
        <v>9721.9009723281597</v>
      </c>
      <c r="X249" s="29">
        <v>9826.5900011511494</v>
      </c>
      <c r="Y249" s="29">
        <v>9894.9714028364906</v>
      </c>
      <c r="Z249" s="29">
        <v>9830.1471240270293</v>
      </c>
      <c r="AA249" s="29">
        <v>9710.0727345383093</v>
      </c>
      <c r="AB249" s="29">
        <v>9774.5109770226209</v>
      </c>
      <c r="AC249" s="29">
        <v>9907.1671223263602</v>
      </c>
      <c r="AD249" s="29">
        <v>10038.818656605999</v>
      </c>
      <c r="AE249" s="29">
        <v>10046.6246137164</v>
      </c>
      <c r="AF249" s="29">
        <v>9994.7546447194109</v>
      </c>
      <c r="AG249" s="29">
        <v>9929.2188799004198</v>
      </c>
      <c r="AH249" s="29">
        <v>8763.8002211058792</v>
      </c>
      <c r="AI249" s="29">
        <v>10753.361624519801</v>
      </c>
      <c r="AJ249" s="29">
        <v>10712.6254242948</v>
      </c>
      <c r="AK249" s="29">
        <v>10767.894017556901</v>
      </c>
      <c r="AL249" s="29"/>
      <c r="AM249" s="29"/>
      <c r="AN249" s="29"/>
      <c r="AO249" s="29"/>
      <c r="AP249" s="29"/>
      <c r="AQ249" s="29"/>
    </row>
    <row r="250" spans="1:43" ht="14.4" x14ac:dyDescent="0.3">
      <c r="A250" s="27" t="s">
        <v>600</v>
      </c>
      <c r="B250" s="29">
        <v>0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/>
      <c r="AM250" s="29"/>
      <c r="AN250" s="29"/>
      <c r="AO250" s="29"/>
      <c r="AP250" s="29"/>
      <c r="AQ250" s="3"/>
    </row>
    <row r="251" spans="1:43" ht="14.4" x14ac:dyDescent="0.3">
      <c r="A251" s="27" t="s">
        <v>601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ht="14.4" x14ac:dyDescent="0.3">
      <c r="A252" s="27" t="s">
        <v>602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ht="14.4" x14ac:dyDescent="0.3">
      <c r="A253" s="86" t="s">
        <v>693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ht="14.4" x14ac:dyDescent="0.3">
      <c r="A254" s="27" t="s">
        <v>416</v>
      </c>
      <c r="B254" s="29">
        <v>201801</v>
      </c>
      <c r="C254" s="29">
        <v>201802</v>
      </c>
      <c r="D254" s="29">
        <v>201803</v>
      </c>
      <c r="E254" s="29">
        <v>201804</v>
      </c>
      <c r="F254" s="29">
        <v>201805</v>
      </c>
      <c r="G254" s="29">
        <v>201806</v>
      </c>
      <c r="H254" s="29">
        <v>201807</v>
      </c>
      <c r="I254" s="29">
        <v>201808</v>
      </c>
      <c r="J254" s="29">
        <v>201809</v>
      </c>
      <c r="K254" s="29">
        <v>201810</v>
      </c>
      <c r="L254" s="29">
        <v>201811</v>
      </c>
      <c r="M254" s="29">
        <v>201812</v>
      </c>
      <c r="N254" s="29">
        <v>201901</v>
      </c>
      <c r="O254" s="29">
        <v>201902</v>
      </c>
      <c r="P254" s="29">
        <v>201903</v>
      </c>
      <c r="Q254" s="29">
        <v>201904</v>
      </c>
      <c r="R254" s="29">
        <v>201905</v>
      </c>
      <c r="S254" s="29">
        <v>201906</v>
      </c>
      <c r="T254" s="29">
        <v>201907</v>
      </c>
      <c r="U254" s="29">
        <v>201908</v>
      </c>
      <c r="V254" s="29">
        <v>201909</v>
      </c>
      <c r="W254" s="29">
        <v>201910</v>
      </c>
      <c r="X254" s="29">
        <v>201911</v>
      </c>
      <c r="Y254" s="29">
        <v>201912</v>
      </c>
      <c r="Z254" s="29">
        <v>202001</v>
      </c>
      <c r="AA254" s="29">
        <v>202002</v>
      </c>
      <c r="AB254" s="29">
        <v>202003</v>
      </c>
      <c r="AC254" s="29">
        <v>202004</v>
      </c>
      <c r="AD254" s="29">
        <v>202005</v>
      </c>
      <c r="AE254" s="29">
        <v>202006</v>
      </c>
      <c r="AF254" s="29">
        <v>202007</v>
      </c>
      <c r="AG254" s="29">
        <v>202008</v>
      </c>
      <c r="AH254" s="29">
        <v>202009</v>
      </c>
      <c r="AI254" s="29">
        <v>202010</v>
      </c>
      <c r="AJ254" s="29">
        <v>202011</v>
      </c>
      <c r="AK254" s="29">
        <v>202012</v>
      </c>
      <c r="AL254" s="29"/>
      <c r="AM254" s="29"/>
      <c r="AN254" s="29"/>
      <c r="AO254" s="29"/>
      <c r="AP254" s="29"/>
      <c r="AQ254" s="3"/>
    </row>
    <row r="255" spans="1:43" ht="14.4" x14ac:dyDescent="0.3">
      <c r="A255" s="27" t="s">
        <v>417</v>
      </c>
      <c r="B255" s="29">
        <v>201801</v>
      </c>
      <c r="C255" s="29">
        <v>201801</v>
      </c>
      <c r="D255" s="29">
        <v>201801</v>
      </c>
      <c r="E255" s="29">
        <v>201801</v>
      </c>
      <c r="F255" s="29">
        <v>201801</v>
      </c>
      <c r="G255" s="29">
        <v>201801</v>
      </c>
      <c r="H255" s="29">
        <v>201801</v>
      </c>
      <c r="I255" s="29">
        <v>201801</v>
      </c>
      <c r="J255" s="29">
        <v>201801</v>
      </c>
      <c r="K255" s="29">
        <v>201801</v>
      </c>
      <c r="L255" s="29">
        <v>201801</v>
      </c>
      <c r="M255" s="29">
        <v>201801</v>
      </c>
      <c r="N255" s="29">
        <v>201801</v>
      </c>
      <c r="O255" s="29">
        <v>201801</v>
      </c>
      <c r="P255" s="29">
        <v>201801</v>
      </c>
      <c r="Q255" s="29">
        <v>201801</v>
      </c>
      <c r="R255" s="29">
        <v>201801</v>
      </c>
      <c r="S255" s="29">
        <v>201801</v>
      </c>
      <c r="T255" s="29">
        <v>201801</v>
      </c>
      <c r="U255" s="29">
        <v>201801</v>
      </c>
      <c r="V255" s="29">
        <v>201801</v>
      </c>
      <c r="W255" s="29">
        <v>201801</v>
      </c>
      <c r="X255" s="29">
        <v>201801</v>
      </c>
      <c r="Y255" s="29">
        <v>201801</v>
      </c>
      <c r="Z255" s="29">
        <v>201801</v>
      </c>
      <c r="AA255" s="29">
        <v>201801</v>
      </c>
      <c r="AB255" s="29">
        <v>201801</v>
      </c>
      <c r="AC255" s="29">
        <v>201801</v>
      </c>
      <c r="AD255" s="29">
        <v>201801</v>
      </c>
      <c r="AE255" s="29">
        <v>201801</v>
      </c>
      <c r="AF255" s="29">
        <v>201801</v>
      </c>
      <c r="AG255" s="29">
        <v>201801</v>
      </c>
      <c r="AH255" s="29">
        <v>201801</v>
      </c>
      <c r="AI255" s="29">
        <v>201801</v>
      </c>
      <c r="AJ255" s="29">
        <v>201801</v>
      </c>
      <c r="AK255" s="29">
        <v>201801</v>
      </c>
      <c r="AL255" s="29"/>
      <c r="AM255" s="29"/>
      <c r="AN255" s="29"/>
      <c r="AO255" s="29"/>
      <c r="AP255" s="29"/>
      <c r="AQ255" s="3"/>
    </row>
    <row r="256" spans="1:43" ht="14.4" x14ac:dyDescent="0.3">
      <c r="A256" s="27" t="s">
        <v>418</v>
      </c>
      <c r="B256" s="29">
        <v>201702</v>
      </c>
      <c r="C256" s="29">
        <v>201702</v>
      </c>
      <c r="D256" s="29">
        <v>201702</v>
      </c>
      <c r="E256" s="29">
        <v>201702</v>
      </c>
      <c r="F256" s="29">
        <v>201702</v>
      </c>
      <c r="G256" s="29">
        <v>201702</v>
      </c>
      <c r="H256" s="29">
        <v>201702</v>
      </c>
      <c r="I256" s="29">
        <v>201702</v>
      </c>
      <c r="J256" s="29">
        <v>201702</v>
      </c>
      <c r="K256" s="29">
        <v>201702</v>
      </c>
      <c r="L256" s="29">
        <v>201702</v>
      </c>
      <c r="M256" s="29">
        <v>201702</v>
      </c>
      <c r="N256" s="29">
        <v>201702</v>
      </c>
      <c r="O256" s="29">
        <v>201702</v>
      </c>
      <c r="P256" s="29">
        <v>201702</v>
      </c>
      <c r="Q256" s="29">
        <v>201702</v>
      </c>
      <c r="R256" s="29">
        <v>201702</v>
      </c>
      <c r="S256" s="29">
        <v>201702</v>
      </c>
      <c r="T256" s="29">
        <v>201702</v>
      </c>
      <c r="U256" s="29">
        <v>201702</v>
      </c>
      <c r="V256" s="29">
        <v>201702</v>
      </c>
      <c r="W256" s="29">
        <v>201702</v>
      </c>
      <c r="X256" s="29">
        <v>201702</v>
      </c>
      <c r="Y256" s="29">
        <v>201702</v>
      </c>
      <c r="Z256" s="29">
        <v>201702</v>
      </c>
      <c r="AA256" s="29">
        <v>201702</v>
      </c>
      <c r="AB256" s="29">
        <v>201702</v>
      </c>
      <c r="AC256" s="29">
        <v>201702</v>
      </c>
      <c r="AD256" s="29">
        <v>201702</v>
      </c>
      <c r="AE256" s="29">
        <v>201702</v>
      </c>
      <c r="AF256" s="29">
        <v>201702</v>
      </c>
      <c r="AG256" s="29">
        <v>201702</v>
      </c>
      <c r="AH256" s="29">
        <v>201702</v>
      </c>
      <c r="AI256" s="29">
        <v>201702</v>
      </c>
      <c r="AJ256" s="29">
        <v>201702</v>
      </c>
      <c r="AK256" s="29">
        <v>201702</v>
      </c>
      <c r="AL256" s="29"/>
      <c r="AM256" s="29"/>
      <c r="AN256" s="29"/>
      <c r="AO256" s="29"/>
      <c r="AP256" s="29"/>
      <c r="AQ256" s="3"/>
    </row>
    <row r="257" spans="1:43" ht="14.4" x14ac:dyDescent="0.3">
      <c r="A257" s="27" t="s">
        <v>419</v>
      </c>
      <c r="B257" s="29">
        <v>0.21</v>
      </c>
      <c r="C257" s="29">
        <v>0.21</v>
      </c>
      <c r="D257" s="29">
        <v>0.21</v>
      </c>
      <c r="E257" s="29">
        <v>0.21</v>
      </c>
      <c r="F257" s="29">
        <v>0.21</v>
      </c>
      <c r="G257" s="29">
        <v>0.21</v>
      </c>
      <c r="H257" s="29">
        <v>0.21</v>
      </c>
      <c r="I257" s="29">
        <v>0.21</v>
      </c>
      <c r="J257" s="29">
        <v>0.21</v>
      </c>
      <c r="K257" s="29">
        <v>0.21</v>
      </c>
      <c r="L257" s="29">
        <v>0.21</v>
      </c>
      <c r="M257" s="29">
        <v>0.21</v>
      </c>
      <c r="N257" s="29">
        <v>0.21</v>
      </c>
      <c r="O257" s="29">
        <v>0.21</v>
      </c>
      <c r="P257" s="29">
        <v>0.21</v>
      </c>
      <c r="Q257" s="29">
        <v>0.21</v>
      </c>
      <c r="R257" s="29">
        <v>0.21</v>
      </c>
      <c r="S257" s="29">
        <v>0.21</v>
      </c>
      <c r="T257" s="29">
        <v>0.21</v>
      </c>
      <c r="U257" s="29">
        <v>0.21</v>
      </c>
      <c r="V257" s="29">
        <v>0.21</v>
      </c>
      <c r="W257" s="29">
        <v>0.21</v>
      </c>
      <c r="X257" s="29">
        <v>0.21</v>
      </c>
      <c r="Y257" s="29">
        <v>0.21</v>
      </c>
      <c r="Z257" s="29">
        <v>0.21</v>
      </c>
      <c r="AA257" s="29">
        <v>0.21</v>
      </c>
      <c r="AB257" s="29">
        <v>0.21</v>
      </c>
      <c r="AC257" s="29">
        <v>0.21</v>
      </c>
      <c r="AD257" s="29">
        <v>0.21</v>
      </c>
      <c r="AE257" s="29">
        <v>0.21</v>
      </c>
      <c r="AF257" s="29">
        <v>0.21</v>
      </c>
      <c r="AG257" s="29">
        <v>0.21</v>
      </c>
      <c r="AH257" s="29">
        <v>0.21</v>
      </c>
      <c r="AI257" s="29">
        <v>0.21</v>
      </c>
      <c r="AJ257" s="29">
        <v>0.21</v>
      </c>
      <c r="AK257" s="29">
        <v>0.21</v>
      </c>
      <c r="AL257" s="29"/>
      <c r="AM257" s="29"/>
      <c r="AN257" s="29"/>
      <c r="AO257" s="29"/>
      <c r="AP257" s="29"/>
      <c r="AQ257" s="3"/>
    </row>
    <row r="258" spans="1:43" ht="14.4" x14ac:dyDescent="0.3">
      <c r="A258" s="27" t="s">
        <v>420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ht="10.199999999999999" x14ac:dyDescent="0.2">
      <c r="A259" s="27" t="s">
        <v>421</v>
      </c>
      <c r="B259" s="29">
        <v>42047.899449999997</v>
      </c>
      <c r="C259" s="29">
        <v>26637.059309999899</v>
      </c>
      <c r="D259" s="29">
        <v>23758.578990000002</v>
      </c>
      <c r="E259" s="29">
        <v>10102.8509399999</v>
      </c>
      <c r="F259" s="29">
        <v>23986.957549999999</v>
      </c>
      <c r="G259" s="29">
        <v>27401.692070000001</v>
      </c>
      <c r="H259" s="29">
        <v>27302.033251176301</v>
      </c>
      <c r="I259" s="29">
        <v>27190.0346503867</v>
      </c>
      <c r="J259" s="29">
        <v>19829.913687595399</v>
      </c>
      <c r="K259" s="29">
        <v>8691.5457897144606</v>
      </c>
      <c r="L259" s="29">
        <v>18365.6869182263</v>
      </c>
      <c r="M259" s="29">
        <v>27670.000537921202</v>
      </c>
      <c r="N259" s="29">
        <v>33094.692033494801</v>
      </c>
      <c r="O259" s="29">
        <v>28160.062106863301</v>
      </c>
      <c r="P259" s="29">
        <v>20211.625240269801</v>
      </c>
      <c r="Q259" s="29">
        <v>8704.7221551103594</v>
      </c>
      <c r="R259" s="29">
        <v>16234.731545226399</v>
      </c>
      <c r="S259" s="29">
        <v>21644.238814040102</v>
      </c>
      <c r="T259" s="29">
        <v>26030.958685825401</v>
      </c>
      <c r="U259" s="29">
        <v>27271.1009617852</v>
      </c>
      <c r="V259" s="29">
        <v>14679.686586370901</v>
      </c>
      <c r="W259" s="29">
        <v>9294.6004372229509</v>
      </c>
      <c r="X259" s="29">
        <v>17760.769365730699</v>
      </c>
      <c r="Y259" s="29">
        <v>29195.257964779899</v>
      </c>
      <c r="Z259" s="29">
        <v>36005.315979880499</v>
      </c>
      <c r="AA259" s="29">
        <v>31171.621479809499</v>
      </c>
      <c r="AB259" s="29">
        <v>21446.9146528891</v>
      </c>
      <c r="AC259" s="29">
        <v>9811.4961972355395</v>
      </c>
      <c r="AD259" s="29">
        <v>16163.9714484142</v>
      </c>
      <c r="AE259" s="29">
        <v>19439.806584055299</v>
      </c>
      <c r="AF259" s="29">
        <v>25525.746062213901</v>
      </c>
      <c r="AG259" s="29">
        <v>29310.917009971599</v>
      </c>
      <c r="AH259" s="29">
        <v>18133.8542247267</v>
      </c>
      <c r="AI259" s="29">
        <v>8280.0064371118297</v>
      </c>
      <c r="AJ259" s="29">
        <v>16344.7639245102</v>
      </c>
      <c r="AK259" s="29">
        <v>26310.3949438653</v>
      </c>
      <c r="AL259" s="29"/>
      <c r="AM259" s="29"/>
      <c r="AN259" s="29"/>
      <c r="AO259" s="29"/>
      <c r="AP259" s="29"/>
      <c r="AQ259" s="29"/>
    </row>
    <row r="260" spans="1:43" ht="14.4" x14ac:dyDescent="0.3">
      <c r="A260" s="27" t="s">
        <v>422</v>
      </c>
      <c r="B260" s="29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/>
      <c r="AM260" s="29"/>
      <c r="AN260" s="29"/>
      <c r="AO260" s="29"/>
      <c r="AP260" s="29"/>
      <c r="AQ260" s="3"/>
    </row>
    <row r="261" spans="1:43" ht="14.4" x14ac:dyDescent="0.3">
      <c r="A261" s="27" t="s">
        <v>423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0</v>
      </c>
      <c r="AK261" s="29">
        <v>0</v>
      </c>
      <c r="AL261" s="29"/>
      <c r="AM261" s="29"/>
      <c r="AN261" s="29"/>
      <c r="AO261" s="29"/>
      <c r="AP261" s="29"/>
      <c r="AQ261" s="3"/>
    </row>
    <row r="262" spans="1:43" ht="10.199999999999999" x14ac:dyDescent="0.2">
      <c r="A262" s="27" t="s">
        <v>424</v>
      </c>
      <c r="B262" s="29">
        <v>42047.899449999997</v>
      </c>
      <c r="C262" s="29">
        <v>26637.059309999899</v>
      </c>
      <c r="D262" s="29">
        <v>23758.578990000002</v>
      </c>
      <c r="E262" s="29">
        <v>10102.8509399999</v>
      </c>
      <c r="F262" s="29">
        <v>23986.957549999999</v>
      </c>
      <c r="G262" s="29">
        <v>27401.692070000001</v>
      </c>
      <c r="H262" s="29">
        <v>27302.033251176301</v>
      </c>
      <c r="I262" s="29">
        <v>27190.0346503867</v>
      </c>
      <c r="J262" s="29">
        <v>19829.913687595399</v>
      </c>
      <c r="K262" s="29">
        <v>8691.5457897144606</v>
      </c>
      <c r="L262" s="29">
        <v>18365.6869182263</v>
      </c>
      <c r="M262" s="29">
        <v>27670.000537921202</v>
      </c>
      <c r="N262" s="29">
        <v>33094.692033494801</v>
      </c>
      <c r="O262" s="29">
        <v>28160.062106863301</v>
      </c>
      <c r="P262" s="29">
        <v>20211.625240269801</v>
      </c>
      <c r="Q262" s="29">
        <v>8704.7221551103594</v>
      </c>
      <c r="R262" s="29">
        <v>16234.731545226399</v>
      </c>
      <c r="S262" s="29">
        <v>21644.238814040102</v>
      </c>
      <c r="T262" s="29">
        <v>26030.958685825401</v>
      </c>
      <c r="U262" s="29">
        <v>27271.1009617852</v>
      </c>
      <c r="V262" s="29">
        <v>14679.686586370901</v>
      </c>
      <c r="W262" s="29">
        <v>9294.6004372229509</v>
      </c>
      <c r="X262" s="29">
        <v>17760.769365730699</v>
      </c>
      <c r="Y262" s="29">
        <v>29195.257964779899</v>
      </c>
      <c r="Z262" s="29">
        <v>36005.315979880499</v>
      </c>
      <c r="AA262" s="29">
        <v>31171.621479809499</v>
      </c>
      <c r="AB262" s="29">
        <v>21446.9146528891</v>
      </c>
      <c r="AC262" s="29">
        <v>9811.4961972355395</v>
      </c>
      <c r="AD262" s="29">
        <v>16163.9714484142</v>
      </c>
      <c r="AE262" s="29">
        <v>19439.806584055299</v>
      </c>
      <c r="AF262" s="29">
        <v>25525.746062213901</v>
      </c>
      <c r="AG262" s="29">
        <v>29310.917009971599</v>
      </c>
      <c r="AH262" s="29">
        <v>18133.8542247267</v>
      </c>
      <c r="AI262" s="29">
        <v>8280.0064371118297</v>
      </c>
      <c r="AJ262" s="29">
        <v>16344.7639245102</v>
      </c>
      <c r="AK262" s="29">
        <v>26310.3949438653</v>
      </c>
      <c r="AL262" s="29"/>
      <c r="AM262" s="29"/>
      <c r="AN262" s="29"/>
      <c r="AO262" s="29"/>
      <c r="AP262" s="29"/>
      <c r="AQ262" s="29"/>
    </row>
    <row r="263" spans="1:43" ht="14.4" x14ac:dyDescent="0.3">
      <c r="A263" s="27" t="s">
        <v>425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ht="14.4" x14ac:dyDescent="0.3">
      <c r="A264" s="87" t="s">
        <v>426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ht="10.199999999999999" x14ac:dyDescent="0.2">
      <c r="A265" s="27" t="s">
        <v>427</v>
      </c>
      <c r="B265" s="29">
        <v>39.616390000000003</v>
      </c>
      <c r="C265" s="29">
        <v>57.293759999999999</v>
      </c>
      <c r="D265" s="29">
        <v>286.21185000000003</v>
      </c>
      <c r="E265" s="29">
        <v>54.489100000000001</v>
      </c>
      <c r="F265" s="29">
        <v>36.773529999999901</v>
      </c>
      <c r="G265" s="29">
        <v>402.34719999999999</v>
      </c>
      <c r="H265" s="29">
        <v>60.927</v>
      </c>
      <c r="I265" s="29">
        <v>57.146999999999998</v>
      </c>
      <c r="J265" s="29">
        <v>353.01</v>
      </c>
      <c r="K265" s="29">
        <v>67.748999999999995</v>
      </c>
      <c r="L265" s="29">
        <v>56.820999999999898</v>
      </c>
      <c r="M265" s="29">
        <v>351.08499999999998</v>
      </c>
      <c r="N265" s="29">
        <v>89.799000000000007</v>
      </c>
      <c r="O265" s="29">
        <v>52.71</v>
      </c>
      <c r="P265" s="29">
        <v>247.12</v>
      </c>
      <c r="Q265" s="29">
        <v>55.988999999999997</v>
      </c>
      <c r="R265" s="29">
        <v>55.948999999999998</v>
      </c>
      <c r="S265" s="29">
        <v>245.113</v>
      </c>
      <c r="T265" s="29">
        <v>59.170999999999999</v>
      </c>
      <c r="U265" s="29">
        <v>55.673999999999999</v>
      </c>
      <c r="V265" s="29">
        <v>253.023</v>
      </c>
      <c r="W265" s="29">
        <v>59.783999999999999</v>
      </c>
      <c r="X265" s="29">
        <v>50.808</v>
      </c>
      <c r="Y265" s="29">
        <v>270.387</v>
      </c>
      <c r="Z265" s="29">
        <v>90.620999999999995</v>
      </c>
      <c r="AA265" s="29">
        <v>53.466999999999999</v>
      </c>
      <c r="AB265" s="29">
        <v>249.136</v>
      </c>
      <c r="AC265" s="29">
        <v>56.789000000000001</v>
      </c>
      <c r="AD265" s="29">
        <v>54.39</v>
      </c>
      <c r="AE265" s="29">
        <v>248.309</v>
      </c>
      <c r="AF265" s="29">
        <v>60.042000000000002</v>
      </c>
      <c r="AG265" s="29">
        <v>55.326000000000001</v>
      </c>
      <c r="AH265" s="29">
        <v>255.03700000000001</v>
      </c>
      <c r="AI265" s="29">
        <v>59.472000000000001</v>
      </c>
      <c r="AJ265" s="29">
        <v>51.555999999999997</v>
      </c>
      <c r="AK265" s="29">
        <v>272.35899999999998</v>
      </c>
      <c r="AL265" s="29"/>
      <c r="AM265" s="29"/>
      <c r="AN265" s="29"/>
      <c r="AO265" s="29"/>
      <c r="AP265" s="29"/>
      <c r="AQ265" s="29"/>
    </row>
    <row r="266" spans="1:43" ht="14.4" x14ac:dyDescent="0.3">
      <c r="A266" s="27" t="s">
        <v>428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/>
      <c r="AM266" s="29"/>
      <c r="AN266" s="29"/>
      <c r="AO266" s="29"/>
      <c r="AP266" s="29"/>
      <c r="AQ266" s="3"/>
    </row>
    <row r="267" spans="1:43" ht="10.199999999999999" x14ac:dyDescent="0.2">
      <c r="A267" s="86" t="s">
        <v>429</v>
      </c>
      <c r="B267" s="29">
        <v>39.616390000000003</v>
      </c>
      <c r="C267" s="29">
        <v>57.293759999999999</v>
      </c>
      <c r="D267" s="29">
        <v>286.21185000000003</v>
      </c>
      <c r="E267" s="29">
        <v>54.489100000000001</v>
      </c>
      <c r="F267" s="29">
        <v>36.773529999999901</v>
      </c>
      <c r="G267" s="29">
        <v>402.34719999999999</v>
      </c>
      <c r="H267" s="29">
        <v>60.927</v>
      </c>
      <c r="I267" s="29">
        <v>57.146999999999998</v>
      </c>
      <c r="J267" s="29">
        <v>353.01</v>
      </c>
      <c r="K267" s="29">
        <v>67.748999999999995</v>
      </c>
      <c r="L267" s="29">
        <v>56.820999999999898</v>
      </c>
      <c r="M267" s="29">
        <v>351.08499999999998</v>
      </c>
      <c r="N267" s="29">
        <v>89.799000000000007</v>
      </c>
      <c r="O267" s="29">
        <v>52.71</v>
      </c>
      <c r="P267" s="29">
        <v>247.12</v>
      </c>
      <c r="Q267" s="29">
        <v>55.988999999999997</v>
      </c>
      <c r="R267" s="29">
        <v>55.948999999999998</v>
      </c>
      <c r="S267" s="29">
        <v>245.113</v>
      </c>
      <c r="T267" s="29">
        <v>59.170999999999999</v>
      </c>
      <c r="U267" s="29">
        <v>55.673999999999999</v>
      </c>
      <c r="V267" s="29">
        <v>253.023</v>
      </c>
      <c r="W267" s="29">
        <v>59.783999999999999</v>
      </c>
      <c r="X267" s="29">
        <v>50.808</v>
      </c>
      <c r="Y267" s="29">
        <v>270.387</v>
      </c>
      <c r="Z267" s="29">
        <v>90.620999999999995</v>
      </c>
      <c r="AA267" s="29">
        <v>53.466999999999999</v>
      </c>
      <c r="AB267" s="29">
        <v>249.136</v>
      </c>
      <c r="AC267" s="29">
        <v>56.789000000000001</v>
      </c>
      <c r="AD267" s="29">
        <v>54.39</v>
      </c>
      <c r="AE267" s="29">
        <v>248.309</v>
      </c>
      <c r="AF267" s="29">
        <v>60.042000000000002</v>
      </c>
      <c r="AG267" s="29">
        <v>55.326000000000001</v>
      </c>
      <c r="AH267" s="29">
        <v>255.03700000000001</v>
      </c>
      <c r="AI267" s="29">
        <v>59.472000000000001</v>
      </c>
      <c r="AJ267" s="29">
        <v>51.555999999999997</v>
      </c>
      <c r="AK267" s="29">
        <v>272.35899999999998</v>
      </c>
      <c r="AL267" s="29"/>
      <c r="AM267" s="29"/>
      <c r="AN267" s="29"/>
      <c r="AO267" s="29"/>
      <c r="AP267" s="29"/>
      <c r="AQ267" s="29"/>
    </row>
    <row r="268" spans="1:43" ht="14.4" x14ac:dyDescent="0.3">
      <c r="A268" s="27" t="s">
        <v>430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ht="14.4" x14ac:dyDescent="0.3">
      <c r="A269" s="87" t="s">
        <v>431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ht="10.199999999999999" x14ac:dyDescent="0.2">
      <c r="A270" s="27" t="s">
        <v>432</v>
      </c>
      <c r="B270" s="29">
        <v>35497.378941421099</v>
      </c>
      <c r="C270" s="29">
        <v>16897.598024019</v>
      </c>
      <c r="D270" s="29">
        <v>10345.125767829401</v>
      </c>
      <c r="E270" s="29">
        <v>12771.906850831499</v>
      </c>
      <c r="F270" s="29">
        <v>18359.981731581502</v>
      </c>
      <c r="G270" s="29">
        <v>11498.246130629401</v>
      </c>
      <c r="H270" s="29">
        <v>14043.526593176601</v>
      </c>
      <c r="I270" s="29">
        <v>13228.032376150401</v>
      </c>
      <c r="J270" s="29">
        <v>7493.0363180003696</v>
      </c>
      <c r="K270" s="29">
        <v>9507.2512997821796</v>
      </c>
      <c r="L270" s="29">
        <v>14742.8154079179</v>
      </c>
      <c r="M270" s="29">
        <v>9598.2468280520898</v>
      </c>
      <c r="N270" s="29">
        <v>13341.850335577599</v>
      </c>
      <c r="O270" s="29">
        <v>12705.156315795501</v>
      </c>
      <c r="P270" s="29">
        <v>6936.1787131613901</v>
      </c>
      <c r="Q270" s="29">
        <v>9356.0682109988502</v>
      </c>
      <c r="R270" s="29">
        <v>13134.1165045937</v>
      </c>
      <c r="S270" s="29">
        <v>11962.6053757397</v>
      </c>
      <c r="T270" s="29">
        <v>20564.377335134599</v>
      </c>
      <c r="U270" s="29">
        <v>17056.2873839106</v>
      </c>
      <c r="V270" s="29">
        <v>11032.388202917</v>
      </c>
      <c r="W270" s="29">
        <v>14231.9765374205</v>
      </c>
      <c r="X270" s="29">
        <v>18835.5147192451</v>
      </c>
      <c r="Y270" s="29">
        <v>12503.7768781746</v>
      </c>
      <c r="Z270" s="29">
        <v>21670.081325049199</v>
      </c>
      <c r="AA270" s="29">
        <v>20863.9208282256</v>
      </c>
      <c r="AB270" s="29">
        <v>15300.392307043399</v>
      </c>
      <c r="AC270" s="29">
        <v>18240.765517852</v>
      </c>
      <c r="AD270" s="29">
        <v>21601.5000838097</v>
      </c>
      <c r="AE270" s="29">
        <v>15542.4329632643</v>
      </c>
      <c r="AF270" s="29">
        <v>20835.3340259869</v>
      </c>
      <c r="AG270" s="29">
        <v>19869.062416862202</v>
      </c>
      <c r="AH270" s="29">
        <v>13359.9023217544</v>
      </c>
      <c r="AI270" s="29">
        <v>19141.152538382499</v>
      </c>
      <c r="AJ270" s="29">
        <v>22217.138078113599</v>
      </c>
      <c r="AK270" s="29">
        <v>17451.9290172369</v>
      </c>
      <c r="AL270" s="29"/>
      <c r="AM270" s="29"/>
      <c r="AN270" s="29"/>
      <c r="AO270" s="29"/>
      <c r="AP270" s="29"/>
      <c r="AQ270" s="29"/>
    </row>
    <row r="271" spans="1:43" ht="10.199999999999999" x14ac:dyDescent="0.2">
      <c r="A271" s="27" t="s">
        <v>433</v>
      </c>
      <c r="B271" s="29">
        <v>-19376.657172724201</v>
      </c>
      <c r="C271" s="29">
        <v>-19376.657172724201</v>
      </c>
      <c r="D271" s="29">
        <v>-19376.657172724201</v>
      </c>
      <c r="E271" s="29">
        <v>-19376.657172724201</v>
      </c>
      <c r="F271" s="29">
        <v>-19376.657172724201</v>
      </c>
      <c r="G271" s="29">
        <v>-19376.657172724201</v>
      </c>
      <c r="H271" s="29">
        <v>-23420.508977724199</v>
      </c>
      <c r="I271" s="29">
        <v>-37413.911442724202</v>
      </c>
      <c r="J271" s="29">
        <v>-33844.324982724203</v>
      </c>
      <c r="K271" s="29">
        <v>-20274.685602724199</v>
      </c>
      <c r="L271" s="29">
        <v>-20116.287622724201</v>
      </c>
      <c r="M271" s="29">
        <v>-20770.781367724201</v>
      </c>
      <c r="N271" s="29">
        <v>-87019.250620609804</v>
      </c>
      <c r="O271" s="29">
        <v>-22901.876244609801</v>
      </c>
      <c r="P271" s="29">
        <v>-22587.723092609798</v>
      </c>
      <c r="Q271" s="29">
        <v>-39728.350540609797</v>
      </c>
      <c r="R271" s="29">
        <v>-22530.468244609801</v>
      </c>
      <c r="S271" s="29">
        <v>-22340.276272609801</v>
      </c>
      <c r="T271" s="29">
        <v>-22405.476324609801</v>
      </c>
      <c r="U271" s="29">
        <v>-23233.4763326098</v>
      </c>
      <c r="V271" s="29">
        <v>-22517.913212609801</v>
      </c>
      <c r="W271" s="29">
        <v>-22517.913244609801</v>
      </c>
      <c r="X271" s="29">
        <v>-32547.928224609801</v>
      </c>
      <c r="Y271" s="29">
        <v>-38644.4890246098</v>
      </c>
      <c r="Z271" s="29">
        <v>-22755.8575159065</v>
      </c>
      <c r="AA271" s="29">
        <v>-22755.8575159065</v>
      </c>
      <c r="AB271" s="29">
        <v>-22755.8575159065</v>
      </c>
      <c r="AC271" s="29">
        <v>-22755.8575159065</v>
      </c>
      <c r="AD271" s="29">
        <v>-22755.8575159065</v>
      </c>
      <c r="AE271" s="29">
        <v>-22755.8575159065</v>
      </c>
      <c r="AF271" s="29">
        <v>-22755.8575159065</v>
      </c>
      <c r="AG271" s="29">
        <v>-22755.8575159065</v>
      </c>
      <c r="AH271" s="29">
        <v>-22755.8575159065</v>
      </c>
      <c r="AI271" s="29">
        <v>-22755.8575159065</v>
      </c>
      <c r="AJ271" s="29">
        <v>-22755.8575159065</v>
      </c>
      <c r="AK271" s="29">
        <v>-22755.8575159065</v>
      </c>
      <c r="AL271" s="29"/>
      <c r="AM271" s="29"/>
      <c r="AN271" s="29"/>
      <c r="AO271" s="29"/>
      <c r="AP271" s="29"/>
      <c r="AQ271" s="29"/>
    </row>
    <row r="272" spans="1:43" ht="10.199999999999999" x14ac:dyDescent="0.2">
      <c r="A272" s="27" t="s">
        <v>434</v>
      </c>
      <c r="B272" s="29">
        <v>16120.7217686968</v>
      </c>
      <c r="C272" s="29">
        <v>-2479.0591487051802</v>
      </c>
      <c r="D272" s="29">
        <v>-9031.5314048947694</v>
      </c>
      <c r="E272" s="29">
        <v>-6604.7503218926804</v>
      </c>
      <c r="F272" s="29">
        <v>-1016.67544114267</v>
      </c>
      <c r="G272" s="29">
        <v>-7878.41104209478</v>
      </c>
      <c r="H272" s="29">
        <v>-9376.9823845475294</v>
      </c>
      <c r="I272" s="29">
        <v>-24185.8790665737</v>
      </c>
      <c r="J272" s="29">
        <v>-26351.288664723801</v>
      </c>
      <c r="K272" s="29">
        <v>-10767.434302942</v>
      </c>
      <c r="L272" s="29">
        <v>-5373.4722148062101</v>
      </c>
      <c r="M272" s="29">
        <v>-11172.5345396721</v>
      </c>
      <c r="N272" s="29">
        <v>-73677.400285032199</v>
      </c>
      <c r="O272" s="29">
        <v>-10196.7199288143</v>
      </c>
      <c r="P272" s="29">
        <v>-15651.5443794484</v>
      </c>
      <c r="Q272" s="29">
        <v>-30372.282329610902</v>
      </c>
      <c r="R272" s="29">
        <v>-9396.3517400160308</v>
      </c>
      <c r="S272" s="29">
        <v>-10377.67089687</v>
      </c>
      <c r="T272" s="29">
        <v>-1841.0989894751599</v>
      </c>
      <c r="U272" s="29">
        <v>-6177.1889486991404</v>
      </c>
      <c r="V272" s="29">
        <v>-11485.525009692699</v>
      </c>
      <c r="W272" s="29">
        <v>-8285.9367071893103</v>
      </c>
      <c r="X272" s="29">
        <v>-13712.4135053646</v>
      </c>
      <c r="Y272" s="29">
        <v>-26140.7121464351</v>
      </c>
      <c r="Z272" s="29">
        <v>-1085.77619085738</v>
      </c>
      <c r="AA272" s="29">
        <v>-1891.9366876809499</v>
      </c>
      <c r="AB272" s="29">
        <v>-7455.4652088631001</v>
      </c>
      <c r="AC272" s="29">
        <v>-4515.0919980544904</v>
      </c>
      <c r="AD272" s="29">
        <v>-1154.35743209681</v>
      </c>
      <c r="AE272" s="29">
        <v>-7213.4245526422701</v>
      </c>
      <c r="AF272" s="29">
        <v>-1920.5234899196801</v>
      </c>
      <c r="AG272" s="29">
        <v>-2886.7950990443601</v>
      </c>
      <c r="AH272" s="29">
        <v>-9395.9551941520895</v>
      </c>
      <c r="AI272" s="29">
        <v>-3614.7049775239898</v>
      </c>
      <c r="AJ272" s="29">
        <v>-538.71943779291496</v>
      </c>
      <c r="AK272" s="29">
        <v>-5303.9284986696603</v>
      </c>
      <c r="AL272" s="29"/>
      <c r="AM272" s="29"/>
      <c r="AN272" s="29"/>
      <c r="AO272" s="29"/>
      <c r="AP272" s="29"/>
      <c r="AQ272" s="29"/>
    </row>
    <row r="273" spans="1:43" ht="10.199999999999999" x14ac:dyDescent="0.2">
      <c r="A273" s="27" t="s">
        <v>435</v>
      </c>
      <c r="B273" s="29">
        <v>2.1510767582928501</v>
      </c>
      <c r="C273" s="29">
        <v>2.1510767582928501</v>
      </c>
      <c r="D273" s="29">
        <v>2271.26971619506</v>
      </c>
      <c r="E273" s="29">
        <v>2.1510767582928501</v>
      </c>
      <c r="F273" s="29">
        <v>2.1510767582928501</v>
      </c>
      <c r="G273" s="29">
        <v>2134.65371619506</v>
      </c>
      <c r="H273" s="29">
        <v>2.1510767582928501</v>
      </c>
      <c r="I273" s="29">
        <v>2.1510767582928501</v>
      </c>
      <c r="J273" s="29">
        <v>2159.55997426466</v>
      </c>
      <c r="K273" s="29">
        <v>2.1510767582928501</v>
      </c>
      <c r="L273" s="29">
        <v>2.1510767582928501</v>
      </c>
      <c r="M273" s="29">
        <v>2188.49446888491</v>
      </c>
      <c r="N273" s="29">
        <v>2.1510767582928501</v>
      </c>
      <c r="O273" s="29">
        <v>2.1510767582928501</v>
      </c>
      <c r="P273" s="29">
        <v>2609.74603351721</v>
      </c>
      <c r="Q273" s="29">
        <v>2.1510767582928501</v>
      </c>
      <c r="R273" s="29">
        <v>2.1510767582928501</v>
      </c>
      <c r="S273" s="29">
        <v>2609.74603351824</v>
      </c>
      <c r="T273" s="29">
        <v>2.1510767582928501</v>
      </c>
      <c r="U273" s="29">
        <v>2.1510767582928501</v>
      </c>
      <c r="V273" s="29">
        <v>2609.7460335187102</v>
      </c>
      <c r="W273" s="29">
        <v>2.1510767582928501</v>
      </c>
      <c r="X273" s="29">
        <v>2.1510767582928501</v>
      </c>
      <c r="Y273" s="29">
        <v>2609.74603351937</v>
      </c>
      <c r="Z273" s="29">
        <v>2.1510767582928501</v>
      </c>
      <c r="AA273" s="29">
        <v>2.1510767582928501</v>
      </c>
      <c r="AB273" s="29">
        <v>1769.2402887042299</v>
      </c>
      <c r="AC273" s="29">
        <v>2.1510767582928501</v>
      </c>
      <c r="AD273" s="29">
        <v>2.1510767582928501</v>
      </c>
      <c r="AE273" s="29">
        <v>1769.24028870146</v>
      </c>
      <c r="AF273" s="29">
        <v>2.1510767582928501</v>
      </c>
      <c r="AG273" s="29">
        <v>2.1510767582928501</v>
      </c>
      <c r="AH273" s="29">
        <v>1769.24028869877</v>
      </c>
      <c r="AI273" s="29">
        <v>2.1510767582928501</v>
      </c>
      <c r="AJ273" s="29">
        <v>2.1510767582928501</v>
      </c>
      <c r="AK273" s="29">
        <v>1769.24028869477</v>
      </c>
      <c r="AL273" s="29"/>
      <c r="AM273" s="29"/>
      <c r="AN273" s="29"/>
      <c r="AO273" s="29"/>
      <c r="AP273" s="29"/>
      <c r="AQ273" s="29"/>
    </row>
    <row r="274" spans="1:43" ht="10.199999999999999" x14ac:dyDescent="0.2">
      <c r="A274" s="27" t="s">
        <v>436</v>
      </c>
      <c r="B274" s="29">
        <v>16122.8728454551</v>
      </c>
      <c r="C274" s="29">
        <v>-2476.9080719468898</v>
      </c>
      <c r="D274" s="29">
        <v>-6760.2616886997002</v>
      </c>
      <c r="E274" s="29">
        <v>-6602.59924513439</v>
      </c>
      <c r="F274" s="29">
        <v>-1014.52436438438</v>
      </c>
      <c r="G274" s="29">
        <v>-5743.7573258997099</v>
      </c>
      <c r="H274" s="29">
        <v>-9374.8313077892399</v>
      </c>
      <c r="I274" s="29">
        <v>-24183.727989815401</v>
      </c>
      <c r="J274" s="29">
        <v>-24191.728690459098</v>
      </c>
      <c r="K274" s="29">
        <v>-10765.283226183699</v>
      </c>
      <c r="L274" s="29">
        <v>-5371.3211380479197</v>
      </c>
      <c r="M274" s="29">
        <v>-8984.0400707871995</v>
      </c>
      <c r="N274" s="29">
        <v>-73675.249208273905</v>
      </c>
      <c r="O274" s="29">
        <v>-10194.568852056</v>
      </c>
      <c r="P274" s="29">
        <v>-13041.7983459312</v>
      </c>
      <c r="Q274" s="29">
        <v>-30370.1312528526</v>
      </c>
      <c r="R274" s="29">
        <v>-9394.2006632577304</v>
      </c>
      <c r="S274" s="29">
        <v>-7767.92486335183</v>
      </c>
      <c r="T274" s="29">
        <v>-1838.94791271687</v>
      </c>
      <c r="U274" s="29">
        <v>-6175.03787194085</v>
      </c>
      <c r="V274" s="29">
        <v>-8875.7789761740805</v>
      </c>
      <c r="W274" s="29">
        <v>-8283.7856304310098</v>
      </c>
      <c r="X274" s="29">
        <v>-13710.2624286063</v>
      </c>
      <c r="Y274" s="29">
        <v>-23530.966112915699</v>
      </c>
      <c r="Z274" s="29">
        <v>-1083.6251140990801</v>
      </c>
      <c r="AA274" s="29">
        <v>-1889.78561092265</v>
      </c>
      <c r="AB274" s="29">
        <v>-5686.2249201588702</v>
      </c>
      <c r="AC274" s="29">
        <v>-4512.9409212962</v>
      </c>
      <c r="AD274" s="29">
        <v>-1152.2063553385201</v>
      </c>
      <c r="AE274" s="29">
        <v>-5444.1842639407996</v>
      </c>
      <c r="AF274" s="29">
        <v>-1918.3724131613801</v>
      </c>
      <c r="AG274" s="29">
        <v>-2884.6440222860601</v>
      </c>
      <c r="AH274" s="29">
        <v>-7626.7149054533102</v>
      </c>
      <c r="AI274" s="29">
        <v>-3612.5539007656898</v>
      </c>
      <c r="AJ274" s="29">
        <v>-536.56836103462194</v>
      </c>
      <c r="AK274" s="29">
        <v>-3534.68820997489</v>
      </c>
      <c r="AL274" s="29"/>
      <c r="AM274" s="29"/>
      <c r="AN274" s="29"/>
      <c r="AO274" s="29"/>
      <c r="AP274" s="29"/>
      <c r="AQ274" s="29"/>
    </row>
    <row r="275" spans="1:43" ht="10.199999999999999" x14ac:dyDescent="0.2">
      <c r="A275" s="27" t="s">
        <v>437</v>
      </c>
      <c r="B275" s="29">
        <v>-98117.296763299295</v>
      </c>
      <c r="C275" s="29">
        <v>-98117.296763299295</v>
      </c>
      <c r="D275" s="29">
        <v>-98117.296763299295</v>
      </c>
      <c r="E275" s="29">
        <v>-98117.296763299295</v>
      </c>
      <c r="F275" s="29">
        <v>-98117.296763299295</v>
      </c>
      <c r="G275" s="29">
        <v>-98117.296763299295</v>
      </c>
      <c r="H275" s="29">
        <v>-98117.296763299295</v>
      </c>
      <c r="I275" s="29">
        <v>-98117.296763299295</v>
      </c>
      <c r="J275" s="29">
        <v>-98117.296763299993</v>
      </c>
      <c r="K275" s="29">
        <v>-98117.296763299702</v>
      </c>
      <c r="L275" s="29">
        <v>-98117.296763299397</v>
      </c>
      <c r="M275" s="29">
        <v>-98117.296763298596</v>
      </c>
      <c r="N275" s="29">
        <v>-217314.844866659</v>
      </c>
      <c r="O275" s="29">
        <v>-217314.844866659</v>
      </c>
      <c r="P275" s="29">
        <v>-217314.84486666799</v>
      </c>
      <c r="Q275" s="29">
        <v>-217314.84486665999</v>
      </c>
      <c r="R275" s="29">
        <v>-217314.844866653</v>
      </c>
      <c r="S275" s="29">
        <v>-217314.84486662701</v>
      </c>
      <c r="T275" s="29">
        <v>-217314.84486662399</v>
      </c>
      <c r="U275" s="29">
        <v>-217314.844866628</v>
      </c>
      <c r="V275" s="29">
        <v>-217314.84486662</v>
      </c>
      <c r="W275" s="29">
        <v>-217314.84486662399</v>
      </c>
      <c r="X275" s="29">
        <v>-217314.84486662899</v>
      </c>
      <c r="Y275" s="29">
        <v>-217314.844866648</v>
      </c>
      <c r="Z275" s="29">
        <v>-46976.678767102901</v>
      </c>
      <c r="AA275" s="29">
        <v>-46976.678767102298</v>
      </c>
      <c r="AB275" s="29">
        <v>-46976.678767099198</v>
      </c>
      <c r="AC275" s="29">
        <v>-46976.678766937599</v>
      </c>
      <c r="AD275" s="29">
        <v>-46976.678767072102</v>
      </c>
      <c r="AE275" s="29">
        <v>-46976.678767019599</v>
      </c>
      <c r="AF275" s="29">
        <v>-46976.678766931604</v>
      </c>
      <c r="AG275" s="29">
        <v>-46976.678766925703</v>
      </c>
      <c r="AH275" s="29">
        <v>-46976.678766875499</v>
      </c>
      <c r="AI275" s="29">
        <v>-46976.678766874596</v>
      </c>
      <c r="AJ275" s="29">
        <v>-46976.678766887999</v>
      </c>
      <c r="AK275" s="29">
        <v>-46976.678767297701</v>
      </c>
      <c r="AL275" s="29"/>
      <c r="AM275" s="29"/>
      <c r="AN275" s="29"/>
      <c r="AO275" s="29"/>
      <c r="AP275" s="29"/>
      <c r="AQ275" s="29"/>
    </row>
    <row r="276" spans="1:43" ht="10.199999999999999" x14ac:dyDescent="0.2">
      <c r="A276" s="27" t="s">
        <v>438</v>
      </c>
      <c r="B276" s="29">
        <v>-89346.110273692801</v>
      </c>
      <c r="C276" s="29">
        <v>-89346.110273692801</v>
      </c>
      <c r="D276" s="29">
        <v>-89346.110273692902</v>
      </c>
      <c r="E276" s="29">
        <v>-89346.110273692902</v>
      </c>
      <c r="F276" s="29">
        <v>-89346.110273692902</v>
      </c>
      <c r="G276" s="29">
        <v>-89346.110273693004</v>
      </c>
      <c r="H276" s="29">
        <v>-89346.110273693106</v>
      </c>
      <c r="I276" s="29">
        <v>-89346.110273693106</v>
      </c>
      <c r="J276" s="29">
        <v>-89346.110273693906</v>
      </c>
      <c r="K276" s="29">
        <v>-89346.110273693601</v>
      </c>
      <c r="L276" s="29">
        <v>-89346.110273693397</v>
      </c>
      <c r="M276" s="29">
        <v>-89346.110273692597</v>
      </c>
      <c r="N276" s="29">
        <v>-206858.65211852599</v>
      </c>
      <c r="O276" s="29">
        <v>-206858.65211852599</v>
      </c>
      <c r="P276" s="29">
        <v>-206858.65211853501</v>
      </c>
      <c r="Q276" s="29">
        <v>-206858.65211852701</v>
      </c>
      <c r="R276" s="29">
        <v>-206858.65211852</v>
      </c>
      <c r="S276" s="29">
        <v>-206858.652118492</v>
      </c>
      <c r="T276" s="29">
        <v>-206858.65211848801</v>
      </c>
      <c r="U276" s="29">
        <v>-206858.65211849299</v>
      </c>
      <c r="V276" s="29">
        <v>-206858.65211848199</v>
      </c>
      <c r="W276" s="29">
        <v>-206858.652118486</v>
      </c>
      <c r="X276" s="29">
        <v>-206858.652118492</v>
      </c>
      <c r="Y276" s="29">
        <v>-206858.65211850801</v>
      </c>
      <c r="Z276" s="29">
        <v>-39882.508998204597</v>
      </c>
      <c r="AA276" s="29">
        <v>-39882.508998204001</v>
      </c>
      <c r="AB276" s="29">
        <v>-39882.508998210302</v>
      </c>
      <c r="AC276" s="29">
        <v>-39882.508998048703</v>
      </c>
      <c r="AD276" s="29">
        <v>-39882.508998183097</v>
      </c>
      <c r="AE276" s="29">
        <v>-39882.508998137702</v>
      </c>
      <c r="AF276" s="29">
        <v>-39882.508998049801</v>
      </c>
      <c r="AG276" s="29">
        <v>-39882.508998043799</v>
      </c>
      <c r="AH276" s="29">
        <v>-39882.508997999903</v>
      </c>
      <c r="AI276" s="29">
        <v>-39882.508997999001</v>
      </c>
      <c r="AJ276" s="29">
        <v>-39882.508998012498</v>
      </c>
      <c r="AK276" s="29">
        <v>-39882.508998432102</v>
      </c>
      <c r="AL276" s="29"/>
      <c r="AM276" s="29"/>
      <c r="AN276" s="29"/>
      <c r="AO276" s="29"/>
      <c r="AP276" s="29"/>
      <c r="AQ276" s="29"/>
    </row>
    <row r="277" spans="1:43" ht="10.199999999999999" x14ac:dyDescent="0.2">
      <c r="A277" s="27" t="s">
        <v>439</v>
      </c>
      <c r="B277" s="29">
        <v>0</v>
      </c>
      <c r="C277" s="29">
        <v>0</v>
      </c>
      <c r="D277" s="29">
        <v>-24529.324190824798</v>
      </c>
      <c r="E277" s="29">
        <v>0</v>
      </c>
      <c r="F277" s="29">
        <v>0</v>
      </c>
      <c r="G277" s="29">
        <v>-24529.324190824798</v>
      </c>
      <c r="H277" s="29">
        <v>0</v>
      </c>
      <c r="I277" s="29">
        <v>0</v>
      </c>
      <c r="J277" s="29">
        <v>-24529.324190824998</v>
      </c>
      <c r="K277" s="29">
        <v>0</v>
      </c>
      <c r="L277" s="29">
        <v>0</v>
      </c>
      <c r="M277" s="29">
        <v>-24529.324190824598</v>
      </c>
      <c r="N277" s="29">
        <v>0</v>
      </c>
      <c r="O277" s="29">
        <v>0</v>
      </c>
      <c r="P277" s="29">
        <v>-54328.711216667201</v>
      </c>
      <c r="Q277" s="29">
        <v>0</v>
      </c>
      <c r="R277" s="29">
        <v>0</v>
      </c>
      <c r="S277" s="29">
        <v>-54328.711216656899</v>
      </c>
      <c r="T277" s="29">
        <v>0</v>
      </c>
      <c r="U277" s="29">
        <v>0</v>
      </c>
      <c r="V277" s="29">
        <v>-54328.711216655</v>
      </c>
      <c r="W277" s="29">
        <v>0</v>
      </c>
      <c r="X277" s="29">
        <v>0</v>
      </c>
      <c r="Y277" s="29">
        <v>-54328.711216661999</v>
      </c>
      <c r="Z277" s="29">
        <v>0</v>
      </c>
      <c r="AA277" s="29">
        <v>0</v>
      </c>
      <c r="AB277" s="29">
        <v>-11744.1696917748</v>
      </c>
      <c r="AC277" s="29">
        <v>0</v>
      </c>
      <c r="AD277" s="29">
        <v>0</v>
      </c>
      <c r="AE277" s="29">
        <v>-11744.1696917549</v>
      </c>
      <c r="AF277" s="29">
        <v>0</v>
      </c>
      <c r="AG277" s="29">
        <v>0</v>
      </c>
      <c r="AH277" s="29">
        <v>-11744.1696917188</v>
      </c>
      <c r="AI277" s="29">
        <v>0</v>
      </c>
      <c r="AJ277" s="29">
        <v>0</v>
      </c>
      <c r="AK277" s="29">
        <v>-11744.1696918244</v>
      </c>
      <c r="AL277" s="29"/>
      <c r="AM277" s="29"/>
      <c r="AN277" s="29"/>
      <c r="AO277" s="29"/>
      <c r="AP277" s="29"/>
      <c r="AQ277" s="29"/>
    </row>
    <row r="278" spans="1:43" ht="10.199999999999999" x14ac:dyDescent="0.2">
      <c r="A278" s="27" t="s">
        <v>440</v>
      </c>
      <c r="B278" s="29">
        <v>0</v>
      </c>
      <c r="C278" s="29">
        <v>0</v>
      </c>
      <c r="D278" s="29">
        <v>-22336.5275684232</v>
      </c>
      <c r="E278" s="29">
        <v>0</v>
      </c>
      <c r="F278" s="29">
        <v>0</v>
      </c>
      <c r="G278" s="29">
        <v>-22336.5275684232</v>
      </c>
      <c r="H278" s="29">
        <v>0</v>
      </c>
      <c r="I278" s="29">
        <v>0</v>
      </c>
      <c r="J278" s="29">
        <v>-22336.5275684234</v>
      </c>
      <c r="K278" s="29">
        <v>0</v>
      </c>
      <c r="L278" s="29">
        <v>0</v>
      </c>
      <c r="M278" s="29">
        <v>-22336.527568423098</v>
      </c>
      <c r="N278" s="29">
        <v>0</v>
      </c>
      <c r="O278" s="29">
        <v>0</v>
      </c>
      <c r="P278" s="29">
        <v>-51714.663029633899</v>
      </c>
      <c r="Q278" s="29">
        <v>0</v>
      </c>
      <c r="R278" s="29">
        <v>0</v>
      </c>
      <c r="S278" s="29">
        <v>-51714.663029623101</v>
      </c>
      <c r="T278" s="29">
        <v>0</v>
      </c>
      <c r="U278" s="29">
        <v>0</v>
      </c>
      <c r="V278" s="29">
        <v>-51714.663029620497</v>
      </c>
      <c r="W278" s="29">
        <v>0</v>
      </c>
      <c r="X278" s="29">
        <v>0</v>
      </c>
      <c r="Y278" s="29">
        <v>-51714.663029627001</v>
      </c>
      <c r="Z278" s="29">
        <v>0</v>
      </c>
      <c r="AA278" s="29">
        <v>0</v>
      </c>
      <c r="AB278" s="29">
        <v>-9970.62724955257</v>
      </c>
      <c r="AC278" s="29">
        <v>0</v>
      </c>
      <c r="AD278" s="29">
        <v>0</v>
      </c>
      <c r="AE278" s="29">
        <v>-9970.6272495344401</v>
      </c>
      <c r="AF278" s="29">
        <v>0</v>
      </c>
      <c r="AG278" s="29">
        <v>0</v>
      </c>
      <c r="AH278" s="29">
        <v>-9970.6272494999903</v>
      </c>
      <c r="AI278" s="29">
        <v>0</v>
      </c>
      <c r="AJ278" s="29">
        <v>0</v>
      </c>
      <c r="AK278" s="29">
        <v>-9970.6272496080292</v>
      </c>
      <c r="AL278" s="29"/>
      <c r="AM278" s="29"/>
      <c r="AN278" s="29"/>
      <c r="AO278" s="29"/>
      <c r="AP278" s="29"/>
      <c r="AQ278" s="29"/>
    </row>
    <row r="279" spans="1:43" ht="14.4" x14ac:dyDescent="0.3">
      <c r="A279" s="86" t="s">
        <v>441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ht="10.199999999999999" x14ac:dyDescent="0.2">
      <c r="A280" s="27" t="s">
        <v>442</v>
      </c>
      <c r="B280" s="29">
        <v>2072.7091253333301</v>
      </c>
      <c r="C280" s="29">
        <v>1303.0509868333299</v>
      </c>
      <c r="D280" s="29">
        <v>-1239.9227641034399</v>
      </c>
      <c r="E280" s="29">
        <v>476.20033533333299</v>
      </c>
      <c r="F280" s="29">
        <v>1169.51988733333</v>
      </c>
      <c r="G280" s="29">
        <v>-1051.96034260344</v>
      </c>
      <c r="H280" s="29">
        <v>1336.4813458921401</v>
      </c>
      <c r="I280" s="29">
        <v>1330.6924158526699</v>
      </c>
      <c r="J280" s="29">
        <v>-1433.01612172364</v>
      </c>
      <c r="K280" s="29">
        <v>406.29807281905602</v>
      </c>
      <c r="L280" s="29">
        <v>889.45872924465095</v>
      </c>
      <c r="M280" s="29">
        <v>-1041.10802920735</v>
      </c>
      <c r="N280" s="29">
        <v>1627.5578850080699</v>
      </c>
      <c r="O280" s="29">
        <v>1378.97193867649</v>
      </c>
      <c r="P280" s="29">
        <v>-1907.98257913361</v>
      </c>
      <c r="Q280" s="29">
        <v>406.368891088851</v>
      </c>
      <c r="R280" s="29">
        <v>782.86736059465397</v>
      </c>
      <c r="S280" s="29">
        <v>-1836.4522504461199</v>
      </c>
      <c r="T280" s="29">
        <v>1272.8398176246001</v>
      </c>
      <c r="U280" s="29">
        <v>1334.6720814225901</v>
      </c>
      <c r="V280" s="29">
        <v>-2184.2843618300499</v>
      </c>
      <c r="W280" s="29">
        <v>436.05255519448099</v>
      </c>
      <c r="X280" s="29">
        <v>858.91220161986905</v>
      </c>
      <c r="Y280" s="29">
        <v>-1457.6375929102701</v>
      </c>
      <c r="Z280" s="29">
        <v>1773.13018232736</v>
      </c>
      <c r="AA280" s="29">
        <v>1529.5877573238099</v>
      </c>
      <c r="AB280" s="29">
        <v>-989.69031337321803</v>
      </c>
      <c r="AC280" s="29">
        <v>461.74759319511003</v>
      </c>
      <c r="AD280" s="29">
        <v>779.25140575404498</v>
      </c>
      <c r="AE280" s="29">
        <v>-1090.0870668121399</v>
      </c>
      <c r="AF280" s="29">
        <v>1247.6227364440299</v>
      </c>
      <c r="AG280" s="29">
        <v>1436.64548383191</v>
      </c>
      <c r="AH280" s="29">
        <v>-1155.0482847758699</v>
      </c>
      <c r="AI280" s="29">
        <v>385.30725518892399</v>
      </c>
      <c r="AJ280" s="29">
        <v>788.14932955884603</v>
      </c>
      <c r="AK280" s="29">
        <v>-745.35514881494203</v>
      </c>
      <c r="AL280" s="29"/>
      <c r="AM280" s="29"/>
      <c r="AN280" s="29"/>
      <c r="AO280" s="29"/>
      <c r="AP280" s="29"/>
      <c r="AQ280" s="29"/>
    </row>
    <row r="281" spans="1:43" ht="10.199999999999999" x14ac:dyDescent="0.2">
      <c r="A281" s="27" t="s">
        <v>443</v>
      </c>
      <c r="B281" s="29">
        <v>2.1510767582928501</v>
      </c>
      <c r="C281" s="29">
        <v>2.1510767582928501</v>
      </c>
      <c r="D281" s="29">
        <v>2271.26971619504</v>
      </c>
      <c r="E281" s="29">
        <v>2.1510767582928501</v>
      </c>
      <c r="F281" s="29">
        <v>2.1510767582928501</v>
      </c>
      <c r="G281" s="29">
        <v>2134.65371619504</v>
      </c>
      <c r="H281" s="29">
        <v>2.1510767582928501</v>
      </c>
      <c r="I281" s="29">
        <v>2.1510767582928501</v>
      </c>
      <c r="J281" s="29">
        <v>2159.55997426467</v>
      </c>
      <c r="K281" s="29">
        <v>2.1510767582928501</v>
      </c>
      <c r="L281" s="29">
        <v>2.1510767582928501</v>
      </c>
      <c r="M281" s="29">
        <v>2188.4944688849</v>
      </c>
      <c r="N281" s="29">
        <v>2.1510767582928501</v>
      </c>
      <c r="O281" s="29">
        <v>2.1510767582928501</v>
      </c>
      <c r="P281" s="29">
        <v>2609.7460335194901</v>
      </c>
      <c r="Q281" s="29">
        <v>2.1510767582928501</v>
      </c>
      <c r="R281" s="29">
        <v>2.1510767582928501</v>
      </c>
      <c r="S281" s="29">
        <v>2609.7460335189799</v>
      </c>
      <c r="T281" s="29">
        <v>2.1510767582928501</v>
      </c>
      <c r="U281" s="29">
        <v>2.1510767582928501</v>
      </c>
      <c r="V281" s="29">
        <v>2609.7460335188798</v>
      </c>
      <c r="W281" s="29">
        <v>2.1510767582928501</v>
      </c>
      <c r="X281" s="29">
        <v>2.1510767582928501</v>
      </c>
      <c r="Y281" s="29">
        <v>2609.74603351923</v>
      </c>
      <c r="Z281" s="29">
        <v>2.1510767582928501</v>
      </c>
      <c r="AA281" s="29">
        <v>2.1510767582928501</v>
      </c>
      <c r="AB281" s="29">
        <v>1769.24028869484</v>
      </c>
      <c r="AC281" s="29">
        <v>2.1510767582928501</v>
      </c>
      <c r="AD281" s="29">
        <v>2.1510767582928501</v>
      </c>
      <c r="AE281" s="29">
        <v>1769.2402886938501</v>
      </c>
      <c r="AF281" s="29">
        <v>2.1510767582928501</v>
      </c>
      <c r="AG281" s="29">
        <v>2.1510767582928501</v>
      </c>
      <c r="AH281" s="29">
        <v>1769.2402886920499</v>
      </c>
      <c r="AI281" s="29">
        <v>2.1510767582928501</v>
      </c>
      <c r="AJ281" s="29">
        <v>2.1510767582928501</v>
      </c>
      <c r="AK281" s="29">
        <v>1769.24028869732</v>
      </c>
      <c r="AL281" s="29"/>
      <c r="AM281" s="29"/>
      <c r="AN281" s="29"/>
      <c r="AO281" s="29"/>
      <c r="AP281" s="29"/>
      <c r="AQ281" s="29"/>
    </row>
    <row r="282" spans="1:43" ht="14.4" x14ac:dyDescent="0.3">
      <c r="A282" s="27" t="s">
        <v>444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ht="14.4" x14ac:dyDescent="0.3">
      <c r="A283" s="86" t="s">
        <v>445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ht="10.199999999999999" x14ac:dyDescent="0.2">
      <c r="A284" s="27" t="s">
        <v>446</v>
      </c>
      <c r="B284" s="29">
        <v>42047.899449999997</v>
      </c>
      <c r="C284" s="29">
        <v>26637.059309999899</v>
      </c>
      <c r="D284" s="29">
        <v>23758.578990000002</v>
      </c>
      <c r="E284" s="29">
        <v>10102.8509399999</v>
      </c>
      <c r="F284" s="29">
        <v>23986.957549999999</v>
      </c>
      <c r="G284" s="29">
        <v>27401.692070000001</v>
      </c>
      <c r="H284" s="29">
        <v>27302.033251176301</v>
      </c>
      <c r="I284" s="29">
        <v>27190.0346503867</v>
      </c>
      <c r="J284" s="29">
        <v>19829.913687595399</v>
      </c>
      <c r="K284" s="29">
        <v>8691.5457897144606</v>
      </c>
      <c r="L284" s="29">
        <v>18365.6869182263</v>
      </c>
      <c r="M284" s="29">
        <v>27670.000537921202</v>
      </c>
      <c r="N284" s="29">
        <v>33094.692033494801</v>
      </c>
      <c r="O284" s="29">
        <v>28160.062106863301</v>
      </c>
      <c r="P284" s="29">
        <v>20211.625240269801</v>
      </c>
      <c r="Q284" s="29">
        <v>8704.7221551103594</v>
      </c>
      <c r="R284" s="29">
        <v>16234.731545226399</v>
      </c>
      <c r="S284" s="29">
        <v>21644.238814040102</v>
      </c>
      <c r="T284" s="29">
        <v>26030.958685825401</v>
      </c>
      <c r="U284" s="29">
        <v>27271.1009617852</v>
      </c>
      <c r="V284" s="29">
        <v>14679.686586370901</v>
      </c>
      <c r="W284" s="29">
        <v>9294.6004372229509</v>
      </c>
      <c r="X284" s="29">
        <v>17760.769365730699</v>
      </c>
      <c r="Y284" s="29">
        <v>29195.257964779899</v>
      </c>
      <c r="Z284" s="29">
        <v>36005.315979880499</v>
      </c>
      <c r="AA284" s="29">
        <v>31171.621479809499</v>
      </c>
      <c r="AB284" s="29">
        <v>21446.9146528891</v>
      </c>
      <c r="AC284" s="29">
        <v>9811.4961972355395</v>
      </c>
      <c r="AD284" s="29">
        <v>16163.9714484142</v>
      </c>
      <c r="AE284" s="29">
        <v>19439.806584055299</v>
      </c>
      <c r="AF284" s="29">
        <v>25525.746062213901</v>
      </c>
      <c r="AG284" s="29">
        <v>29310.917009971599</v>
      </c>
      <c r="AH284" s="29">
        <v>18133.8542247267</v>
      </c>
      <c r="AI284" s="29">
        <v>8280.0064371118297</v>
      </c>
      <c r="AJ284" s="29">
        <v>16344.7639245102</v>
      </c>
      <c r="AK284" s="29">
        <v>26310.3949438653</v>
      </c>
      <c r="AL284" s="29"/>
      <c r="AM284" s="29"/>
      <c r="AN284" s="29"/>
      <c r="AO284" s="29"/>
      <c r="AP284" s="29"/>
      <c r="AQ284" s="29"/>
    </row>
    <row r="285" spans="1:43" ht="14.4" x14ac:dyDescent="0.3">
      <c r="A285" s="27" t="s">
        <v>447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/>
      <c r="AM285" s="29"/>
      <c r="AN285" s="29"/>
      <c r="AO285" s="29"/>
      <c r="AP285" s="29"/>
      <c r="AQ285" s="3"/>
    </row>
    <row r="286" spans="1:43" ht="10.199999999999999" x14ac:dyDescent="0.2">
      <c r="A286" s="27" t="s">
        <v>448</v>
      </c>
      <c r="B286" s="29">
        <v>39.616390000000003</v>
      </c>
      <c r="C286" s="29">
        <v>57.293759999999999</v>
      </c>
      <c r="D286" s="29">
        <v>286.21185000000003</v>
      </c>
      <c r="E286" s="29">
        <v>54.489100000000001</v>
      </c>
      <c r="F286" s="29">
        <v>36.773529999999901</v>
      </c>
      <c r="G286" s="29">
        <v>402.34719999999999</v>
      </c>
      <c r="H286" s="29">
        <v>60.927</v>
      </c>
      <c r="I286" s="29">
        <v>57.146999999999998</v>
      </c>
      <c r="J286" s="29">
        <v>353.01</v>
      </c>
      <c r="K286" s="29">
        <v>67.748999999999995</v>
      </c>
      <c r="L286" s="29">
        <v>56.820999999999898</v>
      </c>
      <c r="M286" s="29">
        <v>351.08499999999998</v>
      </c>
      <c r="N286" s="29">
        <v>89.799000000000007</v>
      </c>
      <c r="O286" s="29">
        <v>52.71</v>
      </c>
      <c r="P286" s="29">
        <v>247.12</v>
      </c>
      <c r="Q286" s="29">
        <v>55.988999999999997</v>
      </c>
      <c r="R286" s="29">
        <v>55.948999999999998</v>
      </c>
      <c r="S286" s="29">
        <v>245.113</v>
      </c>
      <c r="T286" s="29">
        <v>59.170999999999999</v>
      </c>
      <c r="U286" s="29">
        <v>55.673999999999999</v>
      </c>
      <c r="V286" s="29">
        <v>253.023</v>
      </c>
      <c r="W286" s="29">
        <v>59.783999999999999</v>
      </c>
      <c r="X286" s="29">
        <v>50.808</v>
      </c>
      <c r="Y286" s="29">
        <v>270.387</v>
      </c>
      <c r="Z286" s="29">
        <v>90.620999999999995</v>
      </c>
      <c r="AA286" s="29">
        <v>53.466999999999999</v>
      </c>
      <c r="AB286" s="29">
        <v>249.136</v>
      </c>
      <c r="AC286" s="29">
        <v>56.789000000000001</v>
      </c>
      <c r="AD286" s="29">
        <v>54.39</v>
      </c>
      <c r="AE286" s="29">
        <v>248.309</v>
      </c>
      <c r="AF286" s="29">
        <v>60.042000000000002</v>
      </c>
      <c r="AG286" s="29">
        <v>55.326000000000001</v>
      </c>
      <c r="AH286" s="29">
        <v>255.03700000000001</v>
      </c>
      <c r="AI286" s="29">
        <v>59.472000000000001</v>
      </c>
      <c r="AJ286" s="29">
        <v>51.555999999999997</v>
      </c>
      <c r="AK286" s="29">
        <v>272.35899999999998</v>
      </c>
      <c r="AL286" s="29"/>
      <c r="AM286" s="29"/>
      <c r="AN286" s="29"/>
      <c r="AO286" s="29"/>
      <c r="AP286" s="29"/>
      <c r="AQ286" s="29"/>
    </row>
    <row r="287" spans="1:43" ht="14.4" x14ac:dyDescent="0.3">
      <c r="A287" s="27" t="s">
        <v>449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/>
      <c r="AM287" s="29"/>
      <c r="AN287" s="29"/>
      <c r="AO287" s="29"/>
      <c r="AP287" s="29"/>
      <c r="AQ287" s="3"/>
    </row>
    <row r="288" spans="1:43" ht="14.4" x14ac:dyDescent="0.3">
      <c r="A288" s="27" t="s">
        <v>450</v>
      </c>
      <c r="B288" s="29">
        <v>0</v>
      </c>
      <c r="C288" s="29">
        <v>0</v>
      </c>
      <c r="D288" s="29">
        <v>17133.437999999998</v>
      </c>
      <c r="E288" s="29">
        <v>0</v>
      </c>
      <c r="F288" s="29">
        <v>0</v>
      </c>
      <c r="G288" s="29">
        <v>16911.474999999999</v>
      </c>
      <c r="H288" s="29">
        <v>0</v>
      </c>
      <c r="I288" s="29">
        <v>0</v>
      </c>
      <c r="J288" s="29">
        <v>-83341.237330000004</v>
      </c>
      <c r="K288" s="29">
        <v>0</v>
      </c>
      <c r="L288" s="29">
        <v>0</v>
      </c>
      <c r="M288" s="29">
        <v>-16432.108110000001</v>
      </c>
      <c r="N288" s="29">
        <v>0</v>
      </c>
      <c r="O288" s="29">
        <v>0</v>
      </c>
      <c r="P288" s="29">
        <v>-681.36558249999996</v>
      </c>
      <c r="Q288" s="29">
        <v>0</v>
      </c>
      <c r="R288" s="29">
        <v>0</v>
      </c>
      <c r="S288" s="29">
        <v>-681.36558249999996</v>
      </c>
      <c r="T288" s="29">
        <v>0</v>
      </c>
      <c r="U288" s="29">
        <v>0</v>
      </c>
      <c r="V288" s="29">
        <v>-681.36558249999996</v>
      </c>
      <c r="W288" s="29">
        <v>0</v>
      </c>
      <c r="X288" s="29">
        <v>0</v>
      </c>
      <c r="Y288" s="29">
        <v>-681.36558249999996</v>
      </c>
      <c r="Z288" s="29">
        <v>0</v>
      </c>
      <c r="AA288" s="29">
        <v>0</v>
      </c>
      <c r="AB288" s="29">
        <v>1283.4600124999999</v>
      </c>
      <c r="AC288" s="29">
        <v>0</v>
      </c>
      <c r="AD288" s="29">
        <v>0</v>
      </c>
      <c r="AE288" s="29">
        <v>1283.4600124999999</v>
      </c>
      <c r="AF288" s="29">
        <v>0</v>
      </c>
      <c r="AG288" s="29">
        <v>0</v>
      </c>
      <c r="AH288" s="29">
        <v>1283.4600124999999</v>
      </c>
      <c r="AI288" s="29">
        <v>0</v>
      </c>
      <c r="AJ288" s="29">
        <v>0</v>
      </c>
      <c r="AK288" s="29">
        <v>1283.4600124999999</v>
      </c>
      <c r="AL288" s="29"/>
      <c r="AM288" s="29"/>
      <c r="AN288" s="29"/>
      <c r="AO288" s="29"/>
      <c r="AP288" s="29"/>
      <c r="AQ288" s="3"/>
    </row>
    <row r="289" spans="1:43" ht="10.199999999999999" x14ac:dyDescent="0.2">
      <c r="A289" s="27" t="s">
        <v>451</v>
      </c>
      <c r="B289" s="29">
        <v>0</v>
      </c>
      <c r="C289" s="29">
        <v>0</v>
      </c>
      <c r="D289" s="29">
        <v>-24529.324190824798</v>
      </c>
      <c r="E289" s="29">
        <v>0</v>
      </c>
      <c r="F289" s="29">
        <v>0</v>
      </c>
      <c r="G289" s="29">
        <v>-24529.324190824798</v>
      </c>
      <c r="H289" s="29">
        <v>0</v>
      </c>
      <c r="I289" s="29">
        <v>0</v>
      </c>
      <c r="J289" s="29">
        <v>-24529.324190824998</v>
      </c>
      <c r="K289" s="29">
        <v>0</v>
      </c>
      <c r="L289" s="29">
        <v>0</v>
      </c>
      <c r="M289" s="29">
        <v>-24529.324190824598</v>
      </c>
      <c r="N289" s="29">
        <v>0</v>
      </c>
      <c r="O289" s="29">
        <v>0</v>
      </c>
      <c r="P289" s="29">
        <v>-54328.711216667201</v>
      </c>
      <c r="Q289" s="29">
        <v>0</v>
      </c>
      <c r="R289" s="29">
        <v>0</v>
      </c>
      <c r="S289" s="29">
        <v>-54328.711216656899</v>
      </c>
      <c r="T289" s="29">
        <v>0</v>
      </c>
      <c r="U289" s="29">
        <v>0</v>
      </c>
      <c r="V289" s="29">
        <v>-54328.711216655</v>
      </c>
      <c r="W289" s="29">
        <v>0</v>
      </c>
      <c r="X289" s="29">
        <v>0</v>
      </c>
      <c r="Y289" s="29">
        <v>-54328.711216661999</v>
      </c>
      <c r="Z289" s="29">
        <v>0</v>
      </c>
      <c r="AA289" s="29">
        <v>0</v>
      </c>
      <c r="AB289" s="29">
        <v>-11744.1696917748</v>
      </c>
      <c r="AC289" s="29">
        <v>0</v>
      </c>
      <c r="AD289" s="29">
        <v>0</v>
      </c>
      <c r="AE289" s="29">
        <v>-11744.1696917549</v>
      </c>
      <c r="AF289" s="29">
        <v>0</v>
      </c>
      <c r="AG289" s="29">
        <v>0</v>
      </c>
      <c r="AH289" s="29">
        <v>-11744.1696917188</v>
      </c>
      <c r="AI289" s="29">
        <v>0</v>
      </c>
      <c r="AJ289" s="29">
        <v>0</v>
      </c>
      <c r="AK289" s="29">
        <v>-11744.1696918244</v>
      </c>
      <c r="AL289" s="29"/>
      <c r="AM289" s="29"/>
      <c r="AN289" s="29"/>
      <c r="AO289" s="29"/>
      <c r="AP289" s="29"/>
      <c r="AQ289" s="29"/>
    </row>
    <row r="290" spans="1:43" ht="14.4" x14ac:dyDescent="0.3">
      <c r="A290" s="27" t="s">
        <v>452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ht="10.199999999999999" x14ac:dyDescent="0.2">
      <c r="A291" s="27" t="s">
        <v>453</v>
      </c>
      <c r="B291" s="29">
        <v>-2072.7091253333301</v>
      </c>
      <c r="C291" s="29">
        <v>-1303.0509868333299</v>
      </c>
      <c r="D291" s="29">
        <v>1239.9227641034399</v>
      </c>
      <c r="E291" s="29">
        <v>-476.20033533333299</v>
      </c>
      <c r="F291" s="29">
        <v>-1169.51988733333</v>
      </c>
      <c r="G291" s="29">
        <v>1051.96034260344</v>
      </c>
      <c r="H291" s="29">
        <v>-1336.4813458921401</v>
      </c>
      <c r="I291" s="29">
        <v>-1330.6924158526699</v>
      </c>
      <c r="J291" s="29">
        <v>1433.01612172364</v>
      </c>
      <c r="K291" s="29">
        <v>-406.29807281905602</v>
      </c>
      <c r="L291" s="29">
        <v>-889.45872924465095</v>
      </c>
      <c r="M291" s="29">
        <v>1041.10802920735</v>
      </c>
      <c r="N291" s="29">
        <v>-1627.5578850080699</v>
      </c>
      <c r="O291" s="29">
        <v>-1378.97193867649</v>
      </c>
      <c r="P291" s="29">
        <v>1907.98257913361</v>
      </c>
      <c r="Q291" s="29">
        <v>-406.368891088851</v>
      </c>
      <c r="R291" s="29">
        <v>-782.86736059465397</v>
      </c>
      <c r="S291" s="29">
        <v>1836.4522504461199</v>
      </c>
      <c r="T291" s="29">
        <v>-1272.8398176246001</v>
      </c>
      <c r="U291" s="29">
        <v>-1334.6720814225901</v>
      </c>
      <c r="V291" s="29">
        <v>2184.2843618300499</v>
      </c>
      <c r="W291" s="29">
        <v>-436.05255519448099</v>
      </c>
      <c r="X291" s="29">
        <v>-858.91220161986905</v>
      </c>
      <c r="Y291" s="29">
        <v>1457.6375929102701</v>
      </c>
      <c r="Z291" s="29">
        <v>-1773.13018232736</v>
      </c>
      <c r="AA291" s="29">
        <v>-1529.5877573238099</v>
      </c>
      <c r="AB291" s="29">
        <v>989.69031337321803</v>
      </c>
      <c r="AC291" s="29">
        <v>-461.74759319511003</v>
      </c>
      <c r="AD291" s="29">
        <v>-779.25140575404498</v>
      </c>
      <c r="AE291" s="29">
        <v>1090.0870668121399</v>
      </c>
      <c r="AF291" s="29">
        <v>-1247.6227364440299</v>
      </c>
      <c r="AG291" s="29">
        <v>-1436.64548383191</v>
      </c>
      <c r="AH291" s="29">
        <v>1155.0482847758699</v>
      </c>
      <c r="AI291" s="29">
        <v>-385.30725518892399</v>
      </c>
      <c r="AJ291" s="29">
        <v>-788.14932955884603</v>
      </c>
      <c r="AK291" s="29">
        <v>745.35514881494203</v>
      </c>
      <c r="AL291" s="29"/>
      <c r="AM291" s="29"/>
      <c r="AN291" s="29"/>
      <c r="AO291" s="29"/>
      <c r="AP291" s="29"/>
      <c r="AQ291" s="29"/>
    </row>
    <row r="292" spans="1:43" ht="10.199999999999999" x14ac:dyDescent="0.2">
      <c r="A292" s="27" t="s">
        <v>454</v>
      </c>
      <c r="B292" s="29">
        <v>40014.806714666702</v>
      </c>
      <c r="C292" s="29">
        <v>25391.3020831666</v>
      </c>
      <c r="D292" s="29">
        <v>17888.827413278599</v>
      </c>
      <c r="E292" s="29">
        <v>9681.1397046666607</v>
      </c>
      <c r="F292" s="29">
        <v>22854.2111926666</v>
      </c>
      <c r="G292" s="29">
        <v>21238.150421778599</v>
      </c>
      <c r="H292" s="29">
        <v>26026.478905284101</v>
      </c>
      <c r="I292" s="29">
        <v>25916.4892345341</v>
      </c>
      <c r="J292" s="29">
        <v>-86254.621711505795</v>
      </c>
      <c r="K292" s="29">
        <v>8352.9967168954008</v>
      </c>
      <c r="L292" s="29">
        <v>17533.049188981699</v>
      </c>
      <c r="M292" s="29">
        <v>-11899.238733696</v>
      </c>
      <c r="N292" s="29">
        <v>31556.9331484867</v>
      </c>
      <c r="O292" s="29">
        <v>26833.800168186801</v>
      </c>
      <c r="P292" s="29">
        <v>-32643.348979763701</v>
      </c>
      <c r="Q292" s="29">
        <v>8354.3422640215103</v>
      </c>
      <c r="R292" s="29">
        <v>15507.813184631699</v>
      </c>
      <c r="S292" s="29">
        <v>-31284.272734670601</v>
      </c>
      <c r="T292" s="29">
        <v>24817.289868200802</v>
      </c>
      <c r="U292" s="29">
        <v>25992.1028803626</v>
      </c>
      <c r="V292" s="29">
        <v>-37893.082850953899</v>
      </c>
      <c r="W292" s="29">
        <v>8918.3318820284694</v>
      </c>
      <c r="X292" s="29">
        <v>16952.6651641108</v>
      </c>
      <c r="Y292" s="29">
        <v>-24086.794241471802</v>
      </c>
      <c r="Z292" s="29">
        <v>34322.806797553101</v>
      </c>
      <c r="AA292" s="29">
        <v>29695.5007224857</v>
      </c>
      <c r="AB292" s="29">
        <v>12225.0312869875</v>
      </c>
      <c r="AC292" s="29">
        <v>9406.5376040404299</v>
      </c>
      <c r="AD292" s="29">
        <v>15439.110042660101</v>
      </c>
      <c r="AE292" s="29">
        <v>10317.492971612501</v>
      </c>
      <c r="AF292" s="29">
        <v>24338.1653257699</v>
      </c>
      <c r="AG292" s="29">
        <v>27929.5975261397</v>
      </c>
      <c r="AH292" s="29">
        <v>9083.2298302837207</v>
      </c>
      <c r="AI292" s="29">
        <v>7954.1711819229004</v>
      </c>
      <c r="AJ292" s="29">
        <v>15608.1705949514</v>
      </c>
      <c r="AK292" s="29">
        <v>16867.399413355801</v>
      </c>
      <c r="AL292" s="29"/>
      <c r="AM292" s="29"/>
      <c r="AN292" s="29"/>
      <c r="AO292" s="29"/>
      <c r="AP292" s="29"/>
      <c r="AQ292" s="29"/>
    </row>
    <row r="293" spans="1:43" ht="14.4" x14ac:dyDescent="0.3">
      <c r="A293" s="27" t="s">
        <v>455</v>
      </c>
      <c r="B293" s="29">
        <v>0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/>
      <c r="AM293" s="29"/>
      <c r="AN293" s="29"/>
      <c r="AO293" s="29"/>
      <c r="AP293" s="29"/>
      <c r="AQ293" s="3"/>
    </row>
    <row r="294" spans="1:43" ht="10.199999999999999" x14ac:dyDescent="0.2">
      <c r="A294" s="27" t="s">
        <v>456</v>
      </c>
      <c r="B294" s="29">
        <v>0</v>
      </c>
      <c r="C294" s="29">
        <v>0</v>
      </c>
      <c r="D294" s="29">
        <v>-35091.773999999998</v>
      </c>
      <c r="E294" s="29">
        <v>0</v>
      </c>
      <c r="F294" s="29">
        <v>0</v>
      </c>
      <c r="G294" s="29">
        <v>-35091.773999999998</v>
      </c>
      <c r="H294" s="29">
        <v>0</v>
      </c>
      <c r="I294" s="29">
        <v>0</v>
      </c>
      <c r="J294" s="29">
        <v>-17374.145348013099</v>
      </c>
      <c r="K294" s="29">
        <v>0</v>
      </c>
      <c r="L294" s="29">
        <v>0</v>
      </c>
      <c r="M294" s="29">
        <v>-29185.897782709599</v>
      </c>
      <c r="N294" s="29">
        <v>0</v>
      </c>
      <c r="O294" s="29">
        <v>0</v>
      </c>
      <c r="P294" s="29">
        <v>-8256.4449384592608</v>
      </c>
      <c r="Q294" s="29">
        <v>0</v>
      </c>
      <c r="R294" s="29">
        <v>0</v>
      </c>
      <c r="S294" s="29">
        <v>-8256.4449384302407</v>
      </c>
      <c r="T294" s="29">
        <v>0</v>
      </c>
      <c r="U294" s="29">
        <v>0</v>
      </c>
      <c r="V294" s="29">
        <v>-8256.4449384311101</v>
      </c>
      <c r="W294" s="29">
        <v>0</v>
      </c>
      <c r="X294" s="29">
        <v>0</v>
      </c>
      <c r="Y294" s="29">
        <v>-8256.44493830586</v>
      </c>
      <c r="Z294" s="29">
        <v>0</v>
      </c>
      <c r="AA294" s="29">
        <v>0</v>
      </c>
      <c r="AB294" s="29">
        <v>-1149.4314999999999</v>
      </c>
      <c r="AC294" s="29">
        <v>0</v>
      </c>
      <c r="AD294" s="29">
        <v>0</v>
      </c>
      <c r="AE294" s="29">
        <v>-1149.4314999999999</v>
      </c>
      <c r="AF294" s="29">
        <v>0</v>
      </c>
      <c r="AG294" s="29">
        <v>0</v>
      </c>
      <c r="AH294" s="29">
        <v>-1149.4314999999999</v>
      </c>
      <c r="AI294" s="29">
        <v>0</v>
      </c>
      <c r="AJ294" s="29">
        <v>0</v>
      </c>
      <c r="AK294" s="29">
        <v>-1149.4314999999999</v>
      </c>
      <c r="AL294" s="29"/>
      <c r="AM294" s="29"/>
      <c r="AN294" s="29"/>
      <c r="AO294" s="29"/>
      <c r="AP294" s="29"/>
      <c r="AQ294" s="29"/>
    </row>
    <row r="295" spans="1:43" ht="10.199999999999999" x14ac:dyDescent="0.2">
      <c r="A295" s="27" t="s">
        <v>457</v>
      </c>
      <c r="B295" s="29">
        <v>40014.806714666702</v>
      </c>
      <c r="C295" s="29">
        <v>25391.3020831666</v>
      </c>
      <c r="D295" s="29">
        <v>-17202.9465867213</v>
      </c>
      <c r="E295" s="29">
        <v>9681.1397046666607</v>
      </c>
      <c r="F295" s="29">
        <v>22854.2111926666</v>
      </c>
      <c r="G295" s="29">
        <v>-13853.623578221301</v>
      </c>
      <c r="H295" s="29">
        <v>26026.478905284101</v>
      </c>
      <c r="I295" s="29">
        <v>25916.4892345341</v>
      </c>
      <c r="J295" s="29">
        <v>-103628.767059519</v>
      </c>
      <c r="K295" s="29">
        <v>8352.9967168954008</v>
      </c>
      <c r="L295" s="29">
        <v>17533.049188981699</v>
      </c>
      <c r="M295" s="29">
        <v>-41085.136516405597</v>
      </c>
      <c r="N295" s="29">
        <v>31556.9331484867</v>
      </c>
      <c r="O295" s="29">
        <v>26833.800168186801</v>
      </c>
      <c r="P295" s="29">
        <v>-40899.793918222997</v>
      </c>
      <c r="Q295" s="29">
        <v>8354.3422640215103</v>
      </c>
      <c r="R295" s="29">
        <v>15507.813184631699</v>
      </c>
      <c r="S295" s="29">
        <v>-39540.717673100902</v>
      </c>
      <c r="T295" s="29">
        <v>24817.289868200802</v>
      </c>
      <c r="U295" s="29">
        <v>25992.1028803626</v>
      </c>
      <c r="V295" s="29">
        <v>-46149.527789385</v>
      </c>
      <c r="W295" s="29">
        <v>8918.3318820284694</v>
      </c>
      <c r="X295" s="29">
        <v>16952.6651641108</v>
      </c>
      <c r="Y295" s="29">
        <v>-32343.239179777702</v>
      </c>
      <c r="Z295" s="29">
        <v>34322.806797553101</v>
      </c>
      <c r="AA295" s="29">
        <v>29695.5007224857</v>
      </c>
      <c r="AB295" s="29">
        <v>11075.599786987499</v>
      </c>
      <c r="AC295" s="29">
        <v>9406.5376040404299</v>
      </c>
      <c r="AD295" s="29">
        <v>15439.110042660101</v>
      </c>
      <c r="AE295" s="29">
        <v>9168.0614716125292</v>
      </c>
      <c r="AF295" s="29">
        <v>24338.1653257699</v>
      </c>
      <c r="AG295" s="29">
        <v>27929.5975261397</v>
      </c>
      <c r="AH295" s="29">
        <v>7933.7983302837201</v>
      </c>
      <c r="AI295" s="29">
        <v>7954.1711819229004</v>
      </c>
      <c r="AJ295" s="29">
        <v>15608.1705949514</v>
      </c>
      <c r="AK295" s="29">
        <v>15717.9679133558</v>
      </c>
      <c r="AL295" s="29"/>
      <c r="AM295" s="29"/>
      <c r="AN295" s="29"/>
      <c r="AO295" s="29"/>
      <c r="AP295" s="29"/>
      <c r="AQ295" s="29"/>
    </row>
    <row r="296" spans="1:43" ht="10.199999999999999" x14ac:dyDescent="0.2">
      <c r="A296" s="90" t="s">
        <v>458</v>
      </c>
      <c r="B296" s="88">
        <v>0.21</v>
      </c>
      <c r="C296" s="88">
        <v>0.21</v>
      </c>
      <c r="D296" s="88">
        <v>0.21</v>
      </c>
      <c r="E296" s="88">
        <v>0.21</v>
      </c>
      <c r="F296" s="88">
        <v>0.21</v>
      </c>
      <c r="G296" s="88">
        <v>0.21</v>
      </c>
      <c r="H296" s="88">
        <v>0.21</v>
      </c>
      <c r="I296" s="88">
        <v>0.21</v>
      </c>
      <c r="J296" s="88">
        <v>0.21</v>
      </c>
      <c r="K296" s="88">
        <v>0.21</v>
      </c>
      <c r="L296" s="88">
        <v>0.21</v>
      </c>
      <c r="M296" s="88">
        <v>0.21</v>
      </c>
      <c r="N296" s="88">
        <v>0.21</v>
      </c>
      <c r="O296" s="88">
        <v>0.21</v>
      </c>
      <c r="P296" s="88">
        <v>0.21</v>
      </c>
      <c r="Q296" s="88">
        <v>0.21</v>
      </c>
      <c r="R296" s="88">
        <v>0.21</v>
      </c>
      <c r="S296" s="88">
        <v>0.21</v>
      </c>
      <c r="T296" s="88">
        <v>0.21</v>
      </c>
      <c r="U296" s="88">
        <v>0.21</v>
      </c>
      <c r="V296" s="88">
        <v>0.21</v>
      </c>
      <c r="W296" s="88">
        <v>0.21</v>
      </c>
      <c r="X296" s="88">
        <v>0.21</v>
      </c>
      <c r="Y296" s="88">
        <v>0.21</v>
      </c>
      <c r="Z296" s="88">
        <v>0.21</v>
      </c>
      <c r="AA296" s="88">
        <v>0.21</v>
      </c>
      <c r="AB296" s="88">
        <v>0.21</v>
      </c>
      <c r="AC296" s="88">
        <v>0.21</v>
      </c>
      <c r="AD296" s="88">
        <v>0.21</v>
      </c>
      <c r="AE296" s="88">
        <v>0.21</v>
      </c>
      <c r="AF296" s="88">
        <v>0.21</v>
      </c>
      <c r="AG296" s="88">
        <v>0.21</v>
      </c>
      <c r="AH296" s="88">
        <v>0.21</v>
      </c>
      <c r="AI296" s="88">
        <v>0.21</v>
      </c>
      <c r="AJ296" s="88">
        <v>0.21</v>
      </c>
      <c r="AK296" s="88">
        <v>0.21</v>
      </c>
      <c r="AL296" s="88"/>
      <c r="AM296" s="88"/>
      <c r="AN296" s="88"/>
      <c r="AO296" s="88"/>
      <c r="AP296" s="88"/>
      <c r="AQ296" s="88"/>
    </row>
    <row r="297" spans="1:43" ht="10.199999999999999" x14ac:dyDescent="0.2">
      <c r="A297" s="27" t="s">
        <v>459</v>
      </c>
      <c r="B297" s="29">
        <v>8403.1094100800001</v>
      </c>
      <c r="C297" s="29">
        <v>5332.1734374649895</v>
      </c>
      <c r="D297" s="29">
        <v>-3612.6187832114902</v>
      </c>
      <c r="E297" s="29">
        <v>2033.03933797999</v>
      </c>
      <c r="F297" s="29">
        <v>4799.38435046</v>
      </c>
      <c r="G297" s="29">
        <v>-2909.26095142649</v>
      </c>
      <c r="H297" s="29">
        <v>5465.5605701096702</v>
      </c>
      <c r="I297" s="29">
        <v>5442.4627392521597</v>
      </c>
      <c r="J297" s="29">
        <v>-21762.041082498999</v>
      </c>
      <c r="K297" s="29">
        <v>1754.1293105480299</v>
      </c>
      <c r="L297" s="29">
        <v>3681.9403296861501</v>
      </c>
      <c r="M297" s="29">
        <v>-8627.8786684451807</v>
      </c>
      <c r="N297" s="29">
        <v>6626.9559611822096</v>
      </c>
      <c r="O297" s="29">
        <v>5635.0980353192299</v>
      </c>
      <c r="P297" s="29">
        <v>-8588.9567228268297</v>
      </c>
      <c r="Q297" s="29">
        <v>1754.4118754445101</v>
      </c>
      <c r="R297" s="29">
        <v>3256.6407687726701</v>
      </c>
      <c r="S297" s="29">
        <v>-8303.5507113511903</v>
      </c>
      <c r="T297" s="29">
        <v>5211.63087232217</v>
      </c>
      <c r="U297" s="29">
        <v>5458.3416048761401</v>
      </c>
      <c r="V297" s="29">
        <v>-9691.4008357708608</v>
      </c>
      <c r="W297" s="29">
        <v>1872.84969522597</v>
      </c>
      <c r="X297" s="29">
        <v>3560.0596844632701</v>
      </c>
      <c r="Y297" s="29">
        <v>-6792.0802277533203</v>
      </c>
      <c r="Z297" s="29">
        <v>7207.7894274861601</v>
      </c>
      <c r="AA297" s="29">
        <v>6236.0551517220101</v>
      </c>
      <c r="AB297" s="29">
        <v>2325.87595526737</v>
      </c>
      <c r="AC297" s="29">
        <v>1975.37289684849</v>
      </c>
      <c r="AD297" s="29">
        <v>3242.2131089586401</v>
      </c>
      <c r="AE297" s="29">
        <v>1925.2929090386299</v>
      </c>
      <c r="AF297" s="29">
        <v>5111.0147184116804</v>
      </c>
      <c r="AG297" s="29">
        <v>5865.2154804893398</v>
      </c>
      <c r="AH297" s="29">
        <v>1666.0976493595799</v>
      </c>
      <c r="AI297" s="29">
        <v>1670.3759482038099</v>
      </c>
      <c r="AJ297" s="29">
        <v>3277.7158249397899</v>
      </c>
      <c r="AK297" s="29">
        <v>3300.7732618047198</v>
      </c>
      <c r="AL297" s="29"/>
      <c r="AM297" s="29"/>
      <c r="AN297" s="29"/>
      <c r="AO297" s="29"/>
      <c r="AP297" s="29"/>
      <c r="AQ297" s="29"/>
    </row>
    <row r="298" spans="1:43" ht="14.4" x14ac:dyDescent="0.3">
      <c r="A298" s="27" t="s">
        <v>460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ht="14.4" x14ac:dyDescent="0.3">
      <c r="A299" s="27" t="s">
        <v>461</v>
      </c>
      <c r="B299" s="29">
        <v>0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/>
      <c r="AM299" s="29"/>
      <c r="AN299" s="29"/>
      <c r="AO299" s="29"/>
      <c r="AP299" s="29"/>
      <c r="AQ299" s="3"/>
    </row>
    <row r="300" spans="1:43" ht="14.4" x14ac:dyDescent="0.3">
      <c r="A300" s="27" t="s">
        <v>462</v>
      </c>
      <c r="B300" s="29">
        <v>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/>
      <c r="AM300" s="29"/>
      <c r="AN300" s="29"/>
      <c r="AO300" s="29"/>
      <c r="AP300" s="29"/>
      <c r="AQ300" s="3"/>
    </row>
    <row r="301" spans="1:43" ht="10.199999999999999" x14ac:dyDescent="0.2">
      <c r="A301" s="27" t="s">
        <v>463</v>
      </c>
      <c r="B301" s="29">
        <v>0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-737.75</v>
      </c>
      <c r="AC301" s="29">
        <v>0</v>
      </c>
      <c r="AD301" s="29">
        <v>0</v>
      </c>
      <c r="AE301" s="29">
        <v>-737.75</v>
      </c>
      <c r="AF301" s="29">
        <v>0</v>
      </c>
      <c r="AG301" s="29">
        <v>0</v>
      </c>
      <c r="AH301" s="29">
        <v>-737.75</v>
      </c>
      <c r="AI301" s="29">
        <v>0</v>
      </c>
      <c r="AJ301" s="29">
        <v>0</v>
      </c>
      <c r="AK301" s="29">
        <v>-737.75</v>
      </c>
      <c r="AL301" s="29"/>
      <c r="AM301" s="29"/>
      <c r="AN301" s="29"/>
      <c r="AO301" s="29"/>
      <c r="AP301" s="29"/>
      <c r="AQ301" s="29"/>
    </row>
    <row r="302" spans="1:43" ht="10.199999999999999" x14ac:dyDescent="0.2">
      <c r="A302" s="27" t="s">
        <v>464</v>
      </c>
      <c r="B302" s="29">
        <v>0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-1137.6015</v>
      </c>
      <c r="AC302" s="29">
        <v>0</v>
      </c>
      <c r="AD302" s="29">
        <v>0</v>
      </c>
      <c r="AE302" s="29">
        <v>-1137.6015</v>
      </c>
      <c r="AF302" s="29">
        <v>0</v>
      </c>
      <c r="AG302" s="29">
        <v>0</v>
      </c>
      <c r="AH302" s="29">
        <v>-1137.6015</v>
      </c>
      <c r="AI302" s="29">
        <v>0</v>
      </c>
      <c r="AJ302" s="29">
        <v>0</v>
      </c>
      <c r="AK302" s="29">
        <v>-1137.6015</v>
      </c>
      <c r="AL302" s="29"/>
      <c r="AM302" s="29"/>
      <c r="AN302" s="29"/>
      <c r="AO302" s="29"/>
      <c r="AP302" s="29"/>
      <c r="AQ302" s="29"/>
    </row>
    <row r="303" spans="1:43" ht="10.199999999999999" x14ac:dyDescent="0.2">
      <c r="A303" s="27" t="s">
        <v>465</v>
      </c>
      <c r="B303" s="29">
        <v>8403.1094100800001</v>
      </c>
      <c r="C303" s="29">
        <v>5332.1734374649895</v>
      </c>
      <c r="D303" s="29">
        <v>-3612.6187832114902</v>
      </c>
      <c r="E303" s="29">
        <v>2033.03933797999</v>
      </c>
      <c r="F303" s="29">
        <v>4799.38435046</v>
      </c>
      <c r="G303" s="29">
        <v>-2909.26095142649</v>
      </c>
      <c r="H303" s="29">
        <v>5465.5605701096702</v>
      </c>
      <c r="I303" s="29">
        <v>5442.4627392521597</v>
      </c>
      <c r="J303" s="29">
        <v>-21762.041082498999</v>
      </c>
      <c r="K303" s="29">
        <v>1754.1293105480299</v>
      </c>
      <c r="L303" s="29">
        <v>3681.9403296861501</v>
      </c>
      <c r="M303" s="29">
        <v>-8627.8786684451807</v>
      </c>
      <c r="N303" s="29">
        <v>6626.9559611822096</v>
      </c>
      <c r="O303" s="29">
        <v>5635.0980353192299</v>
      </c>
      <c r="P303" s="29">
        <v>-8588.9567228268297</v>
      </c>
      <c r="Q303" s="29">
        <v>1754.4118754445101</v>
      </c>
      <c r="R303" s="29">
        <v>3256.6407687726701</v>
      </c>
      <c r="S303" s="29">
        <v>-8303.5507113511903</v>
      </c>
      <c r="T303" s="29">
        <v>5211.63087232217</v>
      </c>
      <c r="U303" s="29">
        <v>5458.3416048761401</v>
      </c>
      <c r="V303" s="29">
        <v>-9691.4008357708608</v>
      </c>
      <c r="W303" s="29">
        <v>1872.84969522597</v>
      </c>
      <c r="X303" s="29">
        <v>3560.0596844632701</v>
      </c>
      <c r="Y303" s="29">
        <v>-6792.0802277533203</v>
      </c>
      <c r="Z303" s="29">
        <v>7207.7894274861601</v>
      </c>
      <c r="AA303" s="29">
        <v>6236.0551517220101</v>
      </c>
      <c r="AB303" s="29">
        <v>450.52445526737603</v>
      </c>
      <c r="AC303" s="29">
        <v>1975.37289684849</v>
      </c>
      <c r="AD303" s="29">
        <v>3242.2131089586401</v>
      </c>
      <c r="AE303" s="29">
        <v>49.941409038631903</v>
      </c>
      <c r="AF303" s="29">
        <v>5111.0147184116804</v>
      </c>
      <c r="AG303" s="29">
        <v>5865.2154804893398</v>
      </c>
      <c r="AH303" s="29">
        <v>-209.25385064041799</v>
      </c>
      <c r="AI303" s="29">
        <v>1670.3759482038099</v>
      </c>
      <c r="AJ303" s="29">
        <v>3277.7158249397899</v>
      </c>
      <c r="AK303" s="29">
        <v>1425.4217618047201</v>
      </c>
      <c r="AL303" s="29"/>
      <c r="AM303" s="29"/>
      <c r="AN303" s="29"/>
      <c r="AO303" s="29"/>
      <c r="AP303" s="29"/>
      <c r="AQ303" s="29"/>
    </row>
    <row r="304" spans="1:43" ht="14.4" x14ac:dyDescent="0.3">
      <c r="A304" s="27" t="s">
        <v>466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ht="10.199999999999999" x14ac:dyDescent="0.2">
      <c r="A305" s="27" t="s">
        <v>467</v>
      </c>
      <c r="B305" s="29">
        <v>40014.806714666702</v>
      </c>
      <c r="C305" s="29">
        <v>25391.3020831666</v>
      </c>
      <c r="D305" s="29">
        <v>-17202.9465867213</v>
      </c>
      <c r="E305" s="29">
        <v>9681.1397046666607</v>
      </c>
      <c r="F305" s="29">
        <v>22854.2111926666</v>
      </c>
      <c r="G305" s="29">
        <v>-13853.623578221301</v>
      </c>
      <c r="H305" s="29">
        <v>26026.478905284101</v>
      </c>
      <c r="I305" s="29">
        <v>25916.4892345341</v>
      </c>
      <c r="J305" s="29">
        <v>-103628.767059519</v>
      </c>
      <c r="K305" s="29">
        <v>8352.9967168954008</v>
      </c>
      <c r="L305" s="29">
        <v>17533.049188981699</v>
      </c>
      <c r="M305" s="29">
        <v>-41085.136516405597</v>
      </c>
      <c r="N305" s="29">
        <v>31556.9331484867</v>
      </c>
      <c r="O305" s="29">
        <v>26833.800168186801</v>
      </c>
      <c r="P305" s="29">
        <v>-40899.793918222997</v>
      </c>
      <c r="Q305" s="29">
        <v>8354.3422640215103</v>
      </c>
      <c r="R305" s="29">
        <v>15507.813184631699</v>
      </c>
      <c r="S305" s="29">
        <v>-39540.717673100902</v>
      </c>
      <c r="T305" s="29">
        <v>24817.289868200802</v>
      </c>
      <c r="U305" s="29">
        <v>25992.1028803626</v>
      </c>
      <c r="V305" s="29">
        <v>-46149.527789385</v>
      </c>
      <c r="W305" s="29">
        <v>8918.3318820284694</v>
      </c>
      <c r="X305" s="29">
        <v>16952.6651641108</v>
      </c>
      <c r="Y305" s="29">
        <v>-32343.239179777702</v>
      </c>
      <c r="Z305" s="29">
        <v>34322.806797553101</v>
      </c>
      <c r="AA305" s="29">
        <v>29695.5007224857</v>
      </c>
      <c r="AB305" s="29">
        <v>11075.599786987499</v>
      </c>
      <c r="AC305" s="29">
        <v>9406.5376040404299</v>
      </c>
      <c r="AD305" s="29">
        <v>15439.110042660101</v>
      </c>
      <c r="AE305" s="29">
        <v>9168.0614716125292</v>
      </c>
      <c r="AF305" s="29">
        <v>24338.1653257699</v>
      </c>
      <c r="AG305" s="29">
        <v>27929.5975261397</v>
      </c>
      <c r="AH305" s="29">
        <v>7933.7983302837201</v>
      </c>
      <c r="AI305" s="29">
        <v>7954.1711819229004</v>
      </c>
      <c r="AJ305" s="29">
        <v>15608.1705949514</v>
      </c>
      <c r="AK305" s="29">
        <v>15717.9679133558</v>
      </c>
      <c r="AL305" s="29"/>
      <c r="AM305" s="29"/>
      <c r="AN305" s="29"/>
      <c r="AO305" s="29"/>
      <c r="AP305" s="29"/>
      <c r="AQ305" s="29"/>
    </row>
    <row r="306" spans="1:43" ht="14.4" x14ac:dyDescent="0.3">
      <c r="A306" s="86" t="s">
        <v>468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ht="10.199999999999999" x14ac:dyDescent="0.2">
      <c r="A307" s="27" t="s">
        <v>469</v>
      </c>
      <c r="B307" s="29">
        <v>0</v>
      </c>
      <c r="C307" s="29">
        <v>0</v>
      </c>
      <c r="D307" s="29">
        <v>-22336.5275684232</v>
      </c>
      <c r="E307" s="29">
        <v>0</v>
      </c>
      <c r="F307" s="29">
        <v>0</v>
      </c>
      <c r="G307" s="29">
        <v>-22336.5275684232</v>
      </c>
      <c r="H307" s="29">
        <v>0</v>
      </c>
      <c r="I307" s="29">
        <v>0</v>
      </c>
      <c r="J307" s="29">
        <v>-22336.5275684234</v>
      </c>
      <c r="K307" s="29">
        <v>0</v>
      </c>
      <c r="L307" s="29">
        <v>0</v>
      </c>
      <c r="M307" s="29">
        <v>-22336.527568423098</v>
      </c>
      <c r="N307" s="29">
        <v>0</v>
      </c>
      <c r="O307" s="29">
        <v>0</v>
      </c>
      <c r="P307" s="29">
        <v>-51714.663029633899</v>
      </c>
      <c r="Q307" s="29">
        <v>0</v>
      </c>
      <c r="R307" s="29">
        <v>0</v>
      </c>
      <c r="S307" s="29">
        <v>-51714.663029623101</v>
      </c>
      <c r="T307" s="29">
        <v>0</v>
      </c>
      <c r="U307" s="29">
        <v>0</v>
      </c>
      <c r="V307" s="29">
        <v>-51714.663029620497</v>
      </c>
      <c r="W307" s="29">
        <v>0</v>
      </c>
      <c r="X307" s="29">
        <v>0</v>
      </c>
      <c r="Y307" s="29">
        <v>-51714.663029627001</v>
      </c>
      <c r="Z307" s="29">
        <v>0</v>
      </c>
      <c r="AA307" s="29">
        <v>0</v>
      </c>
      <c r="AB307" s="29">
        <v>-9970.62724955257</v>
      </c>
      <c r="AC307" s="29">
        <v>0</v>
      </c>
      <c r="AD307" s="29">
        <v>0</v>
      </c>
      <c r="AE307" s="29">
        <v>-9970.6272495344401</v>
      </c>
      <c r="AF307" s="29">
        <v>0</v>
      </c>
      <c r="AG307" s="29">
        <v>0</v>
      </c>
      <c r="AH307" s="29">
        <v>-9970.6272494999903</v>
      </c>
      <c r="AI307" s="29">
        <v>0</v>
      </c>
      <c r="AJ307" s="29">
        <v>0</v>
      </c>
      <c r="AK307" s="29">
        <v>-9970.6272496080292</v>
      </c>
      <c r="AL307" s="29"/>
      <c r="AM307" s="29"/>
      <c r="AN307" s="29"/>
      <c r="AO307" s="29"/>
      <c r="AP307" s="29"/>
      <c r="AQ307" s="29"/>
    </row>
    <row r="308" spans="1:43" ht="10.199999999999999" x14ac:dyDescent="0.2">
      <c r="A308" s="27" t="s">
        <v>470</v>
      </c>
      <c r="B308" s="29">
        <v>0</v>
      </c>
      <c r="C308" s="29">
        <v>0</v>
      </c>
      <c r="D308" s="29">
        <v>4690.6707893688799</v>
      </c>
      <c r="E308" s="29">
        <v>0</v>
      </c>
      <c r="F308" s="29">
        <v>0</v>
      </c>
      <c r="G308" s="29">
        <v>4690.6707893688799</v>
      </c>
      <c r="H308" s="29">
        <v>0</v>
      </c>
      <c r="I308" s="29">
        <v>0</v>
      </c>
      <c r="J308" s="29">
        <v>4690.6707893689299</v>
      </c>
      <c r="K308" s="29">
        <v>0</v>
      </c>
      <c r="L308" s="29">
        <v>0</v>
      </c>
      <c r="M308" s="29">
        <v>4690.6707893688599</v>
      </c>
      <c r="N308" s="29">
        <v>0</v>
      </c>
      <c r="O308" s="29">
        <v>0</v>
      </c>
      <c r="P308" s="29">
        <v>10860.0792362231</v>
      </c>
      <c r="Q308" s="29">
        <v>0</v>
      </c>
      <c r="R308" s="29">
        <v>0</v>
      </c>
      <c r="S308" s="29">
        <v>10860.079236220799</v>
      </c>
      <c r="T308" s="29">
        <v>0</v>
      </c>
      <c r="U308" s="29">
        <v>0</v>
      </c>
      <c r="V308" s="29">
        <v>10860.079236220299</v>
      </c>
      <c r="W308" s="29">
        <v>0</v>
      </c>
      <c r="X308" s="29">
        <v>0</v>
      </c>
      <c r="Y308" s="29">
        <v>10860.0792362216</v>
      </c>
      <c r="Z308" s="29">
        <v>0</v>
      </c>
      <c r="AA308" s="29">
        <v>0</v>
      </c>
      <c r="AB308" s="29">
        <v>2093.8317224060402</v>
      </c>
      <c r="AC308" s="29">
        <v>0</v>
      </c>
      <c r="AD308" s="29">
        <v>0</v>
      </c>
      <c r="AE308" s="29">
        <v>2093.8317224022298</v>
      </c>
      <c r="AF308" s="29">
        <v>0</v>
      </c>
      <c r="AG308" s="29">
        <v>0</v>
      </c>
      <c r="AH308" s="29">
        <v>2093.8317223949898</v>
      </c>
      <c r="AI308" s="29">
        <v>0</v>
      </c>
      <c r="AJ308" s="29">
        <v>0</v>
      </c>
      <c r="AK308" s="29">
        <v>2093.8317224176799</v>
      </c>
      <c r="AL308" s="29"/>
      <c r="AM308" s="29"/>
      <c r="AN308" s="29"/>
      <c r="AO308" s="29"/>
      <c r="AP308" s="29"/>
      <c r="AQ308" s="29"/>
    </row>
    <row r="309" spans="1:43" ht="14.4" x14ac:dyDescent="0.3">
      <c r="A309" s="27" t="s">
        <v>471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ht="14.4" x14ac:dyDescent="0.3">
      <c r="A310" s="27" t="s">
        <v>472</v>
      </c>
      <c r="B310" s="29">
        <v>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/>
      <c r="AM310" s="29"/>
      <c r="AN310" s="29"/>
      <c r="AO310" s="29"/>
      <c r="AP310" s="29"/>
      <c r="AQ310" s="3"/>
    </row>
    <row r="311" spans="1:43" ht="10.199999999999999" x14ac:dyDescent="0.2">
      <c r="A311" s="27" t="s">
        <v>473</v>
      </c>
      <c r="B311" s="29">
        <v>0</v>
      </c>
      <c r="C311" s="29">
        <v>0</v>
      </c>
      <c r="D311" s="29">
        <v>7369.2725399999899</v>
      </c>
      <c r="E311" s="29">
        <v>0</v>
      </c>
      <c r="F311" s="29">
        <v>0</v>
      </c>
      <c r="G311" s="29">
        <v>7369.2725399999899</v>
      </c>
      <c r="H311" s="29">
        <v>0</v>
      </c>
      <c r="I311" s="29">
        <v>0</v>
      </c>
      <c r="J311" s="29">
        <v>3648.5705230827598</v>
      </c>
      <c r="K311" s="29">
        <v>0</v>
      </c>
      <c r="L311" s="29">
        <v>0</v>
      </c>
      <c r="M311" s="29">
        <v>6129.0385343690205</v>
      </c>
      <c r="N311" s="29">
        <v>0</v>
      </c>
      <c r="O311" s="29">
        <v>0</v>
      </c>
      <c r="P311" s="29">
        <v>1733.8534370764401</v>
      </c>
      <c r="Q311" s="29">
        <v>0</v>
      </c>
      <c r="R311" s="29">
        <v>0</v>
      </c>
      <c r="S311" s="29">
        <v>1733.8534370703501</v>
      </c>
      <c r="T311" s="29">
        <v>0</v>
      </c>
      <c r="U311" s="29">
        <v>0</v>
      </c>
      <c r="V311" s="29">
        <v>1733.8534370705299</v>
      </c>
      <c r="W311" s="29">
        <v>0</v>
      </c>
      <c r="X311" s="29">
        <v>0</v>
      </c>
      <c r="Y311" s="29">
        <v>1733.8534370442301</v>
      </c>
      <c r="Z311" s="29">
        <v>0</v>
      </c>
      <c r="AA311" s="29">
        <v>0</v>
      </c>
      <c r="AB311" s="29">
        <v>241.38061499999901</v>
      </c>
      <c r="AC311" s="29">
        <v>0</v>
      </c>
      <c r="AD311" s="29">
        <v>0</v>
      </c>
      <c r="AE311" s="29">
        <v>241.38061499999901</v>
      </c>
      <c r="AF311" s="29">
        <v>0</v>
      </c>
      <c r="AG311" s="29">
        <v>0</v>
      </c>
      <c r="AH311" s="29">
        <v>241.38061499999901</v>
      </c>
      <c r="AI311" s="29">
        <v>0</v>
      </c>
      <c r="AJ311" s="29">
        <v>0</v>
      </c>
      <c r="AK311" s="29">
        <v>241.38061499999901</v>
      </c>
      <c r="AL311" s="29"/>
      <c r="AM311" s="29"/>
      <c r="AN311" s="29"/>
      <c r="AO311" s="29"/>
      <c r="AP311" s="29"/>
      <c r="AQ311" s="29"/>
    </row>
    <row r="312" spans="1:43" ht="14.4" x14ac:dyDescent="0.3">
      <c r="A312" s="27" t="s">
        <v>474</v>
      </c>
      <c r="B312" s="29">
        <v>0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  <c r="AL312" s="29"/>
      <c r="AM312" s="29"/>
      <c r="AN312" s="29"/>
      <c r="AO312" s="29"/>
      <c r="AP312" s="29"/>
      <c r="AQ312" s="3"/>
    </row>
    <row r="313" spans="1:43" ht="14.4" x14ac:dyDescent="0.3">
      <c r="A313" s="27" t="s">
        <v>475</v>
      </c>
      <c r="B313" s="29">
        <v>0</v>
      </c>
      <c r="C313" s="29">
        <v>0</v>
      </c>
      <c r="D313" s="29">
        <v>-3598.02197999999</v>
      </c>
      <c r="E313" s="29">
        <v>0</v>
      </c>
      <c r="F313" s="29">
        <v>0</v>
      </c>
      <c r="G313" s="29">
        <v>-3551.4097499999898</v>
      </c>
      <c r="H313" s="29">
        <v>0</v>
      </c>
      <c r="I313" s="29">
        <v>0</v>
      </c>
      <c r="J313" s="29">
        <v>17501.659839299999</v>
      </c>
      <c r="K313" s="29">
        <v>0</v>
      </c>
      <c r="L313" s="29">
        <v>0</v>
      </c>
      <c r="M313" s="29">
        <v>3450.7427031000002</v>
      </c>
      <c r="N313" s="29">
        <v>0</v>
      </c>
      <c r="O313" s="29">
        <v>0</v>
      </c>
      <c r="P313" s="29">
        <v>143.086772325</v>
      </c>
      <c r="Q313" s="29">
        <v>0</v>
      </c>
      <c r="R313" s="29">
        <v>0</v>
      </c>
      <c r="S313" s="29">
        <v>143.086772325</v>
      </c>
      <c r="T313" s="29">
        <v>0</v>
      </c>
      <c r="U313" s="29">
        <v>0</v>
      </c>
      <c r="V313" s="29">
        <v>143.086772325</v>
      </c>
      <c r="W313" s="29">
        <v>0</v>
      </c>
      <c r="X313" s="29">
        <v>0</v>
      </c>
      <c r="Y313" s="29">
        <v>143.086772325</v>
      </c>
      <c r="Z313" s="29">
        <v>0</v>
      </c>
      <c r="AA313" s="29">
        <v>0</v>
      </c>
      <c r="AB313" s="29">
        <v>-269.52660262499899</v>
      </c>
      <c r="AC313" s="29">
        <v>0</v>
      </c>
      <c r="AD313" s="29">
        <v>0</v>
      </c>
      <c r="AE313" s="29">
        <v>-269.52660262499899</v>
      </c>
      <c r="AF313" s="29">
        <v>0</v>
      </c>
      <c r="AG313" s="29">
        <v>0</v>
      </c>
      <c r="AH313" s="29">
        <v>-269.52660262499899</v>
      </c>
      <c r="AI313" s="29">
        <v>0</v>
      </c>
      <c r="AJ313" s="29">
        <v>0</v>
      </c>
      <c r="AK313" s="29">
        <v>-269.52660262499899</v>
      </c>
      <c r="AL313" s="29"/>
      <c r="AM313" s="29"/>
      <c r="AN313" s="29"/>
      <c r="AO313" s="29"/>
      <c r="AP313" s="29"/>
      <c r="AQ313" s="3"/>
    </row>
    <row r="314" spans="1:43" ht="10.199999999999999" x14ac:dyDescent="0.2">
      <c r="A314" s="27" t="s">
        <v>476</v>
      </c>
      <c r="B314" s="29">
        <v>9.0345223848299696</v>
      </c>
      <c r="C314" s="29">
        <v>9.0345223848299696</v>
      </c>
      <c r="D314" s="29">
        <v>13.2406623848299</v>
      </c>
      <c r="E314" s="29">
        <v>9.0345223848299696</v>
      </c>
      <c r="F314" s="29">
        <v>9.0345223848299696</v>
      </c>
      <c r="G314" s="29">
        <v>13.2406623848299</v>
      </c>
      <c r="H314" s="29">
        <v>9.0345223848299696</v>
      </c>
      <c r="I314" s="29">
        <v>9.0345223848299696</v>
      </c>
      <c r="J314" s="29">
        <v>13.2406623848299</v>
      </c>
      <c r="K314" s="29">
        <v>9.0345223848299696</v>
      </c>
      <c r="L314" s="29">
        <v>9.0345223848299696</v>
      </c>
      <c r="M314" s="29">
        <v>13.2406623848299</v>
      </c>
      <c r="N314" s="29">
        <v>9.0345223848299696</v>
      </c>
      <c r="O314" s="29">
        <v>9.0345223848299696</v>
      </c>
      <c r="P314" s="29">
        <v>13.2406623848299</v>
      </c>
      <c r="Q314" s="29">
        <v>9.0345223848299696</v>
      </c>
      <c r="R314" s="29">
        <v>9.0345223848299696</v>
      </c>
      <c r="S314" s="29">
        <v>13.2406623848299</v>
      </c>
      <c r="T314" s="29">
        <v>9.0345223848299696</v>
      </c>
      <c r="U314" s="29">
        <v>9.0345223848299696</v>
      </c>
      <c r="V314" s="29">
        <v>13.2406623848299</v>
      </c>
      <c r="W314" s="29">
        <v>9.0345223848299696</v>
      </c>
      <c r="X314" s="29">
        <v>9.0345223848299696</v>
      </c>
      <c r="Y314" s="29">
        <v>13.2406623848299</v>
      </c>
      <c r="Z314" s="29">
        <v>9.0345223848299696</v>
      </c>
      <c r="AA314" s="29">
        <v>9.0345223848299696</v>
      </c>
      <c r="AB314" s="29">
        <v>13.2406623848299</v>
      </c>
      <c r="AC314" s="29">
        <v>9.0345223848299696</v>
      </c>
      <c r="AD314" s="29">
        <v>9.0345223848299696</v>
      </c>
      <c r="AE314" s="29">
        <v>13.2406623848299</v>
      </c>
      <c r="AF314" s="29">
        <v>9.0345223848299696</v>
      </c>
      <c r="AG314" s="29">
        <v>9.0345223848299696</v>
      </c>
      <c r="AH314" s="29">
        <v>13.2406623848299</v>
      </c>
      <c r="AI314" s="29">
        <v>9.0345223848299696</v>
      </c>
      <c r="AJ314" s="29">
        <v>9.0345223848299696</v>
      </c>
      <c r="AK314" s="29">
        <v>13.2406623848299</v>
      </c>
      <c r="AL314" s="29"/>
      <c r="AM314" s="29"/>
      <c r="AN314" s="29"/>
      <c r="AO314" s="29"/>
      <c r="AP314" s="29"/>
      <c r="AQ314" s="29"/>
    </row>
    <row r="315" spans="1:43" ht="14.4" x14ac:dyDescent="0.3">
      <c r="A315" s="27" t="s">
        <v>477</v>
      </c>
      <c r="B315" s="29">
        <v>0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/>
      <c r="AM315" s="29"/>
      <c r="AN315" s="29"/>
      <c r="AO315" s="29"/>
      <c r="AP315" s="29"/>
      <c r="AQ315" s="3"/>
    </row>
    <row r="316" spans="1:43" ht="14.4" x14ac:dyDescent="0.3">
      <c r="A316" s="27" t="s">
        <v>478</v>
      </c>
      <c r="B316" s="29">
        <v>0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/>
      <c r="AM316" s="29"/>
      <c r="AN316" s="29"/>
      <c r="AO316" s="29"/>
      <c r="AP316" s="29"/>
      <c r="AQ316" s="3"/>
    </row>
    <row r="317" spans="1:43" ht="10.199999999999999" x14ac:dyDescent="0.2">
      <c r="A317" s="27" t="s">
        <v>479</v>
      </c>
      <c r="B317" s="29">
        <v>0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737.75</v>
      </c>
      <c r="AC317" s="29">
        <v>0</v>
      </c>
      <c r="AD317" s="29">
        <v>0</v>
      </c>
      <c r="AE317" s="29">
        <v>737.75</v>
      </c>
      <c r="AF317" s="29">
        <v>0</v>
      </c>
      <c r="AG317" s="29">
        <v>0</v>
      </c>
      <c r="AH317" s="29">
        <v>737.75</v>
      </c>
      <c r="AI317" s="29">
        <v>0</v>
      </c>
      <c r="AJ317" s="29">
        <v>0</v>
      </c>
      <c r="AK317" s="29">
        <v>737.75</v>
      </c>
      <c r="AL317" s="29"/>
      <c r="AM317" s="29"/>
      <c r="AN317" s="29"/>
      <c r="AO317" s="29"/>
      <c r="AP317" s="29"/>
      <c r="AQ317" s="29"/>
    </row>
    <row r="318" spans="1:43" ht="10.199999999999999" x14ac:dyDescent="0.2">
      <c r="A318" s="27" t="s">
        <v>480</v>
      </c>
      <c r="B318" s="29">
        <v>0</v>
      </c>
      <c r="C318" s="29">
        <v>0</v>
      </c>
      <c r="D318" s="29">
        <v>-205</v>
      </c>
      <c r="E318" s="29">
        <v>0</v>
      </c>
      <c r="F318" s="29">
        <v>0</v>
      </c>
      <c r="G318" s="29">
        <v>-205</v>
      </c>
      <c r="H318" s="29">
        <v>0</v>
      </c>
      <c r="I318" s="29">
        <v>0</v>
      </c>
      <c r="J318" s="29">
        <v>-205</v>
      </c>
      <c r="K318" s="29">
        <v>0</v>
      </c>
      <c r="L318" s="29">
        <v>0</v>
      </c>
      <c r="M318" s="29">
        <v>-205</v>
      </c>
      <c r="N318" s="29">
        <v>0</v>
      </c>
      <c r="O318" s="29">
        <v>0</v>
      </c>
      <c r="P318" s="29">
        <v>-205</v>
      </c>
      <c r="Q318" s="29">
        <v>0</v>
      </c>
      <c r="R318" s="29">
        <v>0</v>
      </c>
      <c r="S318" s="29">
        <v>-205</v>
      </c>
      <c r="T318" s="29">
        <v>0</v>
      </c>
      <c r="U318" s="29">
        <v>0</v>
      </c>
      <c r="V318" s="29">
        <v>-205</v>
      </c>
      <c r="W318" s="29">
        <v>0</v>
      </c>
      <c r="X318" s="29">
        <v>0</v>
      </c>
      <c r="Y318" s="29">
        <v>-205</v>
      </c>
      <c r="Z318" s="29">
        <v>0</v>
      </c>
      <c r="AA318" s="29">
        <v>0</v>
      </c>
      <c r="AB318" s="29">
        <v>932.60149999999999</v>
      </c>
      <c r="AC318" s="29">
        <v>0</v>
      </c>
      <c r="AD318" s="29">
        <v>0</v>
      </c>
      <c r="AE318" s="29">
        <v>932.60149999999999</v>
      </c>
      <c r="AF318" s="29">
        <v>0</v>
      </c>
      <c r="AG318" s="29">
        <v>0</v>
      </c>
      <c r="AH318" s="29">
        <v>932.60149999999999</v>
      </c>
      <c r="AI318" s="29">
        <v>0</v>
      </c>
      <c r="AJ318" s="29">
        <v>0</v>
      </c>
      <c r="AK318" s="29">
        <v>932.60149999999999</v>
      </c>
      <c r="AL318" s="29"/>
      <c r="AM318" s="29"/>
      <c r="AN318" s="29"/>
      <c r="AO318" s="29"/>
      <c r="AP318" s="29"/>
      <c r="AQ318" s="29"/>
    </row>
    <row r="319" spans="1:43" ht="10.199999999999999" x14ac:dyDescent="0.2">
      <c r="A319" s="27" t="s">
        <v>481</v>
      </c>
      <c r="B319" s="29">
        <v>0</v>
      </c>
      <c r="C319" s="29">
        <v>0</v>
      </c>
      <c r="D319" s="29">
        <v>-1787.41617</v>
      </c>
      <c r="E319" s="29">
        <v>-345.45542</v>
      </c>
      <c r="F319" s="29">
        <v>0</v>
      </c>
      <c r="G319" s="29">
        <v>-2163.058</v>
      </c>
      <c r="H319" s="29">
        <v>0</v>
      </c>
      <c r="I319" s="29">
        <v>0</v>
      </c>
      <c r="J319" s="29">
        <v>-1423.9360123510901</v>
      </c>
      <c r="K319" s="29">
        <v>0</v>
      </c>
      <c r="L319" s="29">
        <v>0</v>
      </c>
      <c r="M319" s="29">
        <v>-1906.621705</v>
      </c>
      <c r="N319" s="29">
        <v>0</v>
      </c>
      <c r="O319" s="29">
        <v>0</v>
      </c>
      <c r="P319" s="29">
        <v>-2539.1911748749999</v>
      </c>
      <c r="Q319" s="29">
        <v>-841.75138895833402</v>
      </c>
      <c r="R319" s="29">
        <v>0</v>
      </c>
      <c r="S319" s="29">
        <v>-1711.4827859166701</v>
      </c>
      <c r="T319" s="29">
        <v>0</v>
      </c>
      <c r="U319" s="29">
        <v>0</v>
      </c>
      <c r="V319" s="29">
        <v>-2560.2561748749999</v>
      </c>
      <c r="W319" s="29">
        <v>0</v>
      </c>
      <c r="X319" s="29">
        <v>0</v>
      </c>
      <c r="Y319" s="29">
        <v>-2560.2561748749999</v>
      </c>
      <c r="Z319" s="29">
        <v>0</v>
      </c>
      <c r="AA319" s="29">
        <v>0</v>
      </c>
      <c r="AB319" s="29">
        <v>-2748.6480835106399</v>
      </c>
      <c r="AC319" s="29">
        <v>-903.08159308333404</v>
      </c>
      <c r="AD319" s="29">
        <v>0</v>
      </c>
      <c r="AE319" s="29">
        <v>-1845.5664904273101</v>
      </c>
      <c r="AF319" s="29">
        <v>0</v>
      </c>
      <c r="AG319" s="29">
        <v>0</v>
      </c>
      <c r="AH319" s="29">
        <v>-2748.6480835106399</v>
      </c>
      <c r="AI319" s="29">
        <v>0</v>
      </c>
      <c r="AJ319" s="29">
        <v>0</v>
      </c>
      <c r="AK319" s="29">
        <v>-2748.6480835106399</v>
      </c>
      <c r="AL319" s="29"/>
      <c r="AM319" s="29"/>
      <c r="AN319" s="29"/>
      <c r="AO319" s="29"/>
      <c r="AP319" s="29"/>
      <c r="AQ319" s="29"/>
    </row>
    <row r="320" spans="1:43" ht="14.4" x14ac:dyDescent="0.3">
      <c r="A320" s="27" t="s">
        <v>482</v>
      </c>
      <c r="B320" s="29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/>
      <c r="AM320" s="29"/>
      <c r="AN320" s="29"/>
      <c r="AO320" s="29"/>
      <c r="AP320" s="29"/>
      <c r="AQ320" s="3"/>
    </row>
    <row r="321" spans="1:43" ht="14.4" x14ac:dyDescent="0.3">
      <c r="A321" s="27" t="s">
        <v>483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/>
      <c r="AM321" s="29"/>
      <c r="AN321" s="29"/>
      <c r="AO321" s="29"/>
      <c r="AP321" s="29"/>
      <c r="AQ321" s="3"/>
    </row>
    <row r="322" spans="1:43" ht="10.199999999999999" x14ac:dyDescent="0.2">
      <c r="A322" s="27" t="s">
        <v>484</v>
      </c>
      <c r="B322" s="29">
        <v>9.0345223848299696</v>
      </c>
      <c r="C322" s="29">
        <v>9.0345223848299696</v>
      </c>
      <c r="D322" s="29">
        <v>6482.7458417537</v>
      </c>
      <c r="E322" s="29">
        <v>-336.42089761517002</v>
      </c>
      <c r="F322" s="29">
        <v>9.0345223848299696</v>
      </c>
      <c r="G322" s="29">
        <v>6153.7162417537102</v>
      </c>
      <c r="H322" s="29">
        <v>9.0345223848299696</v>
      </c>
      <c r="I322" s="29">
        <v>9.0345223848299696</v>
      </c>
      <c r="J322" s="29">
        <v>24225.2058017854</v>
      </c>
      <c r="K322" s="29">
        <v>9.0345223848299696</v>
      </c>
      <c r="L322" s="29">
        <v>9.0345223848299696</v>
      </c>
      <c r="M322" s="29">
        <v>12172.070984222701</v>
      </c>
      <c r="N322" s="29">
        <v>9.0345223848299696</v>
      </c>
      <c r="O322" s="29">
        <v>9.0345223848299696</v>
      </c>
      <c r="P322" s="29">
        <v>10006.0689331343</v>
      </c>
      <c r="Q322" s="29">
        <v>-832.71686657350403</v>
      </c>
      <c r="R322" s="29">
        <v>9.0345223848299696</v>
      </c>
      <c r="S322" s="29">
        <v>10833.777322084299</v>
      </c>
      <c r="T322" s="29">
        <v>9.0345223848299696</v>
      </c>
      <c r="U322" s="29">
        <v>9.0345223848299696</v>
      </c>
      <c r="V322" s="29">
        <v>9985.0039331256794</v>
      </c>
      <c r="W322" s="29">
        <v>9.0345223848299696</v>
      </c>
      <c r="X322" s="29">
        <v>9.0345223848299696</v>
      </c>
      <c r="Y322" s="29">
        <v>9985.0039331007392</v>
      </c>
      <c r="Z322" s="29">
        <v>9.0345223848299696</v>
      </c>
      <c r="AA322" s="29">
        <v>9.0345223848299696</v>
      </c>
      <c r="AB322" s="29">
        <v>1000.62981365523</v>
      </c>
      <c r="AC322" s="29">
        <v>-894.04707069850394</v>
      </c>
      <c r="AD322" s="29">
        <v>9.0345223848299696</v>
      </c>
      <c r="AE322" s="29">
        <v>1903.71140673475</v>
      </c>
      <c r="AF322" s="29">
        <v>9.0345223848299696</v>
      </c>
      <c r="AG322" s="29">
        <v>9.0345223848299696</v>
      </c>
      <c r="AH322" s="29">
        <v>1000.62981364418</v>
      </c>
      <c r="AI322" s="29">
        <v>9.0345223848299696</v>
      </c>
      <c r="AJ322" s="29">
        <v>9.0345223848299696</v>
      </c>
      <c r="AK322" s="29">
        <v>1000.6298136668699</v>
      </c>
      <c r="AL322" s="29"/>
      <c r="AM322" s="29"/>
      <c r="AN322" s="29"/>
      <c r="AO322" s="29"/>
      <c r="AP322" s="29"/>
      <c r="AQ322" s="29"/>
    </row>
    <row r="323" spans="1:43" ht="10.199999999999999" x14ac:dyDescent="0.2">
      <c r="A323" s="27" t="s">
        <v>485</v>
      </c>
      <c r="B323" s="29">
        <v>0</v>
      </c>
      <c r="C323" s="29">
        <v>0</v>
      </c>
      <c r="D323" s="29">
        <v>-949.19872405237697</v>
      </c>
      <c r="E323" s="29">
        <v>0</v>
      </c>
      <c r="F323" s="29">
        <v>0</v>
      </c>
      <c r="G323" s="29">
        <v>972.76589180564395</v>
      </c>
      <c r="H323" s="29">
        <v>0</v>
      </c>
      <c r="I323" s="29">
        <v>0</v>
      </c>
      <c r="J323" s="29">
        <v>-583.68656626891595</v>
      </c>
      <c r="K323" s="29">
        <v>0</v>
      </c>
      <c r="L323" s="29">
        <v>0</v>
      </c>
      <c r="M323" s="29">
        <v>560.11939851564898</v>
      </c>
      <c r="N323" s="29">
        <v>0</v>
      </c>
      <c r="O323" s="29">
        <v>0</v>
      </c>
      <c r="P323" s="29">
        <v>-948.98993241597896</v>
      </c>
      <c r="Q323" s="29">
        <v>0</v>
      </c>
      <c r="R323" s="29">
        <v>0</v>
      </c>
      <c r="S323" s="29">
        <v>838.60909763817995</v>
      </c>
      <c r="T323" s="29">
        <v>0</v>
      </c>
      <c r="U323" s="29">
        <v>0</v>
      </c>
      <c r="V323" s="29">
        <v>-240.03246658448501</v>
      </c>
      <c r="W323" s="29">
        <v>0</v>
      </c>
      <c r="X323" s="29">
        <v>0</v>
      </c>
      <c r="Y323" s="29">
        <v>350.41330136228498</v>
      </c>
      <c r="Z323" s="29">
        <v>0</v>
      </c>
      <c r="AA323" s="29">
        <v>0</v>
      </c>
      <c r="AB323" s="29">
        <v>-1260.5705154838399</v>
      </c>
      <c r="AC323" s="29">
        <v>0</v>
      </c>
      <c r="AD323" s="29">
        <v>0</v>
      </c>
      <c r="AE323" s="29">
        <v>996.96880397403902</v>
      </c>
      <c r="AF323" s="29">
        <v>0</v>
      </c>
      <c r="AG323" s="29">
        <v>0</v>
      </c>
      <c r="AH323" s="29">
        <v>-440.07917975272301</v>
      </c>
      <c r="AI323" s="29">
        <v>0</v>
      </c>
      <c r="AJ323" s="29">
        <v>0</v>
      </c>
      <c r="AK323" s="29">
        <v>703.68089126252698</v>
      </c>
      <c r="AL323" s="29"/>
      <c r="AM323" s="29"/>
      <c r="AN323" s="29"/>
      <c r="AO323" s="29"/>
      <c r="AP323" s="29"/>
      <c r="AQ323" s="29"/>
    </row>
    <row r="324" spans="1:43" ht="14.4" x14ac:dyDescent="0.3">
      <c r="A324" s="27" t="s">
        <v>486</v>
      </c>
      <c r="B324" s="29">
        <v>0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311.580582763655</v>
      </c>
      <c r="AD324" s="29">
        <v>-311.580582763655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/>
      <c r="AM324" s="29"/>
      <c r="AN324" s="29"/>
      <c r="AO324" s="29"/>
      <c r="AP324" s="29"/>
      <c r="AQ324" s="3"/>
    </row>
    <row r="325" spans="1:43" ht="14.4" x14ac:dyDescent="0.3">
      <c r="A325" s="27" t="s">
        <v>487</v>
      </c>
      <c r="B325" s="29">
        <v>0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/>
      <c r="AM325" s="29"/>
      <c r="AN325" s="29"/>
      <c r="AO325" s="29"/>
      <c r="AP325" s="29"/>
      <c r="AQ325" s="3"/>
    </row>
    <row r="326" spans="1:43" ht="10.199999999999999" x14ac:dyDescent="0.2">
      <c r="A326" s="27" t="s">
        <v>488</v>
      </c>
      <c r="B326" s="29">
        <v>9.0345223848299696</v>
      </c>
      <c r="C326" s="29">
        <v>9.0345223848299696</v>
      </c>
      <c r="D326" s="29">
        <v>5533.5471177013296</v>
      </c>
      <c r="E326" s="29">
        <v>-336.42089761517002</v>
      </c>
      <c r="F326" s="29">
        <v>9.0345223848299696</v>
      </c>
      <c r="G326" s="29">
        <v>7126.4821335593597</v>
      </c>
      <c r="H326" s="29">
        <v>9.0345223848299696</v>
      </c>
      <c r="I326" s="29">
        <v>9.0345223848299696</v>
      </c>
      <c r="J326" s="29">
        <v>23641.519235516502</v>
      </c>
      <c r="K326" s="29">
        <v>9.0345223848299696</v>
      </c>
      <c r="L326" s="29">
        <v>9.0345223848299696</v>
      </c>
      <c r="M326" s="29">
        <v>12732.190382738299</v>
      </c>
      <c r="N326" s="29">
        <v>9.0345223848299696</v>
      </c>
      <c r="O326" s="29">
        <v>9.0345223848299696</v>
      </c>
      <c r="P326" s="29">
        <v>9057.0790007184096</v>
      </c>
      <c r="Q326" s="29">
        <v>-832.71686657350403</v>
      </c>
      <c r="R326" s="29">
        <v>9.0345223848299696</v>
      </c>
      <c r="S326" s="29">
        <v>11672.386419722499</v>
      </c>
      <c r="T326" s="29">
        <v>9.0345223848299696</v>
      </c>
      <c r="U326" s="29">
        <v>9.0345223848299696</v>
      </c>
      <c r="V326" s="29">
        <v>9744.9714665411902</v>
      </c>
      <c r="W326" s="29">
        <v>9.0345223848299696</v>
      </c>
      <c r="X326" s="29">
        <v>9.0345223848299696</v>
      </c>
      <c r="Y326" s="29">
        <v>10335.417234463001</v>
      </c>
      <c r="Z326" s="29">
        <v>9.0345223848299696</v>
      </c>
      <c r="AA326" s="29">
        <v>9.0345223848299696</v>
      </c>
      <c r="AB326" s="29">
        <v>-259.94070182861202</v>
      </c>
      <c r="AC326" s="29">
        <v>-582.46648793484803</v>
      </c>
      <c r="AD326" s="29">
        <v>-302.54606037882502</v>
      </c>
      <c r="AE326" s="29">
        <v>2900.6802107087901</v>
      </c>
      <c r="AF326" s="29">
        <v>9.0345223848299696</v>
      </c>
      <c r="AG326" s="29">
        <v>9.0345223848299696</v>
      </c>
      <c r="AH326" s="29">
        <v>560.55063389146505</v>
      </c>
      <c r="AI326" s="29">
        <v>9.0345223848299696</v>
      </c>
      <c r="AJ326" s="29">
        <v>9.0345223848299696</v>
      </c>
      <c r="AK326" s="29">
        <v>1704.3107049293999</v>
      </c>
      <c r="AL326" s="29"/>
      <c r="AM326" s="29"/>
      <c r="AN326" s="29"/>
      <c r="AO326" s="29"/>
      <c r="AP326" s="29"/>
      <c r="AQ326" s="29"/>
    </row>
    <row r="327" spans="1:43" ht="14.4" x14ac:dyDescent="0.3">
      <c r="A327" s="27" t="s">
        <v>489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10.199999999999999" x14ac:dyDescent="0.2">
      <c r="A328" s="27" t="s">
        <v>490</v>
      </c>
      <c r="B328" s="29">
        <v>43.021535165857003</v>
      </c>
      <c r="C328" s="29">
        <v>43.021535165857003</v>
      </c>
      <c r="D328" s="29">
        <v>43.021535165857003</v>
      </c>
      <c r="E328" s="29">
        <v>43.021535165857003</v>
      </c>
      <c r="F328" s="29">
        <v>43.021535165857003</v>
      </c>
      <c r="G328" s="29">
        <v>43.021535165857003</v>
      </c>
      <c r="H328" s="29">
        <v>43.021535165857003</v>
      </c>
      <c r="I328" s="29">
        <v>43.021535165857003</v>
      </c>
      <c r="J328" s="29">
        <v>43.021535165857003</v>
      </c>
      <c r="K328" s="29">
        <v>43.021535165857003</v>
      </c>
      <c r="L328" s="29">
        <v>43.021535165857003</v>
      </c>
      <c r="M328" s="29">
        <v>43.021535165857003</v>
      </c>
      <c r="N328" s="29">
        <v>43.021535165857003</v>
      </c>
      <c r="O328" s="29">
        <v>43.021535165857003</v>
      </c>
      <c r="P328" s="29">
        <v>43.021535165857003</v>
      </c>
      <c r="Q328" s="29">
        <v>43.021535165857003</v>
      </c>
      <c r="R328" s="29">
        <v>43.021535165857003</v>
      </c>
      <c r="S328" s="29">
        <v>43.021535165857003</v>
      </c>
      <c r="T328" s="29">
        <v>43.021535165857003</v>
      </c>
      <c r="U328" s="29">
        <v>43.021535165857003</v>
      </c>
      <c r="V328" s="29">
        <v>43.021535165857003</v>
      </c>
      <c r="W328" s="29">
        <v>43.021535165857003</v>
      </c>
      <c r="X328" s="29">
        <v>43.021535165857003</v>
      </c>
      <c r="Y328" s="29">
        <v>43.021535165857003</v>
      </c>
      <c r="Z328" s="29">
        <v>43.021535165857003</v>
      </c>
      <c r="AA328" s="29">
        <v>43.021535165857003</v>
      </c>
      <c r="AB328" s="29">
        <v>43.021535165857003</v>
      </c>
      <c r="AC328" s="29">
        <v>43.021535165857003</v>
      </c>
      <c r="AD328" s="29">
        <v>43.021535165857003</v>
      </c>
      <c r="AE328" s="29">
        <v>43.021535165857003</v>
      </c>
      <c r="AF328" s="29">
        <v>43.021535165857003</v>
      </c>
      <c r="AG328" s="29">
        <v>43.021535165857003</v>
      </c>
      <c r="AH328" s="29">
        <v>43.021535165857003</v>
      </c>
      <c r="AI328" s="29">
        <v>43.021535165857003</v>
      </c>
      <c r="AJ328" s="29">
        <v>43.021535165857003</v>
      </c>
      <c r="AK328" s="29">
        <v>43.021535165857003</v>
      </c>
      <c r="AL328" s="29"/>
      <c r="AM328" s="29"/>
      <c r="AN328" s="29"/>
      <c r="AO328" s="29"/>
      <c r="AP328" s="29"/>
      <c r="AQ328" s="29"/>
    </row>
    <row r="329" spans="1:43" ht="10.199999999999999" x14ac:dyDescent="0.2">
      <c r="A329" s="27" t="s">
        <v>491</v>
      </c>
      <c r="B329" s="29">
        <v>50.954355886658902</v>
      </c>
      <c r="C329" s="29">
        <v>50.954355886658902</v>
      </c>
      <c r="D329" s="29">
        <v>50.954355886658902</v>
      </c>
      <c r="E329" s="29">
        <v>50.954355886658902</v>
      </c>
      <c r="F329" s="29">
        <v>50.954355886658902</v>
      </c>
      <c r="G329" s="29">
        <v>50.954355886658902</v>
      </c>
      <c r="H329" s="29">
        <v>50.954355886658902</v>
      </c>
      <c r="I329" s="29">
        <v>50.954355886658902</v>
      </c>
      <c r="J329" s="29">
        <v>50.954355886658902</v>
      </c>
      <c r="K329" s="29">
        <v>50.954355886658902</v>
      </c>
      <c r="L329" s="29">
        <v>50.954355886658902</v>
      </c>
      <c r="M329" s="29">
        <v>50.954355886658902</v>
      </c>
      <c r="N329" s="29">
        <v>42.987689219992298</v>
      </c>
      <c r="O329" s="29">
        <v>42.987689219992298</v>
      </c>
      <c r="P329" s="29">
        <v>42.987689219992298</v>
      </c>
      <c r="Q329" s="29">
        <v>42.987689219992298</v>
      </c>
      <c r="R329" s="29">
        <v>42.987689219992298</v>
      </c>
      <c r="S329" s="29">
        <v>42.987689219992298</v>
      </c>
      <c r="T329" s="29">
        <v>42.987689219992298</v>
      </c>
      <c r="U329" s="29">
        <v>42.987689219992298</v>
      </c>
      <c r="V329" s="29">
        <v>42.987689219992298</v>
      </c>
      <c r="W329" s="29">
        <v>42.987689219992298</v>
      </c>
      <c r="X329" s="29">
        <v>42.987689219992298</v>
      </c>
      <c r="Y329" s="29">
        <v>42.987689219992298</v>
      </c>
      <c r="Z329" s="29">
        <v>37.153522553325601</v>
      </c>
      <c r="AA329" s="29">
        <v>37.153522553325601</v>
      </c>
      <c r="AB329" s="29">
        <v>37.153522553325601</v>
      </c>
      <c r="AC329" s="29">
        <v>37.153522553325601</v>
      </c>
      <c r="AD329" s="29">
        <v>37.153522553325601</v>
      </c>
      <c r="AE329" s="29">
        <v>37.153522553325601</v>
      </c>
      <c r="AF329" s="29">
        <v>37.153522553325601</v>
      </c>
      <c r="AG329" s="29">
        <v>37.153522553325601</v>
      </c>
      <c r="AH329" s="29">
        <v>37.153522553325601</v>
      </c>
      <c r="AI329" s="29">
        <v>37.153522553325601</v>
      </c>
      <c r="AJ329" s="29">
        <v>37.153522553325601</v>
      </c>
      <c r="AK329" s="29">
        <v>37.153522553325601</v>
      </c>
      <c r="AL329" s="29"/>
      <c r="AM329" s="29"/>
      <c r="AN329" s="29"/>
      <c r="AO329" s="29"/>
      <c r="AP329" s="29"/>
      <c r="AQ329" s="29"/>
    </row>
    <row r="330" spans="1:43" ht="10.199999999999999" x14ac:dyDescent="0.2">
      <c r="A330" s="27" t="s">
        <v>492</v>
      </c>
      <c r="B330" s="29">
        <v>0</v>
      </c>
      <c r="C330" s="29">
        <v>0</v>
      </c>
      <c r="D330" s="29">
        <v>4.2061400000000004</v>
      </c>
      <c r="E330" s="29">
        <v>0</v>
      </c>
      <c r="F330" s="29">
        <v>0</v>
      </c>
      <c r="G330" s="29">
        <v>4.2061400000000004</v>
      </c>
      <c r="H330" s="29">
        <v>0</v>
      </c>
      <c r="I330" s="29">
        <v>0</v>
      </c>
      <c r="J330" s="29">
        <v>4.2061400000000004</v>
      </c>
      <c r="K330" s="29">
        <v>0</v>
      </c>
      <c r="L330" s="29">
        <v>0</v>
      </c>
      <c r="M330" s="29">
        <v>4.2061400000000004</v>
      </c>
      <c r="N330" s="29">
        <v>0</v>
      </c>
      <c r="O330" s="29">
        <v>0</v>
      </c>
      <c r="P330" s="29">
        <v>4.2061400000000004</v>
      </c>
      <c r="Q330" s="29">
        <v>0</v>
      </c>
      <c r="R330" s="29">
        <v>0</v>
      </c>
      <c r="S330" s="29">
        <v>4.2061400000000004</v>
      </c>
      <c r="T330" s="29">
        <v>0</v>
      </c>
      <c r="U330" s="29">
        <v>0</v>
      </c>
      <c r="V330" s="29">
        <v>4.2061400000000004</v>
      </c>
      <c r="W330" s="29">
        <v>0</v>
      </c>
      <c r="X330" s="29">
        <v>0</v>
      </c>
      <c r="Y330" s="29">
        <v>4.2061400000000004</v>
      </c>
      <c r="Z330" s="29">
        <v>0</v>
      </c>
      <c r="AA330" s="29">
        <v>0</v>
      </c>
      <c r="AB330" s="29">
        <v>4.2061400000000004</v>
      </c>
      <c r="AC330" s="29">
        <v>0</v>
      </c>
      <c r="AD330" s="29">
        <v>0</v>
      </c>
      <c r="AE330" s="29">
        <v>4.2061400000000004</v>
      </c>
      <c r="AF330" s="29">
        <v>0</v>
      </c>
      <c r="AG330" s="29">
        <v>0</v>
      </c>
      <c r="AH330" s="29">
        <v>4.2061400000000004</v>
      </c>
      <c r="AI330" s="29">
        <v>0</v>
      </c>
      <c r="AJ330" s="29">
        <v>0</v>
      </c>
      <c r="AK330" s="29">
        <v>4.2061400000000004</v>
      </c>
      <c r="AL330" s="29"/>
      <c r="AM330" s="29"/>
      <c r="AN330" s="29"/>
      <c r="AO330" s="29"/>
      <c r="AP330" s="29"/>
      <c r="AQ330" s="29"/>
    </row>
    <row r="331" spans="1:43" ht="14.4" x14ac:dyDescent="0.3">
      <c r="A331" s="27" t="s">
        <v>493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14.4" x14ac:dyDescent="0.3">
      <c r="A332" s="27" t="s">
        <v>634</v>
      </c>
      <c r="B332" s="29">
        <v>0</v>
      </c>
      <c r="C332" s="29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3"/>
      <c r="AM332" s="3"/>
      <c r="AN332" s="3"/>
      <c r="AO332" s="3"/>
      <c r="AP332" s="3"/>
      <c r="AQ332" s="3"/>
    </row>
    <row r="333" spans="1:43" ht="14.4" x14ac:dyDescent="0.3">
      <c r="A333" s="86" t="s">
        <v>635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29"/>
      <c r="AM333" s="29"/>
      <c r="AN333" s="29"/>
      <c r="AO333" s="29"/>
      <c r="AP333" s="29"/>
      <c r="AQ333" s="3"/>
    </row>
    <row r="334" spans="1:43" ht="14.4" x14ac:dyDescent="0.3">
      <c r="A334" s="27" t="s">
        <v>636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/>
      <c r="AM334" s="29"/>
      <c r="AN334" s="29"/>
      <c r="AO334" s="29"/>
      <c r="AP334" s="29"/>
      <c r="AQ334" s="3"/>
    </row>
    <row r="335" spans="1:43" ht="10.199999999999999" x14ac:dyDescent="0.2">
      <c r="A335" s="27" t="s">
        <v>637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/>
      <c r="AM335" s="29"/>
      <c r="AN335" s="29"/>
      <c r="AO335" s="29"/>
      <c r="AP335" s="29"/>
      <c r="AQ335" s="29"/>
    </row>
    <row r="336" spans="1:43" ht="10.199999999999999" x14ac:dyDescent="0.2">
      <c r="A336" s="27" t="s">
        <v>638</v>
      </c>
      <c r="B336" s="29">
        <v>10393.028243503901</v>
      </c>
      <c r="C336" s="29">
        <v>6552.4341323889303</v>
      </c>
      <c r="D336" s="29">
        <v>3807.4981195813002</v>
      </c>
      <c r="E336" s="29">
        <v>2080.9939614039399</v>
      </c>
      <c r="F336" s="29">
        <v>5886.1139458839398</v>
      </c>
      <c r="G336" s="29">
        <v>4233.17277286631</v>
      </c>
      <c r="H336" s="29">
        <v>6719.2516240924297</v>
      </c>
      <c r="I336" s="29">
        <v>6690.3648631954402</v>
      </c>
      <c r="J336" s="29">
        <v>3095.73268077494</v>
      </c>
      <c r="K336" s="29">
        <v>2077.6370914576901</v>
      </c>
      <c r="L336" s="29">
        <v>4488.6087670214101</v>
      </c>
      <c r="M336" s="29">
        <v>4597.60286440256</v>
      </c>
      <c r="N336" s="29">
        <v>8179.6902209475502</v>
      </c>
      <c r="O336" s="29">
        <v>6939.2463487530003</v>
      </c>
      <c r="P336" s="29">
        <v>2032.86644030759</v>
      </c>
      <c r="Q336" s="29">
        <v>1244.2057523323001</v>
      </c>
      <c r="R336" s="29">
        <v>3964.6845041245901</v>
      </c>
      <c r="S336" s="29">
        <v>3217.5111694201801</v>
      </c>
      <c r="T336" s="29">
        <v>6409.6470647040496</v>
      </c>
      <c r="U336" s="29">
        <v>6718.1900610560097</v>
      </c>
      <c r="V336" s="29">
        <v>633.05554465779096</v>
      </c>
      <c r="W336" s="29">
        <v>2234.0786251777299</v>
      </c>
      <c r="X336" s="29">
        <v>4344.1482608404203</v>
      </c>
      <c r="Y336" s="29">
        <v>4259.0229215705303</v>
      </c>
      <c r="Z336" s="29">
        <v>8911.9301512374604</v>
      </c>
      <c r="AA336" s="29">
        <v>7696.6534504697602</v>
      </c>
      <c r="AB336" s="29">
        <v>2150.5291865250501</v>
      </c>
      <c r="AC336" s="29">
        <v>1465.0494383841999</v>
      </c>
      <c r="AD336" s="29">
        <v>3952.47505613662</v>
      </c>
      <c r="AE336" s="29">
        <v>2552.6309799359101</v>
      </c>
      <c r="AF336" s="29">
        <v>6289.6479962796602</v>
      </c>
      <c r="AG336" s="29">
        <v>7232.87150574519</v>
      </c>
      <c r="AH336" s="29">
        <v>1325.39290920076</v>
      </c>
      <c r="AI336" s="29">
        <v>1986.69374481667</v>
      </c>
      <c r="AJ336" s="29">
        <v>3996.8756959225798</v>
      </c>
      <c r="AK336" s="29">
        <v>3369.76165763481</v>
      </c>
      <c r="AL336" s="29"/>
      <c r="AM336" s="29"/>
      <c r="AN336" s="29"/>
      <c r="AO336" s="29"/>
      <c r="AP336" s="29"/>
      <c r="AQ336" s="29"/>
    </row>
    <row r="337" spans="1:43" ht="10.199999999999999" x14ac:dyDescent="0.2">
      <c r="A337" s="27" t="s">
        <v>639</v>
      </c>
      <c r="B337" s="29">
        <v>60622.439066573999</v>
      </c>
      <c r="C337" s="29">
        <v>60622.439066573999</v>
      </c>
      <c r="D337" s="29">
        <v>60622.439066573999</v>
      </c>
      <c r="E337" s="29">
        <v>60622.439066573999</v>
      </c>
      <c r="F337" s="29">
        <v>60622.439066573999</v>
      </c>
      <c r="G337" s="29">
        <v>60622.439066574101</v>
      </c>
      <c r="H337" s="29">
        <v>60622.439066573999</v>
      </c>
      <c r="I337" s="29">
        <v>60622.439066573897</v>
      </c>
      <c r="J337" s="29">
        <v>60622.439066574698</v>
      </c>
      <c r="K337" s="29">
        <v>60622.439066575302</v>
      </c>
      <c r="L337" s="29">
        <v>60622.439066575898</v>
      </c>
      <c r="M337" s="29">
        <v>60622.439066572799</v>
      </c>
      <c r="N337" s="29">
        <v>50176.346913890899</v>
      </c>
      <c r="O337" s="29">
        <v>50176.346913887297</v>
      </c>
      <c r="P337" s="29">
        <v>50176.346913891102</v>
      </c>
      <c r="Q337" s="29">
        <v>50176.346913885798</v>
      </c>
      <c r="R337" s="29">
        <v>50176.346913880203</v>
      </c>
      <c r="S337" s="29">
        <v>50176.346913872701</v>
      </c>
      <c r="T337" s="29">
        <v>50176.346913870002</v>
      </c>
      <c r="U337" s="29">
        <v>50176.346913874302</v>
      </c>
      <c r="V337" s="29">
        <v>50176.346913866197</v>
      </c>
      <c r="W337" s="29">
        <v>50176.346913871203</v>
      </c>
      <c r="X337" s="29">
        <v>50176.346913884103</v>
      </c>
      <c r="Y337" s="29">
        <v>50176.346913891699</v>
      </c>
      <c r="Z337" s="29">
        <v>50930.5117727834</v>
      </c>
      <c r="AA337" s="29">
        <v>50930.5117728283</v>
      </c>
      <c r="AB337" s="29">
        <v>50930.511772843398</v>
      </c>
      <c r="AC337" s="29">
        <v>50930.511772879399</v>
      </c>
      <c r="AD337" s="29">
        <v>50930.511772868304</v>
      </c>
      <c r="AE337" s="29">
        <v>50930.511772837002</v>
      </c>
      <c r="AF337" s="29">
        <v>50930.511772787999</v>
      </c>
      <c r="AG337" s="29">
        <v>50930.511772726801</v>
      </c>
      <c r="AH337" s="29">
        <v>50930.511772645601</v>
      </c>
      <c r="AI337" s="29">
        <v>50930.5117725452</v>
      </c>
      <c r="AJ337" s="29">
        <v>50930.511772430596</v>
      </c>
      <c r="AK337" s="29">
        <v>50930.511772288701</v>
      </c>
      <c r="AL337" s="29"/>
      <c r="AM337" s="29"/>
      <c r="AN337" s="29"/>
      <c r="AO337" s="29"/>
      <c r="AP337" s="29"/>
      <c r="AQ337" s="29"/>
    </row>
    <row r="338" spans="1:43" ht="14.4" x14ac:dyDescent="0.3">
      <c r="A338" s="27" t="s">
        <v>640</v>
      </c>
      <c r="B338" s="29">
        <v>282984.25314502598</v>
      </c>
      <c r="C338" s="29">
        <v>282984.25314502598</v>
      </c>
      <c r="D338" s="29">
        <v>282984.25314502598</v>
      </c>
      <c r="E338" s="29">
        <v>282984.25314502598</v>
      </c>
      <c r="F338" s="29">
        <v>282984.25314502598</v>
      </c>
      <c r="G338" s="29">
        <v>282984.25314502598</v>
      </c>
      <c r="H338" s="29">
        <v>282984.25314502598</v>
      </c>
      <c r="I338" s="29">
        <v>282984.25314502598</v>
      </c>
      <c r="J338" s="29">
        <v>282984.25314502802</v>
      </c>
      <c r="K338" s="29">
        <v>282984.25314503</v>
      </c>
      <c r="L338" s="29">
        <v>282984.25314503303</v>
      </c>
      <c r="M338" s="29">
        <v>282984.25314501999</v>
      </c>
      <c r="N338" s="29">
        <v>252282.44589670401</v>
      </c>
      <c r="O338" s="29">
        <v>252282.44589669001</v>
      </c>
      <c r="P338" s="29">
        <v>252282.44589669601</v>
      </c>
      <c r="Q338" s="29">
        <v>252282.445896675</v>
      </c>
      <c r="R338" s="29">
        <v>252282.44589665299</v>
      </c>
      <c r="S338" s="29">
        <v>252282.445896627</v>
      </c>
      <c r="T338" s="29">
        <v>252282.445896616</v>
      </c>
      <c r="U338" s="29">
        <v>252282.445896633</v>
      </c>
      <c r="V338" s="29">
        <v>252282.445896608</v>
      </c>
      <c r="W338" s="29">
        <v>252282.44589662901</v>
      </c>
      <c r="X338" s="29">
        <v>252282.44589668</v>
      </c>
      <c r="Y338" s="29">
        <v>252282.44589671999</v>
      </c>
      <c r="Z338" s="29">
        <v>257944.80894670001</v>
      </c>
      <c r="AA338" s="29">
        <v>257944.80894687999</v>
      </c>
      <c r="AB338" s="29">
        <v>257944.80894695001</v>
      </c>
      <c r="AC338" s="29">
        <v>257944.80894709399</v>
      </c>
      <c r="AD338" s="29">
        <v>257944.80894705001</v>
      </c>
      <c r="AE338" s="29">
        <v>257944.808946929</v>
      </c>
      <c r="AF338" s="29">
        <v>257944.80894673301</v>
      </c>
      <c r="AG338" s="29">
        <v>257944.80894648799</v>
      </c>
      <c r="AH338" s="29">
        <v>257944.80894616299</v>
      </c>
      <c r="AI338" s="29">
        <v>257944.80894576001</v>
      </c>
      <c r="AJ338" s="29">
        <v>257944.80894530099</v>
      </c>
      <c r="AK338" s="29">
        <v>257944.80894468399</v>
      </c>
      <c r="AL338" s="3"/>
      <c r="AM338" s="3"/>
      <c r="AN338" s="3"/>
      <c r="AO338" s="3"/>
      <c r="AP338" s="3"/>
      <c r="AQ338" s="3"/>
    </row>
    <row r="339" spans="1:43" ht="14.4" x14ac:dyDescent="0.3">
      <c r="A339" s="27" t="s">
        <v>641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29"/>
      <c r="AM339" s="29"/>
      <c r="AN339" s="29"/>
      <c r="AO339" s="29"/>
      <c r="AP339" s="29"/>
      <c r="AQ339" s="3"/>
    </row>
    <row r="340" spans="1:43" ht="14.4" x14ac:dyDescent="0.3">
      <c r="A340" s="27" t="s">
        <v>494</v>
      </c>
      <c r="B340" s="29">
        <v>0</v>
      </c>
      <c r="C340" s="29">
        <v>0</v>
      </c>
      <c r="D340" s="29">
        <v>1</v>
      </c>
      <c r="E340" s="29">
        <v>0</v>
      </c>
      <c r="F340" s="29">
        <v>0</v>
      </c>
      <c r="G340" s="29">
        <v>1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1</v>
      </c>
      <c r="N340" s="29">
        <v>0</v>
      </c>
      <c r="O340" s="29">
        <v>0</v>
      </c>
      <c r="P340" s="29">
        <v>1</v>
      </c>
      <c r="Q340" s="29">
        <v>0</v>
      </c>
      <c r="R340" s="29">
        <v>0</v>
      </c>
      <c r="S340" s="29">
        <v>1</v>
      </c>
      <c r="T340" s="29">
        <v>0</v>
      </c>
      <c r="U340" s="29">
        <v>0</v>
      </c>
      <c r="V340" s="29">
        <v>1</v>
      </c>
      <c r="W340" s="29">
        <v>0</v>
      </c>
      <c r="X340" s="29">
        <v>0</v>
      </c>
      <c r="Y340" s="29">
        <v>1</v>
      </c>
      <c r="Z340" s="29">
        <v>0</v>
      </c>
      <c r="AA340" s="29">
        <v>0</v>
      </c>
      <c r="AB340" s="29">
        <v>1</v>
      </c>
      <c r="AC340" s="29">
        <v>0</v>
      </c>
      <c r="AD340" s="29">
        <v>0</v>
      </c>
      <c r="AE340" s="29">
        <v>1</v>
      </c>
      <c r="AF340" s="29">
        <v>0</v>
      </c>
      <c r="AG340" s="29">
        <v>0</v>
      </c>
      <c r="AH340" s="29">
        <v>1</v>
      </c>
      <c r="AI340" s="29">
        <v>0</v>
      </c>
      <c r="AJ340" s="29">
        <v>0</v>
      </c>
      <c r="AK340" s="29">
        <v>1</v>
      </c>
      <c r="AL340" s="29"/>
      <c r="AM340" s="29"/>
      <c r="AN340" s="29"/>
      <c r="AO340" s="29"/>
      <c r="AP340" s="29"/>
      <c r="AQ340" s="3"/>
    </row>
    <row r="341" spans="1:43" ht="10.199999999999999" x14ac:dyDescent="0.2">
      <c r="A341" s="27" t="s">
        <v>642</v>
      </c>
      <c r="B341" s="29">
        <v>0</v>
      </c>
      <c r="C341" s="29">
        <v>0</v>
      </c>
      <c r="D341" s="29">
        <v>1</v>
      </c>
      <c r="E341" s="29">
        <v>0</v>
      </c>
      <c r="F341" s="29">
        <v>0</v>
      </c>
      <c r="G341" s="29">
        <v>1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1</v>
      </c>
      <c r="T341" s="29">
        <v>0</v>
      </c>
      <c r="U341" s="29">
        <v>0</v>
      </c>
      <c r="V341" s="29">
        <v>1</v>
      </c>
      <c r="W341" s="29">
        <v>0</v>
      </c>
      <c r="X341" s="29">
        <v>0</v>
      </c>
      <c r="Y341" s="29">
        <v>1</v>
      </c>
      <c r="Z341" s="29">
        <v>0</v>
      </c>
      <c r="AA341" s="29">
        <v>0</v>
      </c>
      <c r="AB341" s="29">
        <v>1</v>
      </c>
      <c r="AC341" s="29">
        <v>0</v>
      </c>
      <c r="AD341" s="29">
        <v>0</v>
      </c>
      <c r="AE341" s="29">
        <v>1</v>
      </c>
      <c r="AF341" s="29">
        <v>0</v>
      </c>
      <c r="AG341" s="29">
        <v>0</v>
      </c>
      <c r="AH341" s="29">
        <v>1</v>
      </c>
      <c r="AI341" s="29">
        <v>0</v>
      </c>
      <c r="AJ341" s="29">
        <v>0</v>
      </c>
      <c r="AK341" s="29">
        <v>1</v>
      </c>
      <c r="AL341" s="29"/>
      <c r="AM341" s="29"/>
      <c r="AN341" s="29"/>
      <c r="AO341" s="29"/>
      <c r="AP341" s="29"/>
      <c r="AQ341" s="29"/>
    </row>
    <row r="342" spans="1:43" ht="10.199999999999999" x14ac:dyDescent="0.2">
      <c r="A342" s="27" t="s">
        <v>643</v>
      </c>
      <c r="B342" s="29">
        <v>0</v>
      </c>
      <c r="C342" s="29">
        <v>0</v>
      </c>
      <c r="D342" s="29">
        <v>20752.960495474101</v>
      </c>
      <c r="E342" s="29">
        <v>0</v>
      </c>
      <c r="F342" s="29">
        <v>0</v>
      </c>
      <c r="G342" s="29">
        <v>32953.241175628304</v>
      </c>
      <c r="H342" s="29">
        <v>0</v>
      </c>
      <c r="I342" s="29">
        <v>0</v>
      </c>
      <c r="J342" s="29">
        <v>49458.590343691198</v>
      </c>
      <c r="K342" s="29">
        <v>0</v>
      </c>
      <c r="L342" s="29">
        <v>0</v>
      </c>
      <c r="M342" s="29">
        <v>60622.439066572799</v>
      </c>
      <c r="N342" s="29">
        <v>0</v>
      </c>
      <c r="O342" s="29">
        <v>0</v>
      </c>
      <c r="P342" s="29">
        <v>17151.803010008101</v>
      </c>
      <c r="Q342" s="29">
        <v>0</v>
      </c>
      <c r="R342" s="29">
        <v>0</v>
      </c>
      <c r="S342" s="29">
        <v>25578.2044358852</v>
      </c>
      <c r="T342" s="29">
        <v>0</v>
      </c>
      <c r="U342" s="29">
        <v>0</v>
      </c>
      <c r="V342" s="29">
        <v>39339.097106303103</v>
      </c>
      <c r="W342" s="29">
        <v>0</v>
      </c>
      <c r="X342" s="29">
        <v>0</v>
      </c>
      <c r="Y342" s="29">
        <v>50176.346913891699</v>
      </c>
      <c r="Z342" s="29">
        <v>0</v>
      </c>
      <c r="AA342" s="29">
        <v>0</v>
      </c>
      <c r="AB342" s="29">
        <v>18759.1127882322</v>
      </c>
      <c r="AC342" s="29">
        <v>0</v>
      </c>
      <c r="AD342" s="29">
        <v>0</v>
      </c>
      <c r="AE342" s="29">
        <v>26729.268262688998</v>
      </c>
      <c r="AF342" s="29">
        <v>0</v>
      </c>
      <c r="AG342" s="29">
        <v>0</v>
      </c>
      <c r="AH342" s="29">
        <v>41577.180673914598</v>
      </c>
      <c r="AI342" s="29">
        <v>0</v>
      </c>
      <c r="AJ342" s="29">
        <v>0</v>
      </c>
      <c r="AK342" s="29">
        <v>50930.511772288701</v>
      </c>
      <c r="AL342" s="29"/>
      <c r="AM342" s="29"/>
      <c r="AN342" s="29"/>
      <c r="AO342" s="29"/>
      <c r="AP342" s="29"/>
      <c r="AQ342" s="29"/>
    </row>
    <row r="343" spans="1:43" ht="10.199999999999999" x14ac:dyDescent="0.2">
      <c r="A343" s="27" t="s">
        <v>644</v>
      </c>
      <c r="B343" s="29">
        <v>0</v>
      </c>
      <c r="C343" s="29">
        <v>0</v>
      </c>
      <c r="D343" s="29">
        <v>92443.537750000003</v>
      </c>
      <c r="E343" s="29">
        <v>0</v>
      </c>
      <c r="F343" s="29">
        <v>0</v>
      </c>
      <c r="G343" s="29">
        <v>153935.03831</v>
      </c>
      <c r="H343" s="29">
        <v>0</v>
      </c>
      <c r="I343" s="29">
        <v>0</v>
      </c>
      <c r="J343" s="29">
        <v>228257.01989915801</v>
      </c>
      <c r="K343" s="29">
        <v>0</v>
      </c>
      <c r="L343" s="29">
        <v>0</v>
      </c>
      <c r="M343" s="29">
        <v>282984.25314501999</v>
      </c>
      <c r="N343" s="29">
        <v>0</v>
      </c>
      <c r="O343" s="29">
        <v>0</v>
      </c>
      <c r="P343" s="29">
        <v>81466.379380627899</v>
      </c>
      <c r="Q343" s="29">
        <v>0</v>
      </c>
      <c r="R343" s="29">
        <v>0</v>
      </c>
      <c r="S343" s="29">
        <v>128050.071895004</v>
      </c>
      <c r="T343" s="29">
        <v>0</v>
      </c>
      <c r="U343" s="29">
        <v>0</v>
      </c>
      <c r="V343" s="29">
        <v>196031.81812898599</v>
      </c>
      <c r="W343" s="29">
        <v>0</v>
      </c>
      <c r="X343" s="29">
        <v>0</v>
      </c>
      <c r="Y343" s="29">
        <v>252282.44589671999</v>
      </c>
      <c r="Z343" s="29">
        <v>0</v>
      </c>
      <c r="AA343" s="29">
        <v>0</v>
      </c>
      <c r="AB343" s="29">
        <v>88623.852112579203</v>
      </c>
      <c r="AC343" s="29">
        <v>0</v>
      </c>
      <c r="AD343" s="29">
        <v>0</v>
      </c>
      <c r="AE343" s="29">
        <v>134039.126342284</v>
      </c>
      <c r="AF343" s="29">
        <v>0</v>
      </c>
      <c r="AG343" s="29">
        <v>0</v>
      </c>
      <c r="AH343" s="29">
        <v>207009.643639196</v>
      </c>
      <c r="AI343" s="29">
        <v>0</v>
      </c>
      <c r="AJ343" s="29">
        <v>0</v>
      </c>
      <c r="AK343" s="29">
        <v>257944.80894468399</v>
      </c>
      <c r="AL343" s="91"/>
      <c r="AM343" s="91"/>
      <c r="AN343" s="91"/>
      <c r="AO343" s="91"/>
      <c r="AP343" s="91"/>
      <c r="AQ343" s="91"/>
    </row>
    <row r="344" spans="1:43" ht="10.199999999999999" x14ac:dyDescent="0.2">
      <c r="A344" s="92" t="s">
        <v>645</v>
      </c>
      <c r="B344" s="91">
        <v>0</v>
      </c>
      <c r="C344" s="91">
        <v>0</v>
      </c>
      <c r="D344" s="91">
        <v>0.224493361035116</v>
      </c>
      <c r="E344" s="91">
        <v>0</v>
      </c>
      <c r="F344" s="91">
        <v>0</v>
      </c>
      <c r="G344" s="91">
        <v>0.214072387530549</v>
      </c>
      <c r="H344" s="91">
        <v>0</v>
      </c>
      <c r="I344" s="91">
        <v>0</v>
      </c>
      <c r="J344" s="91">
        <v>0.216679383466679</v>
      </c>
      <c r="K344" s="91">
        <v>0</v>
      </c>
      <c r="L344" s="91">
        <v>0</v>
      </c>
      <c r="M344" s="91">
        <v>0.21422548566865199</v>
      </c>
      <c r="N344" s="91">
        <v>0</v>
      </c>
      <c r="O344" s="91">
        <v>0</v>
      </c>
      <c r="P344" s="91">
        <v>0.21053842260340699</v>
      </c>
      <c r="Q344" s="91">
        <v>0</v>
      </c>
      <c r="R344" s="91">
        <v>0</v>
      </c>
      <c r="S344" s="91">
        <v>0.19975158199722101</v>
      </c>
      <c r="T344" s="91">
        <v>0</v>
      </c>
      <c r="U344" s="91">
        <v>0</v>
      </c>
      <c r="V344" s="91">
        <v>0.20067710171630601</v>
      </c>
      <c r="W344" s="91">
        <v>0</v>
      </c>
      <c r="X344" s="91">
        <v>0</v>
      </c>
      <c r="Y344" s="91">
        <v>0.198889568933516</v>
      </c>
      <c r="Z344" s="91">
        <v>0</v>
      </c>
      <c r="AA344" s="91">
        <v>0</v>
      </c>
      <c r="AB344" s="91">
        <v>0.21167115106216</v>
      </c>
      <c r="AC344" s="91">
        <v>0</v>
      </c>
      <c r="AD344" s="91">
        <v>0</v>
      </c>
      <c r="AE344" s="91">
        <v>0.199413924815003</v>
      </c>
      <c r="AF344" s="91">
        <v>0</v>
      </c>
      <c r="AG344" s="91">
        <v>0</v>
      </c>
      <c r="AH344" s="91">
        <v>0.20084658831827501</v>
      </c>
      <c r="AI344" s="91">
        <v>0</v>
      </c>
      <c r="AJ344" s="91">
        <v>0</v>
      </c>
      <c r="AK344" s="91">
        <v>0.197447322086682</v>
      </c>
      <c r="AL344" s="91"/>
      <c r="AM344" s="91"/>
      <c r="AN344" s="91"/>
      <c r="AO344" s="91"/>
      <c r="AP344" s="91"/>
      <c r="AQ344" s="91"/>
    </row>
    <row r="345" spans="1:43" ht="10.199999999999999" x14ac:dyDescent="0.2">
      <c r="A345" s="92" t="s">
        <v>646</v>
      </c>
      <c r="B345" s="91">
        <v>0</v>
      </c>
      <c r="C345" s="91">
        <v>0</v>
      </c>
      <c r="D345" s="91">
        <v>0.21422548566865099</v>
      </c>
      <c r="E345" s="91">
        <v>0</v>
      </c>
      <c r="F345" s="91">
        <v>0</v>
      </c>
      <c r="G345" s="91">
        <v>0.21422548566865199</v>
      </c>
      <c r="H345" s="91">
        <v>0</v>
      </c>
      <c r="I345" s="91">
        <v>0</v>
      </c>
      <c r="J345" s="91">
        <v>0.21422548566865299</v>
      </c>
      <c r="K345" s="91">
        <v>0</v>
      </c>
      <c r="L345" s="91">
        <v>0</v>
      </c>
      <c r="M345" s="91">
        <v>0.21422548566865199</v>
      </c>
      <c r="N345" s="91">
        <v>0</v>
      </c>
      <c r="O345" s="91">
        <v>0</v>
      </c>
      <c r="P345" s="91">
        <v>0.19888956893353199</v>
      </c>
      <c r="Q345" s="91">
        <v>0</v>
      </c>
      <c r="R345" s="91">
        <v>0</v>
      </c>
      <c r="S345" s="91">
        <v>0.198889568933514</v>
      </c>
      <c r="T345" s="91">
        <v>0</v>
      </c>
      <c r="U345" s="91">
        <v>0</v>
      </c>
      <c r="V345" s="91">
        <v>0.19888956893350199</v>
      </c>
      <c r="W345" s="91">
        <v>0</v>
      </c>
      <c r="X345" s="91">
        <v>0</v>
      </c>
      <c r="Y345" s="91">
        <v>0.198889568933516</v>
      </c>
      <c r="Z345" s="91">
        <v>0</v>
      </c>
      <c r="AA345" s="91">
        <v>0</v>
      </c>
      <c r="AB345" s="91">
        <v>0.197447322087097</v>
      </c>
      <c r="AC345" s="91">
        <v>0</v>
      </c>
      <c r="AD345" s="91">
        <v>0</v>
      </c>
      <c r="AE345" s="91">
        <v>0.19744732208708801</v>
      </c>
      <c r="AF345" s="91">
        <v>0</v>
      </c>
      <c r="AG345" s="91">
        <v>0</v>
      </c>
      <c r="AH345" s="91">
        <v>0.197447322086933</v>
      </c>
      <c r="AI345" s="91">
        <v>0</v>
      </c>
      <c r="AJ345" s="91">
        <v>0</v>
      </c>
      <c r="AK345" s="91">
        <v>0.197447322086682</v>
      </c>
      <c r="AL345" s="29"/>
      <c r="AM345" s="29"/>
      <c r="AN345" s="29"/>
      <c r="AO345" s="29"/>
      <c r="AP345" s="29"/>
      <c r="AQ345" s="29"/>
    </row>
    <row r="346" spans="1:43" ht="14.4" x14ac:dyDescent="0.3">
      <c r="A346" s="27" t="s">
        <v>647</v>
      </c>
      <c r="B346" s="29">
        <v>0</v>
      </c>
      <c r="C346" s="29">
        <v>0</v>
      </c>
      <c r="D346" s="29">
        <v>19803.761771422101</v>
      </c>
      <c r="E346" s="29">
        <v>0</v>
      </c>
      <c r="F346" s="29">
        <v>0</v>
      </c>
      <c r="G346" s="29">
        <v>32976.808343382298</v>
      </c>
      <c r="H346" s="29">
        <v>0</v>
      </c>
      <c r="I346" s="29">
        <v>0</v>
      </c>
      <c r="J346" s="29">
        <v>48898.470945176603</v>
      </c>
      <c r="K346" s="29">
        <v>0</v>
      </c>
      <c r="L346" s="29">
        <v>0</v>
      </c>
      <c r="M346" s="29">
        <v>60622.439066572799</v>
      </c>
      <c r="N346" s="29">
        <v>0</v>
      </c>
      <c r="O346" s="29">
        <v>0</v>
      </c>
      <c r="P346" s="29">
        <v>16202.8130775886</v>
      </c>
      <c r="Q346" s="29">
        <v>0</v>
      </c>
      <c r="R346" s="29">
        <v>0</v>
      </c>
      <c r="S346" s="29">
        <v>25467.823601102999</v>
      </c>
      <c r="T346" s="29">
        <v>0</v>
      </c>
      <c r="U346" s="29">
        <v>0</v>
      </c>
      <c r="V346" s="29">
        <v>38988.683804924898</v>
      </c>
      <c r="W346" s="29">
        <v>0</v>
      </c>
      <c r="X346" s="29">
        <v>0</v>
      </c>
      <c r="Y346" s="29">
        <v>50176.346913891699</v>
      </c>
      <c r="Z346" s="29">
        <v>0</v>
      </c>
      <c r="AA346" s="29">
        <v>0</v>
      </c>
      <c r="AB346" s="29">
        <v>17498.542272671701</v>
      </c>
      <c r="AC346" s="29">
        <v>0</v>
      </c>
      <c r="AD346" s="29">
        <v>0</v>
      </c>
      <c r="AE346" s="29">
        <v>26465.666551177001</v>
      </c>
      <c r="AF346" s="29">
        <v>0</v>
      </c>
      <c r="AG346" s="29">
        <v>0</v>
      </c>
      <c r="AH346" s="29">
        <v>40873.499782729697</v>
      </c>
      <c r="AI346" s="29">
        <v>0</v>
      </c>
      <c r="AJ346" s="29">
        <v>0</v>
      </c>
      <c r="AK346" s="29">
        <v>50930.511772288701</v>
      </c>
      <c r="AL346" s="29"/>
      <c r="AM346" s="29"/>
      <c r="AN346" s="29"/>
      <c r="AO346" s="29"/>
      <c r="AP346" s="29"/>
      <c r="AQ346" s="3"/>
    </row>
    <row r="347" spans="1:43" ht="14.4" x14ac:dyDescent="0.3">
      <c r="A347" s="27" t="s">
        <v>648</v>
      </c>
      <c r="B347" s="29">
        <v>0</v>
      </c>
      <c r="C347" s="29">
        <v>0</v>
      </c>
      <c r="D347" s="29">
        <v>-949.19872405209003</v>
      </c>
      <c r="E347" s="29">
        <v>0</v>
      </c>
      <c r="F347" s="29">
        <v>0</v>
      </c>
      <c r="G347" s="29">
        <v>23.567167753957602</v>
      </c>
      <c r="H347" s="29">
        <v>0</v>
      </c>
      <c r="I347" s="29">
        <v>0</v>
      </c>
      <c r="J347" s="29">
        <v>-560.11939851455099</v>
      </c>
      <c r="K347" s="29">
        <v>0</v>
      </c>
      <c r="L347" s="29">
        <v>0</v>
      </c>
      <c r="M347" s="29">
        <v>-1.45519152283668E-11</v>
      </c>
      <c r="N347" s="29">
        <v>0</v>
      </c>
      <c r="O347" s="29">
        <v>0</v>
      </c>
      <c r="P347" s="29">
        <v>-948.98993241947505</v>
      </c>
      <c r="Q347" s="29">
        <v>0</v>
      </c>
      <c r="R347" s="29">
        <v>0</v>
      </c>
      <c r="S347" s="29">
        <v>-110.38083478220101</v>
      </c>
      <c r="T347" s="29">
        <v>0</v>
      </c>
      <c r="U347" s="29">
        <v>0</v>
      </c>
      <c r="V347" s="29">
        <v>-350.41330137818198</v>
      </c>
      <c r="W347" s="29">
        <v>0</v>
      </c>
      <c r="X347" s="29">
        <v>0</v>
      </c>
      <c r="Y347" s="29">
        <v>0</v>
      </c>
      <c r="Z347" s="29">
        <v>0</v>
      </c>
      <c r="AA347" s="29">
        <v>0</v>
      </c>
      <c r="AB347" s="29">
        <v>-1260.5705155605301</v>
      </c>
      <c r="AC347" s="29">
        <v>0</v>
      </c>
      <c r="AD347" s="29">
        <v>0</v>
      </c>
      <c r="AE347" s="29">
        <v>-263.60171151201502</v>
      </c>
      <c r="AF347" s="29">
        <v>0</v>
      </c>
      <c r="AG347" s="29">
        <v>0</v>
      </c>
      <c r="AH347" s="29">
        <v>-703.68089118487796</v>
      </c>
      <c r="AI347" s="29">
        <v>0</v>
      </c>
      <c r="AJ347" s="29">
        <v>0</v>
      </c>
      <c r="AK347" s="29">
        <v>0</v>
      </c>
      <c r="AL347" s="29"/>
      <c r="AM347" s="29"/>
      <c r="AN347" s="29"/>
      <c r="AO347" s="29"/>
      <c r="AP347" s="29"/>
      <c r="AQ347" s="3"/>
    </row>
    <row r="348" spans="1:43" ht="14.4" x14ac:dyDescent="0.3">
      <c r="A348" s="27" t="s">
        <v>649</v>
      </c>
      <c r="B348" s="29">
        <v>0</v>
      </c>
      <c r="C348" s="29">
        <v>0</v>
      </c>
      <c r="D348" s="29">
        <v>1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1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29">
        <v>0</v>
      </c>
      <c r="AB348" s="29">
        <v>1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0</v>
      </c>
      <c r="AL348" s="29"/>
      <c r="AM348" s="29"/>
      <c r="AN348" s="29"/>
      <c r="AO348" s="29"/>
      <c r="AP348" s="29"/>
      <c r="AQ348" s="3"/>
    </row>
    <row r="349" spans="1:43" ht="14.4" x14ac:dyDescent="0.3">
      <c r="A349" s="27" t="s">
        <v>650</v>
      </c>
      <c r="B349" s="29">
        <v>0</v>
      </c>
      <c r="C349" s="29">
        <v>0</v>
      </c>
      <c r="D349" s="29">
        <v>-949.19872405209003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-948.98993241947505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-1260.5705155605301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/>
      <c r="AM349" s="29"/>
      <c r="AN349" s="29"/>
      <c r="AO349" s="29"/>
      <c r="AP349" s="29"/>
      <c r="AQ349" s="3"/>
    </row>
    <row r="350" spans="1:43" ht="14.4" x14ac:dyDescent="0.3">
      <c r="A350" s="27" t="s">
        <v>651</v>
      </c>
      <c r="B350" s="29">
        <v>0</v>
      </c>
      <c r="C350" s="29"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/>
      <c r="AM350" s="29"/>
      <c r="AN350" s="29"/>
      <c r="AO350" s="29"/>
      <c r="AP350" s="29"/>
      <c r="AQ350" s="3"/>
    </row>
    <row r="351" spans="1:43" ht="14.4" x14ac:dyDescent="0.3">
      <c r="A351" s="27" t="s">
        <v>652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1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1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1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/>
      <c r="AM351" s="29"/>
      <c r="AN351" s="29"/>
      <c r="AO351" s="29"/>
      <c r="AP351" s="29"/>
      <c r="AQ351" s="3"/>
    </row>
    <row r="352" spans="1:43" ht="14.4" x14ac:dyDescent="0.3">
      <c r="A352" s="27" t="s">
        <v>653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-949.19872405209003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-948.98993241947505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-1260.5705155605301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/>
      <c r="AM352" s="29"/>
      <c r="AN352" s="29"/>
      <c r="AO352" s="29"/>
      <c r="AP352" s="29"/>
      <c r="AQ352" s="3"/>
    </row>
    <row r="353" spans="1:43" ht="14.4" x14ac:dyDescent="0.3">
      <c r="A353" s="27" t="s">
        <v>654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972.76589180604697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838.60909763727398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996.96880404851902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/>
      <c r="AM353" s="29"/>
      <c r="AN353" s="29"/>
      <c r="AO353" s="29"/>
      <c r="AP353" s="29"/>
      <c r="AQ353" s="3"/>
    </row>
    <row r="354" spans="1:43" ht="14.4" x14ac:dyDescent="0.3">
      <c r="A354" s="27" t="s">
        <v>655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/>
      <c r="AM354" s="29"/>
      <c r="AN354" s="29"/>
      <c r="AO354" s="29"/>
      <c r="AP354" s="29"/>
      <c r="AQ354" s="3"/>
    </row>
    <row r="355" spans="1:43" ht="14.4" x14ac:dyDescent="0.3">
      <c r="A355" s="27" t="s">
        <v>656</v>
      </c>
      <c r="B355" s="29">
        <v>0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1</v>
      </c>
      <c r="W355" s="29">
        <v>0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1</v>
      </c>
      <c r="AI355" s="29">
        <v>0</v>
      </c>
      <c r="AJ355" s="29">
        <v>0</v>
      </c>
      <c r="AK355" s="29">
        <v>0</v>
      </c>
      <c r="AL355" s="29"/>
      <c r="AM355" s="29"/>
      <c r="AN355" s="29"/>
      <c r="AO355" s="29"/>
      <c r="AP355" s="29"/>
      <c r="AQ355" s="3"/>
    </row>
    <row r="356" spans="1:43" ht="14.4" x14ac:dyDescent="0.3">
      <c r="A356" s="27" t="s">
        <v>657</v>
      </c>
      <c r="B356" s="29">
        <v>0</v>
      </c>
      <c r="C356" s="29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23.567167753957602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-110.38083478220101</v>
      </c>
      <c r="W356" s="29">
        <v>0</v>
      </c>
      <c r="X356" s="29">
        <v>0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-263.60171151201502</v>
      </c>
      <c r="AI356" s="29">
        <v>0</v>
      </c>
      <c r="AJ356" s="29">
        <v>0</v>
      </c>
      <c r="AK356" s="29">
        <v>0</v>
      </c>
      <c r="AL356" s="29"/>
      <c r="AM356" s="29"/>
      <c r="AN356" s="29"/>
      <c r="AO356" s="29"/>
      <c r="AP356" s="29"/>
      <c r="AQ356" s="3"/>
    </row>
    <row r="357" spans="1:43" ht="14.4" x14ac:dyDescent="0.3">
      <c r="A357" s="27" t="s">
        <v>658</v>
      </c>
      <c r="B357" s="29">
        <v>0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-583.68656626850805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-240.03246659598099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-440.07917967286198</v>
      </c>
      <c r="AI357" s="29">
        <v>0</v>
      </c>
      <c r="AJ357" s="29">
        <v>0</v>
      </c>
      <c r="AK357" s="29">
        <v>0</v>
      </c>
      <c r="AL357" s="29"/>
      <c r="AM357" s="29"/>
      <c r="AN357" s="29"/>
      <c r="AO357" s="29"/>
      <c r="AP357" s="29"/>
      <c r="AQ357" s="3"/>
    </row>
    <row r="358" spans="1:43" ht="14.4" x14ac:dyDescent="0.3">
      <c r="A358" s="27" t="s">
        <v>659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/>
      <c r="AM358" s="29"/>
      <c r="AN358" s="29"/>
      <c r="AO358" s="29"/>
      <c r="AP358" s="29"/>
      <c r="AQ358" s="3"/>
    </row>
    <row r="359" spans="1:43" ht="10.199999999999999" x14ac:dyDescent="0.2">
      <c r="A359" s="27" t="s">
        <v>660</v>
      </c>
      <c r="B359" s="29">
        <v>0</v>
      </c>
      <c r="C359" s="29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29">
        <v>1</v>
      </c>
      <c r="Z359" s="29">
        <v>0</v>
      </c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29">
        <v>0</v>
      </c>
      <c r="AI359" s="29">
        <v>0</v>
      </c>
      <c r="AJ359" s="29">
        <v>0</v>
      </c>
      <c r="AK359" s="29">
        <v>1</v>
      </c>
      <c r="AL359" s="29"/>
      <c r="AM359" s="29"/>
      <c r="AN359" s="29"/>
      <c r="AO359" s="29"/>
      <c r="AP359" s="29"/>
      <c r="AQ359" s="29"/>
    </row>
    <row r="360" spans="1:43" ht="10.199999999999999" x14ac:dyDescent="0.2">
      <c r="A360" s="27" t="s">
        <v>661</v>
      </c>
      <c r="B360" s="29">
        <v>0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-560.11939851455099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-350.41330137818198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-703.68089118487796</v>
      </c>
      <c r="AL360" s="29"/>
      <c r="AM360" s="29"/>
      <c r="AN360" s="29"/>
      <c r="AO360" s="29"/>
      <c r="AP360" s="29"/>
      <c r="AQ360" s="29"/>
    </row>
    <row r="361" spans="1:43" ht="14.4" x14ac:dyDescent="0.3">
      <c r="A361" s="27" t="s">
        <v>662</v>
      </c>
      <c r="B361" s="29">
        <v>0</v>
      </c>
      <c r="C361" s="29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560.11939851453599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350.41330137818198</v>
      </c>
      <c r="Z361" s="29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703.68089118487796</v>
      </c>
      <c r="AL361" s="29"/>
      <c r="AM361" s="29"/>
      <c r="AN361" s="29"/>
      <c r="AO361" s="29"/>
      <c r="AP361" s="29"/>
      <c r="AQ361" s="3"/>
    </row>
    <row r="362" spans="1:43" ht="10.199999999999999" x14ac:dyDescent="0.2">
      <c r="A362" s="27" t="s">
        <v>663</v>
      </c>
      <c r="B362" s="29">
        <v>0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/>
      <c r="AM362" s="29"/>
      <c r="AN362" s="29"/>
      <c r="AO362" s="29"/>
      <c r="AP362" s="29"/>
      <c r="AQ362" s="29"/>
    </row>
    <row r="363" spans="1:43" ht="14.4" x14ac:dyDescent="0.3">
      <c r="A363" s="27" t="s">
        <v>664</v>
      </c>
      <c r="B363" s="29">
        <v>0</v>
      </c>
      <c r="C363" s="29">
        <v>0</v>
      </c>
      <c r="D363" s="29">
        <v>-949.19872405209003</v>
      </c>
      <c r="E363" s="29">
        <v>0</v>
      </c>
      <c r="F363" s="29">
        <v>0</v>
      </c>
      <c r="G363" s="29">
        <v>972.76589180604697</v>
      </c>
      <c r="H363" s="29">
        <v>0</v>
      </c>
      <c r="I363" s="29">
        <v>0</v>
      </c>
      <c r="J363" s="29">
        <v>-583.68656626850805</v>
      </c>
      <c r="K363" s="29">
        <v>0</v>
      </c>
      <c r="L363" s="29">
        <v>0</v>
      </c>
      <c r="M363" s="29">
        <v>560.11939851453599</v>
      </c>
      <c r="N363" s="29">
        <v>0</v>
      </c>
      <c r="O363" s="29">
        <v>0</v>
      </c>
      <c r="P363" s="29">
        <v>-948.98993241947505</v>
      </c>
      <c r="Q363" s="29">
        <v>0</v>
      </c>
      <c r="R363" s="29">
        <v>0</v>
      </c>
      <c r="S363" s="29">
        <v>838.60909763727398</v>
      </c>
      <c r="T363" s="29">
        <v>0</v>
      </c>
      <c r="U363" s="29">
        <v>0</v>
      </c>
      <c r="V363" s="29">
        <v>-240.03246659598099</v>
      </c>
      <c r="W363" s="29">
        <v>0</v>
      </c>
      <c r="X363" s="29">
        <v>0</v>
      </c>
      <c r="Y363" s="29">
        <v>350.41330137818198</v>
      </c>
      <c r="Z363" s="29">
        <v>0</v>
      </c>
      <c r="AA363" s="29">
        <v>0</v>
      </c>
      <c r="AB363" s="29">
        <v>-1260.5705155605301</v>
      </c>
      <c r="AC363" s="29">
        <v>0</v>
      </c>
      <c r="AD363" s="29">
        <v>0</v>
      </c>
      <c r="AE363" s="29">
        <v>996.96880404851902</v>
      </c>
      <c r="AF363" s="29">
        <v>0</v>
      </c>
      <c r="AG363" s="29">
        <v>0</v>
      </c>
      <c r="AH363" s="29">
        <v>-440.07917967286198</v>
      </c>
      <c r="AI363" s="29">
        <v>0</v>
      </c>
      <c r="AJ363" s="29">
        <v>0</v>
      </c>
      <c r="AK363" s="29">
        <v>703.68089118487796</v>
      </c>
      <c r="AL363" s="29"/>
      <c r="AM363" s="29"/>
      <c r="AN363" s="29"/>
      <c r="AO363" s="29"/>
      <c r="AP363" s="29"/>
      <c r="AQ363" s="3"/>
    </row>
    <row r="364" spans="1:43" ht="14.4" x14ac:dyDescent="0.3">
      <c r="A364" s="27" t="s">
        <v>324</v>
      </c>
      <c r="B364" s="29">
        <v>0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/>
      <c r="AM364" s="29"/>
      <c r="AN364" s="29"/>
      <c r="AO364" s="29"/>
      <c r="AP364" s="29"/>
      <c r="AQ364" s="3"/>
    </row>
    <row r="365" spans="1:43" ht="14.4" x14ac:dyDescent="0.3">
      <c r="A365" s="27" t="s">
        <v>665</v>
      </c>
      <c r="B365" s="29">
        <v>0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3"/>
      <c r="AM365" s="3"/>
      <c r="AN365" s="3"/>
      <c r="AO365" s="3"/>
      <c r="AP365" s="3"/>
      <c r="AQ365" s="3"/>
    </row>
    <row r="366" spans="1:43" ht="14.4" x14ac:dyDescent="0.3">
      <c r="A366" s="27" t="s">
        <v>666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29"/>
      <c r="AM366" s="29"/>
      <c r="AN366" s="29"/>
      <c r="AO366" s="29"/>
      <c r="AP366" s="29"/>
      <c r="AQ366" s="29"/>
    </row>
    <row r="367" spans="1:43" ht="10.199999999999999" x14ac:dyDescent="0.2">
      <c r="A367" s="27" t="s">
        <v>667</v>
      </c>
      <c r="B367" s="29">
        <v>22658.340395087202</v>
      </c>
      <c r="C367" s="29">
        <v>10797.7579823172</v>
      </c>
      <c r="D367" s="29">
        <v>5353.3555479841598</v>
      </c>
      <c r="E367" s="29">
        <v>5793.3494615322597</v>
      </c>
      <c r="F367" s="29">
        <v>11442.296230002201</v>
      </c>
      <c r="G367" s="29">
        <v>6769.8632056688903</v>
      </c>
      <c r="H367" s="29">
        <v>12030.4638274764</v>
      </c>
      <c r="I367" s="29">
        <v>12373.587885274201</v>
      </c>
      <c r="J367" s="29">
        <v>4008.69214851896</v>
      </c>
      <c r="K367" s="29">
        <v>2751.8881288580001</v>
      </c>
      <c r="L367" s="29">
        <v>8824.6270498165504</v>
      </c>
      <c r="M367" s="29">
        <v>8231.0080527752198</v>
      </c>
      <c r="N367" s="29">
        <v>17279.904341199901</v>
      </c>
      <c r="O367" s="29">
        <v>12002.088273428701</v>
      </c>
      <c r="P367" s="29">
        <v>1876.20395680107</v>
      </c>
      <c r="Q367" s="29">
        <v>1375.5978769216299</v>
      </c>
      <c r="R367" s="29">
        <v>6298.42565476252</v>
      </c>
      <c r="S367" s="29">
        <v>4282.3568310647497</v>
      </c>
      <c r="T367" s="29">
        <v>11567.899587809001</v>
      </c>
      <c r="U367" s="29">
        <v>12417.232595212399</v>
      </c>
      <c r="V367" s="29">
        <v>-427.58464981649303</v>
      </c>
      <c r="W367" s="29">
        <v>2075.5513061182601</v>
      </c>
      <c r="X367" s="29">
        <v>6910.71090088034</v>
      </c>
      <c r="Y367" s="29">
        <v>5947.2804314417299</v>
      </c>
      <c r="Z367" s="29">
        <v>17144.019649152899</v>
      </c>
      <c r="AA367" s="29">
        <v>12379.970847406599</v>
      </c>
      <c r="AB367" s="29">
        <v>-192.55513349548301</v>
      </c>
      <c r="AC367" s="29">
        <v>-352.14161104288002</v>
      </c>
      <c r="AD367" s="29">
        <v>5858.5786156427703</v>
      </c>
      <c r="AE367" s="29">
        <v>1927.92761697838</v>
      </c>
      <c r="AF367" s="29">
        <v>10510.012694784</v>
      </c>
      <c r="AG367" s="29">
        <v>12358.628631393</v>
      </c>
      <c r="AH367" s="29">
        <v>-932.13384171811197</v>
      </c>
      <c r="AI367" s="29">
        <v>1432.3894555801</v>
      </c>
      <c r="AJ367" s="29">
        <v>5511.3329256247598</v>
      </c>
      <c r="AK367" s="29">
        <v>3091.6730227049302</v>
      </c>
      <c r="AL367" s="29"/>
      <c r="AM367" s="29"/>
      <c r="AN367" s="29"/>
      <c r="AO367" s="29"/>
      <c r="AP367" s="29"/>
      <c r="AQ367" s="29"/>
    </row>
    <row r="368" spans="1:43" ht="10.199999999999999" x14ac:dyDescent="0.2">
      <c r="A368" s="27" t="s">
        <v>668</v>
      </c>
      <c r="B368" s="29">
        <v>92349.8753</v>
      </c>
      <c r="C368" s="29">
        <v>44774.2490799999</v>
      </c>
      <c r="D368" s="29">
        <v>43455.191359999997</v>
      </c>
      <c r="E368" s="29">
        <v>16913.171939999898</v>
      </c>
      <c r="F368" s="29">
        <v>47414.190459999998</v>
      </c>
      <c r="G368" s="29">
        <v>52478.795279999998</v>
      </c>
      <c r="H368" s="29">
        <v>49685.910500387603</v>
      </c>
      <c r="I368" s="29">
        <v>51037.250816179599</v>
      </c>
      <c r="J368" s="29">
        <v>36377.412239592297</v>
      </c>
      <c r="K368" s="29">
        <v>12454.4692494022</v>
      </c>
      <c r="L368" s="29">
        <v>36816.091306702197</v>
      </c>
      <c r="M368" s="29">
        <v>56501.245385512702</v>
      </c>
      <c r="N368" s="29">
        <v>70656.727628623703</v>
      </c>
      <c r="O368" s="29">
        <v>49537.084915735002</v>
      </c>
      <c r="P368" s="29">
        <v>36534.585834712001</v>
      </c>
      <c r="Q368" s="29">
        <v>15527.4503905494</v>
      </c>
      <c r="R368" s="29">
        <v>26584.736897149902</v>
      </c>
      <c r="S368" s="29">
        <v>37595.352109215099</v>
      </c>
      <c r="T368" s="29">
        <v>47697.896457573202</v>
      </c>
      <c r="U368" s="29">
        <v>51109.926941048303</v>
      </c>
      <c r="V368" s="29">
        <v>27329.843729519202</v>
      </c>
      <c r="W368" s="29">
        <v>9650.2285008339604</v>
      </c>
      <c r="X368" s="29">
        <v>29050.080971242201</v>
      </c>
      <c r="Y368" s="29">
        <v>52843.619683899997</v>
      </c>
      <c r="Z368" s="29">
        <v>70001.609729034302</v>
      </c>
      <c r="AA368" s="29">
        <v>50944.231934463598</v>
      </c>
      <c r="AB368" s="29">
        <v>32312.450249614099</v>
      </c>
      <c r="AC368" s="29">
        <v>9880.1425738678208</v>
      </c>
      <c r="AD368" s="29">
        <v>24804.360113764102</v>
      </c>
      <c r="AE368" s="29">
        <v>30839.453581309801</v>
      </c>
      <c r="AF368" s="29">
        <v>43434.844270640497</v>
      </c>
      <c r="AG368" s="29">
        <v>50854.603542286597</v>
      </c>
      <c r="AH368" s="29">
        <v>29334.166650811199</v>
      </c>
      <c r="AI368" s="29">
        <v>7052.1558810490897</v>
      </c>
      <c r="AJ368" s="29">
        <v>23418.875624047701</v>
      </c>
      <c r="AK368" s="29">
        <v>45425.331357413597</v>
      </c>
      <c r="AL368" s="91"/>
      <c r="AM368" s="91"/>
      <c r="AN368" s="91"/>
      <c r="AO368" s="91"/>
      <c r="AP368" s="91"/>
      <c r="AQ368" s="91"/>
    </row>
    <row r="369" spans="1:43" ht="10.199999999999999" x14ac:dyDescent="0.2">
      <c r="A369" s="92" t="s">
        <v>669</v>
      </c>
      <c r="B369" s="91">
        <v>0.245353232167139</v>
      </c>
      <c r="C369" s="91">
        <v>0.241160001656855</v>
      </c>
      <c r="D369" s="91">
        <v>0.12319254340948201</v>
      </c>
      <c r="E369" s="91">
        <v>0.34253477006467797</v>
      </c>
      <c r="F369" s="91">
        <v>0.24132640711550901</v>
      </c>
      <c r="G369" s="91">
        <v>0.12900187913134001</v>
      </c>
      <c r="H369" s="91">
        <v>0.242130288170577</v>
      </c>
      <c r="I369" s="91">
        <v>0.24244228847357199</v>
      </c>
      <c r="J369" s="91">
        <v>0.110197287319849</v>
      </c>
      <c r="K369" s="91">
        <v>0.22095587324928201</v>
      </c>
      <c r="L369" s="91">
        <v>0.23969483822444901</v>
      </c>
      <c r="M369" s="91">
        <v>0.14567834738180299</v>
      </c>
      <c r="N369" s="91">
        <v>0.24456134498648399</v>
      </c>
      <c r="O369" s="91">
        <v>0.242284912280261</v>
      </c>
      <c r="P369" s="91">
        <v>5.1354187106138503E-2</v>
      </c>
      <c r="Q369" s="91">
        <v>8.8591355459030893E-2</v>
      </c>
      <c r="R369" s="91">
        <v>0.23691886359942599</v>
      </c>
      <c r="S369" s="91">
        <v>0.11390654936877399</v>
      </c>
      <c r="T369" s="91">
        <v>0.24252431337508901</v>
      </c>
      <c r="U369" s="91">
        <v>0.24295148395603999</v>
      </c>
      <c r="V369" s="91">
        <v>-1.5645338262752401E-2</v>
      </c>
      <c r="W369" s="91">
        <v>0.215077944106597</v>
      </c>
      <c r="X369" s="91">
        <v>0.23788955726909999</v>
      </c>
      <c r="Y369" s="91">
        <v>0.11254491019005</v>
      </c>
      <c r="Z369" s="91">
        <v>0.244908934459004</v>
      </c>
      <c r="AA369" s="91">
        <v>0.243010256064565</v>
      </c>
      <c r="AB369" s="91">
        <v>-5.9591622426647299E-3</v>
      </c>
      <c r="AC369" s="91">
        <v>-3.5641349141485701E-2</v>
      </c>
      <c r="AD369" s="91">
        <v>0.23619148362516201</v>
      </c>
      <c r="AE369" s="91">
        <v>6.2514973292094794E-2</v>
      </c>
      <c r="AF369" s="91">
        <v>0.24197192073020099</v>
      </c>
      <c r="AG369" s="91">
        <v>0.243018876769269</v>
      </c>
      <c r="AH369" s="91">
        <v>-3.1776387337471297E-2</v>
      </c>
      <c r="AI369" s="91">
        <v>0.20311369739135901</v>
      </c>
      <c r="AJ369" s="91">
        <v>0.235337213199314</v>
      </c>
      <c r="AK369" s="91">
        <v>6.8060549704726803E-2</v>
      </c>
      <c r="AL369" s="29"/>
      <c r="AM369" s="29"/>
      <c r="AN369" s="29"/>
      <c r="AO369" s="29"/>
      <c r="AP369" s="29"/>
      <c r="AQ369" s="29"/>
    </row>
    <row r="370" spans="1:43" ht="10.199999999999999" x14ac:dyDescent="0.2">
      <c r="A370" s="27" t="s">
        <v>670</v>
      </c>
      <c r="B370" s="29">
        <v>111035.229924231</v>
      </c>
      <c r="C370" s="29">
        <v>111035.229924231</v>
      </c>
      <c r="D370" s="29">
        <v>111035.229923607</v>
      </c>
      <c r="E370" s="29">
        <v>111035.229923607</v>
      </c>
      <c r="F370" s="29">
        <v>111035.229923607</v>
      </c>
      <c r="G370" s="29">
        <v>111035.229922919</v>
      </c>
      <c r="H370" s="29">
        <v>111035.22992292199</v>
      </c>
      <c r="I370" s="29">
        <v>111035.229922927</v>
      </c>
      <c r="J370" s="29">
        <v>111035.229922349</v>
      </c>
      <c r="K370" s="29">
        <v>111035.22992250499</v>
      </c>
      <c r="L370" s="29">
        <v>111035.22992267599</v>
      </c>
      <c r="M370" s="29">
        <v>111035.22991531101</v>
      </c>
      <c r="N370" s="29">
        <v>81605.667150579393</v>
      </c>
      <c r="O370" s="29">
        <v>81605.667150229405</v>
      </c>
      <c r="P370" s="29">
        <v>81605.6671491671</v>
      </c>
      <c r="Q370" s="29">
        <v>81605.6671448548</v>
      </c>
      <c r="R370" s="29">
        <v>81605.667140625606</v>
      </c>
      <c r="S370" s="29">
        <v>81605.667140893303</v>
      </c>
      <c r="T370" s="29">
        <v>81605.667137047596</v>
      </c>
      <c r="U370" s="29">
        <v>81605.667133112205</v>
      </c>
      <c r="V370" s="29">
        <v>81605.6671274658</v>
      </c>
      <c r="W370" s="29">
        <v>81605.667119471997</v>
      </c>
      <c r="X370" s="29">
        <v>81605.667111425006</v>
      </c>
      <c r="Y370" s="29">
        <v>81605.667105824003</v>
      </c>
      <c r="Z370" s="29">
        <v>68737.701636483893</v>
      </c>
      <c r="AA370" s="29">
        <v>68737.701628843395</v>
      </c>
      <c r="AB370" s="29">
        <v>68737.701935588106</v>
      </c>
      <c r="AC370" s="29">
        <v>68737.701934462195</v>
      </c>
      <c r="AD370" s="29">
        <v>68737.701968045105</v>
      </c>
      <c r="AE370" s="29">
        <v>68737.702338492294</v>
      </c>
      <c r="AF370" s="29">
        <v>68737.702389366503</v>
      </c>
      <c r="AG370" s="29">
        <v>68737.702440707595</v>
      </c>
      <c r="AH370" s="29">
        <v>68737.702615765898</v>
      </c>
      <c r="AI370" s="29">
        <v>68737.702686961595</v>
      </c>
      <c r="AJ370" s="29">
        <v>68737.7027466086</v>
      </c>
      <c r="AK370" s="29">
        <v>68737.702873011105</v>
      </c>
      <c r="AL370" s="29"/>
      <c r="AM370" s="29"/>
      <c r="AN370" s="29"/>
      <c r="AO370" s="29"/>
      <c r="AP370" s="29"/>
      <c r="AQ370" s="29"/>
    </row>
    <row r="371" spans="1:43" ht="10.199999999999999" x14ac:dyDescent="0.2">
      <c r="A371" s="27" t="s">
        <v>671</v>
      </c>
      <c r="B371" s="29">
        <v>540257.85294374602</v>
      </c>
      <c r="C371" s="29">
        <v>540257.85294374602</v>
      </c>
      <c r="D371" s="29">
        <v>540257.85294374602</v>
      </c>
      <c r="E371" s="29">
        <v>540257.85294374602</v>
      </c>
      <c r="F371" s="29">
        <v>540257.85294374602</v>
      </c>
      <c r="G371" s="29">
        <v>540257.85294374602</v>
      </c>
      <c r="H371" s="29">
        <v>540257.85294375999</v>
      </c>
      <c r="I371" s="29">
        <v>540257.85294377699</v>
      </c>
      <c r="J371" s="29">
        <v>540257.85294413602</v>
      </c>
      <c r="K371" s="29">
        <v>540257.85294476105</v>
      </c>
      <c r="L371" s="29">
        <v>540257.85294544999</v>
      </c>
      <c r="M371" s="29">
        <v>540257.85291777703</v>
      </c>
      <c r="N371" s="29">
        <v>454117.53424765699</v>
      </c>
      <c r="O371" s="29">
        <v>454117.53424625401</v>
      </c>
      <c r="P371" s="29">
        <v>454117.53423698898</v>
      </c>
      <c r="Q371" s="29">
        <v>454117.53421970498</v>
      </c>
      <c r="R371" s="29">
        <v>454117.53420275502</v>
      </c>
      <c r="S371" s="29">
        <v>454117.53420276003</v>
      </c>
      <c r="T371" s="29">
        <v>454117.53418734699</v>
      </c>
      <c r="U371" s="29">
        <v>454117.53417157399</v>
      </c>
      <c r="V371" s="29">
        <v>454117.53414788499</v>
      </c>
      <c r="W371" s="29">
        <v>454117.53411584499</v>
      </c>
      <c r="X371" s="29">
        <v>454117.534083593</v>
      </c>
      <c r="Y371" s="29">
        <v>454117.53406010201</v>
      </c>
      <c r="Z371" s="29">
        <v>418302.223613518</v>
      </c>
      <c r="AA371" s="29">
        <v>418302.22358289501</v>
      </c>
      <c r="AB371" s="29">
        <v>418302.22355287202</v>
      </c>
      <c r="AC371" s="29">
        <v>418302.223548359</v>
      </c>
      <c r="AD371" s="29">
        <v>418302.22368295997</v>
      </c>
      <c r="AE371" s="29">
        <v>418302.22385410301</v>
      </c>
      <c r="AF371" s="29">
        <v>418302.22405800701</v>
      </c>
      <c r="AG371" s="29">
        <v>418302.22426378302</v>
      </c>
      <c r="AH371" s="29">
        <v>418302.22455574502</v>
      </c>
      <c r="AI371" s="29">
        <v>418302.224841099</v>
      </c>
      <c r="AJ371" s="29">
        <v>418302.22508016502</v>
      </c>
      <c r="AK371" s="29">
        <v>418302.22550830198</v>
      </c>
      <c r="AL371" s="91"/>
      <c r="AM371" s="91"/>
      <c r="AN371" s="91"/>
      <c r="AO371" s="91"/>
      <c r="AP371" s="91"/>
      <c r="AQ371" s="91"/>
    </row>
    <row r="372" spans="1:43" ht="10.199999999999999" x14ac:dyDescent="0.2">
      <c r="A372" s="92" t="s">
        <v>672</v>
      </c>
      <c r="B372" s="91">
        <v>0.205522657966422</v>
      </c>
      <c r="C372" s="91">
        <v>0.205522657966422</v>
      </c>
      <c r="D372" s="91">
        <v>0.205522657965267</v>
      </c>
      <c r="E372" s="91">
        <v>0.205522657965267</v>
      </c>
      <c r="F372" s="91">
        <v>0.205522657965267</v>
      </c>
      <c r="G372" s="91">
        <v>0.20552265796399299</v>
      </c>
      <c r="H372" s="91">
        <v>0.20552265796399399</v>
      </c>
      <c r="I372" s="91">
        <v>0.20552265796399599</v>
      </c>
      <c r="J372" s="91">
        <v>0.20552265796279001</v>
      </c>
      <c r="K372" s="91">
        <v>0.20552265796284</v>
      </c>
      <c r="L372" s="91">
        <v>0.20552265796289701</v>
      </c>
      <c r="M372" s="91">
        <v>0.20552265795979099</v>
      </c>
      <c r="N372" s="91">
        <v>0.179701643288838</v>
      </c>
      <c r="O372" s="91">
        <v>0.17970164328862201</v>
      </c>
      <c r="P372" s="91">
        <v>0.179701643289949</v>
      </c>
      <c r="Q372" s="91">
        <v>0.17970164328729299</v>
      </c>
      <c r="R372" s="91">
        <v>0.17970164328468799</v>
      </c>
      <c r="S372" s="91">
        <v>0.17970164328527499</v>
      </c>
      <c r="T372" s="91">
        <v>0.179701643282906</v>
      </c>
      <c r="U372" s="91">
        <v>0.17970164328048099</v>
      </c>
      <c r="V372" s="91">
        <v>0.179701643277422</v>
      </c>
      <c r="W372" s="91">
        <v>0.17970164327249699</v>
      </c>
      <c r="X372" s="91">
        <v>0.17970164326754001</v>
      </c>
      <c r="Y372" s="91">
        <v>0.179701643264502</v>
      </c>
      <c r="Z372" s="91">
        <v>0.16432545120771899</v>
      </c>
      <c r="AA372" s="91">
        <v>0.16432545120148401</v>
      </c>
      <c r="AB372" s="91">
        <v>0.16432545194658699</v>
      </c>
      <c r="AC372" s="91">
        <v>0.164325451945668</v>
      </c>
      <c r="AD372" s="91">
        <v>0.16432545197307499</v>
      </c>
      <c r="AE372" s="91">
        <v>0.16432545279144101</v>
      </c>
      <c r="AF372" s="91">
        <v>0.16432545283295999</v>
      </c>
      <c r="AG372" s="91">
        <v>0.16432545287486</v>
      </c>
      <c r="AH372" s="91">
        <v>0.16432545317866301</v>
      </c>
      <c r="AI372" s="91">
        <v>0.16432545323676601</v>
      </c>
      <c r="AJ372" s="91">
        <v>0.16432545328544501</v>
      </c>
      <c r="AK372" s="91">
        <v>0.164325453419436</v>
      </c>
      <c r="AL372" s="29"/>
      <c r="AM372" s="29"/>
      <c r="AN372" s="29"/>
      <c r="AO372" s="29"/>
      <c r="AP372" s="29"/>
      <c r="AQ372" s="29"/>
    </row>
    <row r="373" spans="1:43" ht="10.199999999999999" x14ac:dyDescent="0.2">
      <c r="A373" s="27" t="s">
        <v>673</v>
      </c>
      <c r="B373" s="29">
        <v>18979.9918345236</v>
      </c>
      <c r="C373" s="29">
        <v>9202.1226793722199</v>
      </c>
      <c r="D373" s="29">
        <v>8931.0264306965291</v>
      </c>
      <c r="E373" s="29">
        <v>3476.0400517323701</v>
      </c>
      <c r="F373" s="29">
        <v>9744.6904486106305</v>
      </c>
      <c r="G373" s="29">
        <v>10785.5814926939</v>
      </c>
      <c r="H373" s="29">
        <v>10211.5803894008</v>
      </c>
      <c r="I373" s="29">
        <v>10489.3114429163</v>
      </c>
      <c r="J373" s="29">
        <v>7476.3824532891404</v>
      </c>
      <c r="K373" s="29">
        <v>2559.6756236536098</v>
      </c>
      <c r="L373" s="29">
        <v>7566.5409411581504</v>
      </c>
      <c r="M373" s="29">
        <v>11612.286129668901</v>
      </c>
      <c r="N373" s="29">
        <v>12697.1300642755</v>
      </c>
      <c r="O373" s="29">
        <v>8901.8955630856399</v>
      </c>
      <c r="P373" s="29">
        <v>6565.32511141547</v>
      </c>
      <c r="Q373" s="29">
        <v>2790.3083512436601</v>
      </c>
      <c r="R373" s="29">
        <v>4777.3209067089301</v>
      </c>
      <c r="S373" s="29">
        <v>6755.9465539144903</v>
      </c>
      <c r="T373" s="29">
        <v>8571.3903745638199</v>
      </c>
      <c r="U373" s="29">
        <v>9184.53785925175</v>
      </c>
      <c r="V373" s="29">
        <v>4911.2178287097704</v>
      </c>
      <c r="W373" s="29">
        <v>1734.1619195549499</v>
      </c>
      <c r="X373" s="29">
        <v>5220.3472875873404</v>
      </c>
      <c r="Y373" s="29">
        <v>9496.0852932412399</v>
      </c>
      <c r="Z373" s="29">
        <v>11503.0461039902</v>
      </c>
      <c r="AA373" s="29">
        <v>8371.4338987438005</v>
      </c>
      <c r="AB373" s="29">
        <v>5309.7579907694499</v>
      </c>
      <c r="AC373" s="29">
        <v>1623.55889373847</v>
      </c>
      <c r="AD373" s="29">
        <v>4075.9876865972301</v>
      </c>
      <c r="AE373" s="29">
        <v>5067.7071735893796</v>
      </c>
      <c r="AF373" s="29">
        <v>7137.4504535021197</v>
      </c>
      <c r="AG373" s="29">
        <v>8356.7057578577296</v>
      </c>
      <c r="AH373" s="29">
        <v>4820.3502285129898</v>
      </c>
      <c r="AI373" s="29">
        <v>1158.84871144972</v>
      </c>
      <c r="AJ373" s="29">
        <v>3848.3173523571099</v>
      </c>
      <c r="AK373" s="29">
        <v>7464.5381720351297</v>
      </c>
      <c r="AL373" s="29"/>
      <c r="AM373" s="29"/>
      <c r="AN373" s="29"/>
      <c r="AO373" s="29"/>
      <c r="AP373" s="29"/>
      <c r="AQ373" s="29"/>
    </row>
    <row r="374" spans="1:43" ht="14.4" x14ac:dyDescent="0.3">
      <c r="A374" s="27" t="s">
        <v>674</v>
      </c>
      <c r="B374" s="29">
        <v>-3678.3485605636502</v>
      </c>
      <c r="C374" s="29">
        <v>-1595.6353029450399</v>
      </c>
      <c r="D374" s="29">
        <v>3577.6708827123598</v>
      </c>
      <c r="E374" s="29">
        <v>-2317.3094097998901</v>
      </c>
      <c r="F374" s="29">
        <v>-1697.60578139163</v>
      </c>
      <c r="G374" s="29">
        <v>4015.7182870249999</v>
      </c>
      <c r="H374" s="29">
        <v>-1818.88343807557</v>
      </c>
      <c r="I374" s="29">
        <v>-1884.2764423578999</v>
      </c>
      <c r="J374" s="29">
        <v>3467.6903047701699</v>
      </c>
      <c r="K374" s="29">
        <v>-192.21250520439199</v>
      </c>
      <c r="L374" s="29">
        <v>-1258.08610865839</v>
      </c>
      <c r="M374" s="29">
        <v>3381.27807689375</v>
      </c>
      <c r="N374" s="29">
        <v>-4582.7742769243396</v>
      </c>
      <c r="O374" s="29">
        <v>-3100.1927103430899</v>
      </c>
      <c r="P374" s="29">
        <v>4689.1211546143904</v>
      </c>
      <c r="Q374" s="29">
        <v>1414.71047432202</v>
      </c>
      <c r="R374" s="29">
        <v>-1521.1047480535899</v>
      </c>
      <c r="S374" s="29">
        <v>2473.5897228497402</v>
      </c>
      <c r="T374" s="29">
        <v>-2996.5092132452401</v>
      </c>
      <c r="U374" s="29">
        <v>-3232.6947359607202</v>
      </c>
      <c r="V374" s="29">
        <v>5338.8024785262596</v>
      </c>
      <c r="W374" s="29">
        <v>-341.38938656330799</v>
      </c>
      <c r="X374" s="29">
        <v>-1690.3636132929901</v>
      </c>
      <c r="Y374" s="29">
        <v>3548.80486179951</v>
      </c>
      <c r="Z374" s="29">
        <v>-5640.9735451626302</v>
      </c>
      <c r="AA374" s="29">
        <v>-4008.5369486628201</v>
      </c>
      <c r="AB374" s="29">
        <v>5502.3131242649397</v>
      </c>
      <c r="AC374" s="29">
        <v>1975.70050478135</v>
      </c>
      <c r="AD374" s="29">
        <v>-1782.59092904554</v>
      </c>
      <c r="AE374" s="29">
        <v>3139.7795566109899</v>
      </c>
      <c r="AF374" s="29">
        <v>-3372.5622412819598</v>
      </c>
      <c r="AG374" s="29">
        <v>-4001.9228735352999</v>
      </c>
      <c r="AH374" s="29">
        <v>5752.4840702311003</v>
      </c>
      <c r="AI374" s="29">
        <v>-273.54074413037699</v>
      </c>
      <c r="AJ374" s="29">
        <v>-1663.0155732676401</v>
      </c>
      <c r="AK374" s="29">
        <v>4372.8651493301904</v>
      </c>
      <c r="AL374" s="29"/>
      <c r="AM374" s="29"/>
      <c r="AN374" s="29"/>
      <c r="AO374" s="29"/>
      <c r="AP374" s="29"/>
      <c r="AQ374" s="3"/>
    </row>
    <row r="375" spans="1:43" ht="14.4" x14ac:dyDescent="0.3">
      <c r="A375" s="27" t="s">
        <v>675</v>
      </c>
      <c r="B375" s="29">
        <v>0</v>
      </c>
      <c r="C375" s="29">
        <v>0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/>
      <c r="AM375" s="29"/>
      <c r="AN375" s="29"/>
      <c r="AO375" s="29"/>
      <c r="AP375" s="29"/>
      <c r="AQ375" s="3"/>
    </row>
    <row r="376" spans="1:43" ht="14.4" x14ac:dyDescent="0.3">
      <c r="A376" s="27" t="s">
        <v>676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0</v>
      </c>
      <c r="AL376" s="29"/>
      <c r="AM376" s="29"/>
      <c r="AN376" s="29"/>
      <c r="AO376" s="29"/>
      <c r="AP376" s="29"/>
      <c r="AQ376" s="3"/>
    </row>
    <row r="377" spans="1:43" ht="14.4" x14ac:dyDescent="0.3">
      <c r="A377" s="27" t="s">
        <v>677</v>
      </c>
      <c r="B377" s="29">
        <v>0</v>
      </c>
      <c r="C377" s="29">
        <v>0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/>
      <c r="AM377" s="29"/>
      <c r="AN377" s="29"/>
      <c r="AO377" s="29"/>
      <c r="AP377" s="29"/>
      <c r="AQ377" s="3"/>
    </row>
    <row r="378" spans="1:43" ht="14.4" x14ac:dyDescent="0.3">
      <c r="A378" s="27" t="s">
        <v>678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/>
      <c r="AM378" s="29"/>
      <c r="AN378" s="29"/>
      <c r="AO378" s="29"/>
      <c r="AP378" s="29"/>
      <c r="AQ378" s="3"/>
    </row>
    <row r="379" spans="1:43" ht="14.4" x14ac:dyDescent="0.3">
      <c r="A379" s="27" t="s">
        <v>679</v>
      </c>
      <c r="B379" s="29">
        <v>0</v>
      </c>
      <c r="C379" s="29">
        <v>0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/>
      <c r="AM379" s="29"/>
      <c r="AN379" s="29"/>
      <c r="AO379" s="29"/>
      <c r="AP379" s="29"/>
      <c r="AQ379" s="3"/>
    </row>
    <row r="380" spans="1:43" ht="14.4" x14ac:dyDescent="0.3">
      <c r="A380" s="27" t="s">
        <v>680</v>
      </c>
      <c r="B380" s="29">
        <v>0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/>
      <c r="AM380" s="29"/>
      <c r="AN380" s="29"/>
      <c r="AO380" s="29"/>
      <c r="AP380" s="29"/>
      <c r="AQ380" s="3"/>
    </row>
    <row r="381" spans="1:43" ht="14.4" x14ac:dyDescent="0.3">
      <c r="A381" s="27" t="s">
        <v>681</v>
      </c>
      <c r="B381" s="29">
        <v>0</v>
      </c>
      <c r="C381" s="29">
        <v>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0</v>
      </c>
      <c r="AL381" s="29"/>
      <c r="AM381" s="29"/>
      <c r="AN381" s="29"/>
      <c r="AO381" s="29"/>
      <c r="AP381" s="29"/>
      <c r="AQ381" s="3"/>
    </row>
    <row r="382" spans="1:43" ht="14.4" x14ac:dyDescent="0.3">
      <c r="A382" s="27" t="s">
        <v>682</v>
      </c>
      <c r="B382" s="29">
        <v>0</v>
      </c>
      <c r="C382" s="29">
        <v>0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3"/>
      <c r="AM382" s="3"/>
      <c r="AN382" s="3"/>
      <c r="AO382" s="3"/>
      <c r="AP382" s="3"/>
      <c r="AQ382" s="3"/>
    </row>
    <row r="383" spans="1:43" ht="14.4" x14ac:dyDescent="0.3">
      <c r="A383" s="27" t="s">
        <v>683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29"/>
      <c r="AM383" s="29"/>
      <c r="AN383" s="29"/>
      <c r="AO383" s="29"/>
      <c r="AP383" s="29"/>
      <c r="AQ383" s="3"/>
    </row>
    <row r="384" spans="1:43" ht="14.4" x14ac:dyDescent="0.3">
      <c r="A384" s="27" t="s">
        <v>684</v>
      </c>
      <c r="B384" s="29">
        <v>202004</v>
      </c>
      <c r="C384" s="29">
        <v>202004</v>
      </c>
      <c r="D384" s="29">
        <v>202004</v>
      </c>
      <c r="E384" s="29">
        <v>202004</v>
      </c>
      <c r="F384" s="29">
        <v>202004</v>
      </c>
      <c r="G384" s="29">
        <v>202004</v>
      </c>
      <c r="H384" s="29">
        <v>202004</v>
      </c>
      <c r="I384" s="29">
        <v>202004</v>
      </c>
      <c r="J384" s="29">
        <v>202004</v>
      </c>
      <c r="K384" s="29">
        <v>202004</v>
      </c>
      <c r="L384" s="29">
        <v>202004</v>
      </c>
      <c r="M384" s="29">
        <v>202004</v>
      </c>
      <c r="N384" s="29">
        <v>202004</v>
      </c>
      <c r="O384" s="29">
        <v>202004</v>
      </c>
      <c r="P384" s="29">
        <v>202004</v>
      </c>
      <c r="Q384" s="29">
        <v>202004</v>
      </c>
      <c r="R384" s="29">
        <v>202004</v>
      </c>
      <c r="S384" s="29">
        <v>202004</v>
      </c>
      <c r="T384" s="29">
        <v>202004</v>
      </c>
      <c r="U384" s="29">
        <v>202004</v>
      </c>
      <c r="V384" s="29">
        <v>202004</v>
      </c>
      <c r="W384" s="29">
        <v>202004</v>
      </c>
      <c r="X384" s="29">
        <v>202004</v>
      </c>
      <c r="Y384" s="29">
        <v>202004</v>
      </c>
      <c r="Z384" s="29">
        <v>202004</v>
      </c>
      <c r="AA384" s="29">
        <v>202004</v>
      </c>
      <c r="AB384" s="29">
        <v>202004</v>
      </c>
      <c r="AC384" s="29">
        <v>202004</v>
      </c>
      <c r="AD384" s="29">
        <v>202004</v>
      </c>
      <c r="AE384" s="29">
        <v>202004</v>
      </c>
      <c r="AF384" s="29">
        <v>202004</v>
      </c>
      <c r="AG384" s="29">
        <v>202004</v>
      </c>
      <c r="AH384" s="29">
        <v>202004</v>
      </c>
      <c r="AI384" s="29">
        <v>202004</v>
      </c>
      <c r="AJ384" s="29">
        <v>202004</v>
      </c>
      <c r="AK384" s="29">
        <v>202004</v>
      </c>
      <c r="AL384" s="29"/>
      <c r="AM384" s="29"/>
      <c r="AN384" s="29"/>
      <c r="AO384" s="29"/>
      <c r="AP384" s="29"/>
      <c r="AQ384" s="3"/>
    </row>
    <row r="385" spans="1:42" ht="10.199999999999999" x14ac:dyDescent="0.2">
      <c r="A385" s="27" t="s">
        <v>685</v>
      </c>
      <c r="B385" s="29">
        <v>202005</v>
      </c>
      <c r="C385" s="29">
        <v>202005</v>
      </c>
      <c r="D385" s="29">
        <v>202005</v>
      </c>
      <c r="E385" s="29">
        <v>202005</v>
      </c>
      <c r="F385" s="29">
        <v>202005</v>
      </c>
      <c r="G385" s="29">
        <v>202005</v>
      </c>
      <c r="H385" s="29">
        <v>202005</v>
      </c>
      <c r="I385" s="29">
        <v>202005</v>
      </c>
      <c r="J385" s="29">
        <v>202005</v>
      </c>
      <c r="K385" s="29">
        <v>202005</v>
      </c>
      <c r="L385" s="29">
        <v>202005</v>
      </c>
      <c r="M385" s="29">
        <v>202005</v>
      </c>
      <c r="N385" s="29">
        <v>202005</v>
      </c>
      <c r="O385" s="29">
        <v>202005</v>
      </c>
      <c r="P385" s="29">
        <v>202005</v>
      </c>
      <c r="Q385" s="29">
        <v>202005</v>
      </c>
      <c r="R385" s="29">
        <v>202005</v>
      </c>
      <c r="S385" s="29">
        <v>202005</v>
      </c>
      <c r="T385" s="29">
        <v>202005</v>
      </c>
      <c r="U385" s="29">
        <v>202005</v>
      </c>
      <c r="V385" s="29">
        <v>202005</v>
      </c>
      <c r="W385" s="29">
        <v>202005</v>
      </c>
      <c r="X385" s="29">
        <v>202005</v>
      </c>
      <c r="Y385" s="29">
        <v>202005</v>
      </c>
      <c r="Z385" s="29">
        <v>202005</v>
      </c>
      <c r="AA385" s="29">
        <v>202005</v>
      </c>
      <c r="AB385" s="29">
        <v>202005</v>
      </c>
      <c r="AC385" s="29">
        <v>202005</v>
      </c>
      <c r="AD385" s="29">
        <v>202005</v>
      </c>
      <c r="AE385" s="29">
        <v>202005</v>
      </c>
      <c r="AF385" s="29">
        <v>202005</v>
      </c>
      <c r="AG385" s="29">
        <v>202005</v>
      </c>
      <c r="AH385" s="29">
        <v>202005</v>
      </c>
      <c r="AI385" s="29">
        <v>202005</v>
      </c>
      <c r="AJ385" s="29">
        <v>202005</v>
      </c>
      <c r="AK385" s="29">
        <v>202005</v>
      </c>
      <c r="AL385" s="29"/>
      <c r="AM385" s="29"/>
      <c r="AN385" s="29"/>
      <c r="AO385" s="29"/>
      <c r="AP385" s="29"/>
    </row>
    <row r="386" spans="1:42" ht="10.199999999999999" x14ac:dyDescent="0.2">
      <c r="A386" s="27" t="s">
        <v>495</v>
      </c>
      <c r="B386" s="29">
        <v>0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1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/>
      <c r="AM386" s="29"/>
      <c r="AN386" s="29"/>
      <c r="AO386" s="29"/>
      <c r="AP386" s="29"/>
    </row>
    <row r="387" spans="1:42" ht="10.199999999999999" x14ac:dyDescent="0.2">
      <c r="A387" s="27" t="s">
        <v>686</v>
      </c>
      <c r="B387" s="29">
        <v>0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0</v>
      </c>
      <c r="AA387" s="29">
        <v>0</v>
      </c>
      <c r="AB387" s="29">
        <v>0</v>
      </c>
      <c r="AC387" s="29">
        <v>1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/>
      <c r="AM387" s="29"/>
      <c r="AN387" s="29"/>
      <c r="AO387" s="29"/>
      <c r="AP387" s="29"/>
    </row>
    <row r="388" spans="1:42" ht="10.199999999999999" x14ac:dyDescent="0.2">
      <c r="A388" s="27" t="s">
        <v>687</v>
      </c>
      <c r="B388" s="29">
        <v>0</v>
      </c>
      <c r="C388" s="29">
        <v>0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0</v>
      </c>
      <c r="AB388" s="29">
        <v>0</v>
      </c>
      <c r="AC388" s="29">
        <v>311.58058306786302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/>
      <c r="AM388" s="29"/>
      <c r="AN388" s="29"/>
      <c r="AO388" s="29"/>
      <c r="AP388" s="29"/>
    </row>
    <row r="389" spans="1:42" ht="10.199999999999999" x14ac:dyDescent="0.2">
      <c r="A389" s="27" t="s">
        <v>496</v>
      </c>
      <c r="B389" s="29">
        <v>0</v>
      </c>
      <c r="C389" s="29">
        <v>0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/>
      <c r="AM389" s="29"/>
      <c r="AN389" s="29"/>
      <c r="AO389" s="29"/>
      <c r="AP389" s="29"/>
    </row>
    <row r="390" spans="1:42" ht="10.199999999999999" x14ac:dyDescent="0.2">
      <c r="A390" s="27" t="s">
        <v>688</v>
      </c>
      <c r="B390" s="29">
        <v>0</v>
      </c>
      <c r="C390" s="29">
        <v>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/>
      <c r="AM390" s="29"/>
      <c r="AN390" s="29"/>
      <c r="AO390" s="29"/>
      <c r="AP390" s="29"/>
    </row>
    <row r="391" spans="1:42" ht="10.199999999999999" x14ac:dyDescent="0.2">
      <c r="A391" s="27" t="s">
        <v>689</v>
      </c>
      <c r="B391" s="29">
        <v>0</v>
      </c>
      <c r="C391" s="29">
        <v>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0</v>
      </c>
      <c r="Z391" s="29">
        <v>0</v>
      </c>
      <c r="AA391" s="29">
        <v>0</v>
      </c>
      <c r="AB391" s="29">
        <v>0</v>
      </c>
      <c r="AC391" s="29">
        <v>0</v>
      </c>
      <c r="AD391" s="29">
        <v>1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0</v>
      </c>
      <c r="AL391" s="29"/>
      <c r="AM391" s="29"/>
      <c r="AN391" s="29"/>
      <c r="AO391" s="29"/>
      <c r="AP391" s="29"/>
    </row>
    <row r="392" spans="1:42" ht="10.199999999999999" x14ac:dyDescent="0.2">
      <c r="A392" s="27" t="s">
        <v>690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-311.58058306786302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/>
      <c r="AM392" s="29"/>
      <c r="AN392" s="29"/>
      <c r="AO392" s="29"/>
      <c r="AP392" s="29"/>
    </row>
    <row r="393" spans="1:42" ht="10.199999999999999" x14ac:dyDescent="0.2">
      <c r="A393" s="27" t="s">
        <v>691</v>
      </c>
      <c r="B393" s="29">
        <v>0</v>
      </c>
      <c r="C393" s="29">
        <v>0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/>
      <c r="AM393" s="29"/>
      <c r="AN393" s="29"/>
      <c r="AO393" s="29"/>
      <c r="AP393" s="29"/>
    </row>
    <row r="394" spans="1:42" ht="10.199999999999999" x14ac:dyDescent="0.2">
      <c r="A394" s="27" t="s">
        <v>692</v>
      </c>
      <c r="B394" s="29">
        <v>0</v>
      </c>
      <c r="C394" s="29">
        <v>0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311.58058306786302</v>
      </c>
      <c r="AD394" s="29">
        <v>-311.58058306786302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/>
      <c r="AM394" s="29"/>
      <c r="AN394" s="29"/>
      <c r="AO394" s="29"/>
      <c r="AP394" s="29"/>
    </row>
    <row r="395" spans="1:42" ht="10.199999999999999" x14ac:dyDescent="0.2">
      <c r="A395" s="27" t="s">
        <v>325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0</v>
      </c>
      <c r="AI395" s="29">
        <v>0</v>
      </c>
      <c r="AJ395" s="29">
        <v>0</v>
      </c>
      <c r="AK395" s="29">
        <v>0</v>
      </c>
      <c r="AL395" s="29"/>
      <c r="AM395" s="29"/>
      <c r="AN395" s="29"/>
      <c r="AO395" s="29"/>
      <c r="AP395" s="29"/>
    </row>
    <row r="396" spans="1:42" ht="14.4" x14ac:dyDescent="0.3">
      <c r="A396" s="27" t="s">
        <v>497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1:42" ht="14.4" x14ac:dyDescent="0.3">
      <c r="A397" s="27" t="s">
        <v>498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1:42" ht="14.4" x14ac:dyDescent="0.3">
      <c r="A398" s="27" t="s">
        <v>499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1:42" ht="14.4" x14ac:dyDescent="0.3">
      <c r="A399" s="27" t="s">
        <v>500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1:42" ht="14.4" x14ac:dyDescent="0.3">
      <c r="A400" s="27" t="s">
        <v>501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1:43" ht="14.4" x14ac:dyDescent="0.3">
      <c r="A401" s="27" t="s">
        <v>502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43" ht="14.4" x14ac:dyDescent="0.3">
      <c r="A402" s="27" t="s">
        <v>503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43" ht="14.4" x14ac:dyDescent="0.3">
      <c r="A403" s="27" t="s">
        <v>504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43" ht="14.4" x14ac:dyDescent="0.3">
      <c r="A404" s="27" t="s">
        <v>505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43" ht="14.4" x14ac:dyDescent="0.3">
      <c r="A405" s="27" t="s">
        <v>506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43" ht="14.4" x14ac:dyDescent="0.3">
      <c r="A406" s="27" t="s">
        <v>507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43" ht="14.4" x14ac:dyDescent="0.3">
      <c r="A407" s="87" t="s">
        <v>508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43" ht="10.199999999999999" x14ac:dyDescent="0.2">
      <c r="A408" s="27" t="s">
        <v>509</v>
      </c>
      <c r="B408" s="29">
        <v>8403.1094100800001</v>
      </c>
      <c r="C408" s="29">
        <v>5332.1734374649895</v>
      </c>
      <c r="D408" s="29">
        <v>-3612.6187832114902</v>
      </c>
      <c r="E408" s="29">
        <v>2033.03933797999</v>
      </c>
      <c r="F408" s="29">
        <v>4799.38435046</v>
      </c>
      <c r="G408" s="29">
        <v>-2909.26095142649</v>
      </c>
      <c r="H408" s="29">
        <v>5465.5605701096702</v>
      </c>
      <c r="I408" s="29">
        <v>5442.4627392521597</v>
      </c>
      <c r="J408" s="29">
        <v>-21762.041082498999</v>
      </c>
      <c r="K408" s="29">
        <v>1754.1293105480299</v>
      </c>
      <c r="L408" s="29">
        <v>3681.9403296861501</v>
      </c>
      <c r="M408" s="29">
        <v>-8627.8786684451807</v>
      </c>
      <c r="N408" s="29">
        <v>6626.9559611822096</v>
      </c>
      <c r="O408" s="29">
        <v>5635.0980353192299</v>
      </c>
      <c r="P408" s="29">
        <v>-8588.9567228268297</v>
      </c>
      <c r="Q408" s="29">
        <v>1754.4118754445101</v>
      </c>
      <c r="R408" s="29">
        <v>3256.6407687726701</v>
      </c>
      <c r="S408" s="29">
        <v>-8303.5507113511903</v>
      </c>
      <c r="T408" s="29">
        <v>5211.63087232217</v>
      </c>
      <c r="U408" s="29">
        <v>5458.3416048761401</v>
      </c>
      <c r="V408" s="29">
        <v>-9691.4008357708608</v>
      </c>
      <c r="W408" s="29">
        <v>1872.84969522597</v>
      </c>
      <c r="X408" s="29">
        <v>3560.0596844632701</v>
      </c>
      <c r="Y408" s="29">
        <v>-6792.0802277533203</v>
      </c>
      <c r="Z408" s="29">
        <v>7207.7894274861601</v>
      </c>
      <c r="AA408" s="29">
        <v>6236.0551517220101</v>
      </c>
      <c r="AB408" s="29">
        <v>450.52445526737603</v>
      </c>
      <c r="AC408" s="29">
        <v>1975.37289684849</v>
      </c>
      <c r="AD408" s="29">
        <v>3242.2131089586401</v>
      </c>
      <c r="AE408" s="29">
        <v>49.941409038631903</v>
      </c>
      <c r="AF408" s="29">
        <v>5111.0147184116804</v>
      </c>
      <c r="AG408" s="29">
        <v>5865.2154804893398</v>
      </c>
      <c r="AH408" s="29">
        <v>-209.25385064041799</v>
      </c>
      <c r="AI408" s="29">
        <v>1670.3759482038099</v>
      </c>
      <c r="AJ408" s="29">
        <v>3277.7158249397899</v>
      </c>
      <c r="AK408" s="29">
        <v>1425.4217618047201</v>
      </c>
      <c r="AL408" s="29"/>
      <c r="AM408" s="29"/>
      <c r="AN408" s="29"/>
      <c r="AO408" s="29"/>
      <c r="AP408" s="29"/>
      <c r="AQ408" s="29"/>
    </row>
    <row r="409" spans="1:43" ht="14.4" x14ac:dyDescent="0.3">
      <c r="A409" s="27" t="s">
        <v>510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43" ht="14.4" x14ac:dyDescent="0.3">
      <c r="A410" s="27" t="s">
        <v>511</v>
      </c>
      <c r="B410" s="29">
        <v>0</v>
      </c>
      <c r="C410" s="29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/>
      <c r="AM410" s="29"/>
      <c r="AN410" s="29"/>
      <c r="AO410" s="29"/>
      <c r="AP410" s="29"/>
      <c r="AQ410" s="3"/>
    </row>
    <row r="411" spans="1:43" ht="14.4" x14ac:dyDescent="0.3">
      <c r="A411" s="27" t="s">
        <v>512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:43" ht="10.199999999999999" x14ac:dyDescent="0.2">
      <c r="A412" s="27" t="s">
        <v>513</v>
      </c>
      <c r="B412" s="29">
        <v>8403.1094100800001</v>
      </c>
      <c r="C412" s="29">
        <v>5332.1734374649895</v>
      </c>
      <c r="D412" s="29">
        <v>-3612.6187832114902</v>
      </c>
      <c r="E412" s="29">
        <v>2033.03933797999</v>
      </c>
      <c r="F412" s="29">
        <v>4799.38435046</v>
      </c>
      <c r="G412" s="29">
        <v>-2909.26095142649</v>
      </c>
      <c r="H412" s="29">
        <v>5465.5605701096702</v>
      </c>
      <c r="I412" s="29">
        <v>5442.4627392521597</v>
      </c>
      <c r="J412" s="29">
        <v>-21762.041082498999</v>
      </c>
      <c r="K412" s="29">
        <v>1754.1293105480299</v>
      </c>
      <c r="L412" s="29">
        <v>3681.9403296861501</v>
      </c>
      <c r="M412" s="29">
        <v>-8627.8786684451807</v>
      </c>
      <c r="N412" s="29">
        <v>6626.9559611822096</v>
      </c>
      <c r="O412" s="29">
        <v>5635.0980353192299</v>
      </c>
      <c r="P412" s="29">
        <v>-8588.9567228268297</v>
      </c>
      <c r="Q412" s="29">
        <v>1754.4118754445101</v>
      </c>
      <c r="R412" s="29">
        <v>3256.6407687726701</v>
      </c>
      <c r="S412" s="29">
        <v>-8303.5507113511903</v>
      </c>
      <c r="T412" s="29">
        <v>5211.63087232217</v>
      </c>
      <c r="U412" s="29">
        <v>5458.3416048761401</v>
      </c>
      <c r="V412" s="29">
        <v>-9691.4008357708608</v>
      </c>
      <c r="W412" s="29">
        <v>1872.84969522597</v>
      </c>
      <c r="X412" s="29">
        <v>3560.0596844632701</v>
      </c>
      <c r="Y412" s="29">
        <v>-6792.0802277533203</v>
      </c>
      <c r="Z412" s="29">
        <v>7207.7894274861601</v>
      </c>
      <c r="AA412" s="29">
        <v>6236.0551517220101</v>
      </c>
      <c r="AB412" s="29">
        <v>450.52445526737603</v>
      </c>
      <c r="AC412" s="29">
        <v>1975.37289684849</v>
      </c>
      <c r="AD412" s="29">
        <v>3242.2131089586401</v>
      </c>
      <c r="AE412" s="29">
        <v>49.941409038631903</v>
      </c>
      <c r="AF412" s="29">
        <v>5111.0147184116804</v>
      </c>
      <c r="AG412" s="29">
        <v>5865.2154804893398</v>
      </c>
      <c r="AH412" s="29">
        <v>-209.25385064041799</v>
      </c>
      <c r="AI412" s="29">
        <v>1670.3759482038099</v>
      </c>
      <c r="AJ412" s="29">
        <v>3277.7158249397899</v>
      </c>
      <c r="AK412" s="29">
        <v>1425.4217618047201</v>
      </c>
      <c r="AL412" s="29"/>
      <c r="AM412" s="29"/>
      <c r="AN412" s="29"/>
      <c r="AO412" s="29"/>
      <c r="AP412" s="29"/>
      <c r="AQ412" s="29"/>
    </row>
    <row r="413" spans="1:43" ht="10.199999999999999" x14ac:dyDescent="0.2">
      <c r="A413" s="27" t="s">
        <v>514</v>
      </c>
      <c r="B413" s="29">
        <v>8403.1094100800001</v>
      </c>
      <c r="C413" s="29">
        <v>13735.282847545001</v>
      </c>
      <c r="D413" s="29">
        <v>10122.664064333499</v>
      </c>
      <c r="E413" s="29">
        <v>12155.7034023135</v>
      </c>
      <c r="F413" s="29">
        <v>16955.087752773499</v>
      </c>
      <c r="G413" s="29">
        <v>14045.826801347001</v>
      </c>
      <c r="H413" s="29">
        <v>19511.387371456702</v>
      </c>
      <c r="I413" s="29">
        <v>24953.850110708801</v>
      </c>
      <c r="J413" s="29">
        <v>3191.8090282098601</v>
      </c>
      <c r="K413" s="29">
        <v>4945.9383387578901</v>
      </c>
      <c r="L413" s="29">
        <v>8627.8786684440493</v>
      </c>
      <c r="M413" s="29">
        <v>-1.1318661563564001E-9</v>
      </c>
      <c r="N413" s="29">
        <v>6626.9559611822096</v>
      </c>
      <c r="O413" s="29">
        <v>12262.0539965014</v>
      </c>
      <c r="P413" s="29">
        <v>3673.0972736746098</v>
      </c>
      <c r="Q413" s="29">
        <v>5427.5091491191297</v>
      </c>
      <c r="R413" s="29">
        <v>8684.1499178918002</v>
      </c>
      <c r="S413" s="29">
        <v>380.59920654060898</v>
      </c>
      <c r="T413" s="29">
        <v>5592.2300788627799</v>
      </c>
      <c r="U413" s="29">
        <v>11050.571683738901</v>
      </c>
      <c r="V413" s="29">
        <v>1359.1708479680599</v>
      </c>
      <c r="W413" s="29">
        <v>3232.0205431940399</v>
      </c>
      <c r="X413" s="29">
        <v>6792.0802276573204</v>
      </c>
      <c r="Y413" s="29">
        <v>-9.6001258498290501E-8</v>
      </c>
      <c r="Z413" s="29">
        <v>7207.7894274861601</v>
      </c>
      <c r="AA413" s="29">
        <v>13443.8445792081</v>
      </c>
      <c r="AB413" s="29">
        <v>13894.3690344755</v>
      </c>
      <c r="AC413" s="29">
        <v>15869.741931324001</v>
      </c>
      <c r="AD413" s="29">
        <v>19111.955040282599</v>
      </c>
      <c r="AE413" s="29">
        <v>19161.896449321299</v>
      </c>
      <c r="AF413" s="29">
        <v>24272.911167733</v>
      </c>
      <c r="AG413" s="29">
        <v>30138.1266482223</v>
      </c>
      <c r="AH413" s="29">
        <v>29928.872797581898</v>
      </c>
      <c r="AI413" s="29">
        <v>31599.248745785699</v>
      </c>
      <c r="AJ413" s="29">
        <v>34876.964570725497</v>
      </c>
      <c r="AK413" s="29">
        <v>36302.386332530201</v>
      </c>
      <c r="AL413" s="29"/>
      <c r="AM413" s="29"/>
      <c r="AN413" s="29"/>
      <c r="AO413" s="29"/>
      <c r="AP413" s="29"/>
      <c r="AQ413" s="29"/>
    </row>
    <row r="414" spans="1:43" ht="14.4" x14ac:dyDescent="0.3">
      <c r="A414" s="27" t="s">
        <v>515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:43" ht="14.4" x14ac:dyDescent="0.3">
      <c r="A415" s="27" t="s">
        <v>516</v>
      </c>
      <c r="B415" s="29">
        <v>0</v>
      </c>
      <c r="C415" s="29">
        <v>0</v>
      </c>
      <c r="D415" s="29">
        <v>0</v>
      </c>
      <c r="E415" s="29">
        <v>12</v>
      </c>
      <c r="F415" s="29">
        <v>0</v>
      </c>
      <c r="G415" s="29">
        <v>12</v>
      </c>
      <c r="H415" s="29">
        <v>0</v>
      </c>
      <c r="I415" s="29">
        <v>0</v>
      </c>
      <c r="J415" s="29">
        <v>12</v>
      </c>
      <c r="K415" s="29">
        <v>0</v>
      </c>
      <c r="L415" s="29">
        <v>0</v>
      </c>
      <c r="M415" s="29">
        <v>12</v>
      </c>
      <c r="N415" s="29">
        <v>0</v>
      </c>
      <c r="O415" s="29">
        <v>0</v>
      </c>
      <c r="P415" s="29">
        <v>0</v>
      </c>
      <c r="Q415" s="29">
        <v>12</v>
      </c>
      <c r="R415" s="29">
        <v>0</v>
      </c>
      <c r="S415" s="29">
        <v>12</v>
      </c>
      <c r="T415" s="29">
        <v>0</v>
      </c>
      <c r="U415" s="29">
        <v>0</v>
      </c>
      <c r="V415" s="29">
        <v>12</v>
      </c>
      <c r="W415" s="29">
        <v>0</v>
      </c>
      <c r="X415" s="29">
        <v>0</v>
      </c>
      <c r="Y415" s="29">
        <v>12</v>
      </c>
      <c r="Z415" s="29">
        <v>0</v>
      </c>
      <c r="AA415" s="29">
        <v>0</v>
      </c>
      <c r="AB415" s="29">
        <v>0</v>
      </c>
      <c r="AC415" s="29">
        <v>12</v>
      </c>
      <c r="AD415" s="29">
        <v>0</v>
      </c>
      <c r="AE415" s="29">
        <v>12</v>
      </c>
      <c r="AF415" s="29">
        <v>0</v>
      </c>
      <c r="AG415" s="29">
        <v>0</v>
      </c>
      <c r="AH415" s="29">
        <v>12</v>
      </c>
      <c r="AI415" s="29">
        <v>0</v>
      </c>
      <c r="AJ415" s="29">
        <v>0</v>
      </c>
      <c r="AK415" s="29">
        <v>12</v>
      </c>
      <c r="AL415" s="29"/>
      <c r="AM415" s="29"/>
      <c r="AN415" s="29"/>
      <c r="AO415" s="29"/>
      <c r="AP415" s="29"/>
      <c r="AQ415" s="3"/>
    </row>
    <row r="416" spans="1:43" ht="10.199999999999999" x14ac:dyDescent="0.2">
      <c r="A416" s="27" t="s">
        <v>517</v>
      </c>
      <c r="B416" s="29">
        <v>42047.899449999997</v>
      </c>
      <c r="C416" s="29">
        <v>68684.958759999994</v>
      </c>
      <c r="D416" s="29">
        <v>92443.537750000003</v>
      </c>
      <c r="E416" s="29">
        <v>102546.38869000001</v>
      </c>
      <c r="F416" s="29">
        <v>126533.34624</v>
      </c>
      <c r="G416" s="29">
        <v>153935.03831</v>
      </c>
      <c r="H416" s="29">
        <v>181237.07156117601</v>
      </c>
      <c r="I416" s="29">
        <v>208427.10621156299</v>
      </c>
      <c r="J416" s="29">
        <v>228257.01989915801</v>
      </c>
      <c r="K416" s="29">
        <v>236948.565688873</v>
      </c>
      <c r="L416" s="29">
        <v>255314.25260709901</v>
      </c>
      <c r="M416" s="29">
        <v>282984.25314501999</v>
      </c>
      <c r="N416" s="29">
        <v>33094.692033494801</v>
      </c>
      <c r="O416" s="29">
        <v>61254.754140358098</v>
      </c>
      <c r="P416" s="29">
        <v>81466.379380627899</v>
      </c>
      <c r="Q416" s="29">
        <v>90171.1015357383</v>
      </c>
      <c r="R416" s="29">
        <v>106405.833080964</v>
      </c>
      <c r="S416" s="29">
        <v>128050.071895004</v>
      </c>
      <c r="T416" s="29">
        <v>154081.03058083</v>
      </c>
      <c r="U416" s="29">
        <v>181352.13154261501</v>
      </c>
      <c r="V416" s="29">
        <v>196031.81812898599</v>
      </c>
      <c r="W416" s="29">
        <v>205326.418566209</v>
      </c>
      <c r="X416" s="29">
        <v>223087.18793193999</v>
      </c>
      <c r="Y416" s="29">
        <v>252282.44589671999</v>
      </c>
      <c r="Z416" s="29">
        <v>36005.315979880499</v>
      </c>
      <c r="AA416" s="29">
        <v>67176.937459690103</v>
      </c>
      <c r="AB416" s="29">
        <v>88623.852112579203</v>
      </c>
      <c r="AC416" s="29">
        <v>98435.348309814697</v>
      </c>
      <c r="AD416" s="29">
        <v>114599.319758229</v>
      </c>
      <c r="AE416" s="29">
        <v>134039.126342284</v>
      </c>
      <c r="AF416" s="29">
        <v>159564.87240449799</v>
      </c>
      <c r="AG416" s="29">
        <v>188875.78941446901</v>
      </c>
      <c r="AH416" s="29">
        <v>207009.643639196</v>
      </c>
      <c r="AI416" s="29">
        <v>215289.650076308</v>
      </c>
      <c r="AJ416" s="29">
        <v>231634.41400081801</v>
      </c>
      <c r="AK416" s="29">
        <v>257944.80894468399</v>
      </c>
      <c r="AL416" s="29"/>
      <c r="AM416" s="29"/>
      <c r="AN416" s="29"/>
      <c r="AO416" s="29"/>
      <c r="AP416" s="29"/>
      <c r="AQ416" s="29"/>
    </row>
    <row r="417" spans="1:43" ht="10.199999999999999" x14ac:dyDescent="0.2">
      <c r="A417" s="27" t="s">
        <v>518</v>
      </c>
      <c r="B417" s="29">
        <v>0</v>
      </c>
      <c r="C417" s="29">
        <v>0</v>
      </c>
      <c r="D417" s="29">
        <v>0</v>
      </c>
      <c r="E417" s="29">
        <v>282984.25314502598</v>
      </c>
      <c r="F417" s="29">
        <v>0</v>
      </c>
      <c r="G417" s="29">
        <v>282984.25314502598</v>
      </c>
      <c r="H417" s="29">
        <v>0</v>
      </c>
      <c r="I417" s="29">
        <v>0</v>
      </c>
      <c r="J417" s="29">
        <v>282984.25314502598</v>
      </c>
      <c r="K417" s="29">
        <v>0</v>
      </c>
      <c r="L417" s="29">
        <v>0</v>
      </c>
      <c r="M417" s="29">
        <v>282984.25314501999</v>
      </c>
      <c r="N417" s="29">
        <v>0</v>
      </c>
      <c r="O417" s="29">
        <v>0</v>
      </c>
      <c r="P417" s="29">
        <v>0</v>
      </c>
      <c r="Q417" s="29">
        <v>252282.44589671999</v>
      </c>
      <c r="R417" s="29">
        <v>0</v>
      </c>
      <c r="S417" s="29">
        <v>252282.44589671999</v>
      </c>
      <c r="T417" s="29">
        <v>0</v>
      </c>
      <c r="U417" s="29">
        <v>0</v>
      </c>
      <c r="V417" s="29">
        <v>252282.44589671999</v>
      </c>
      <c r="W417" s="29">
        <v>0</v>
      </c>
      <c r="X417" s="29">
        <v>0</v>
      </c>
      <c r="Y417" s="29">
        <v>252282.44589671999</v>
      </c>
      <c r="Z417" s="29">
        <v>0</v>
      </c>
      <c r="AA417" s="29">
        <v>0</v>
      </c>
      <c r="AB417" s="29">
        <v>0</v>
      </c>
      <c r="AC417" s="29">
        <v>257944.80894655699</v>
      </c>
      <c r="AD417" s="29">
        <v>0</v>
      </c>
      <c r="AE417" s="29">
        <v>257944.80894655699</v>
      </c>
      <c r="AF417" s="29">
        <v>0</v>
      </c>
      <c r="AG417" s="29">
        <v>0</v>
      </c>
      <c r="AH417" s="29">
        <v>257944.80894655699</v>
      </c>
      <c r="AI417" s="29">
        <v>0</v>
      </c>
      <c r="AJ417" s="29">
        <v>0</v>
      </c>
      <c r="AK417" s="29">
        <v>257944.80894468399</v>
      </c>
      <c r="AL417" s="29"/>
      <c r="AM417" s="29"/>
      <c r="AN417" s="29"/>
      <c r="AO417" s="29"/>
      <c r="AP417" s="29"/>
      <c r="AQ417" s="29"/>
    </row>
    <row r="418" spans="1:43" ht="10.199999999999999" x14ac:dyDescent="0.2">
      <c r="A418" s="27" t="s">
        <v>519</v>
      </c>
      <c r="B418" s="29">
        <v>8403.1094100800001</v>
      </c>
      <c r="C418" s="29">
        <v>13735.282847545001</v>
      </c>
      <c r="D418" s="29">
        <v>10122.664064333499</v>
      </c>
      <c r="E418" s="29">
        <v>12155.7034023135</v>
      </c>
      <c r="F418" s="29">
        <v>16955.087752773499</v>
      </c>
      <c r="G418" s="29">
        <v>14045.826801347001</v>
      </c>
      <c r="H418" s="29">
        <v>19511.387371456702</v>
      </c>
      <c r="I418" s="29">
        <v>24953.850110708801</v>
      </c>
      <c r="J418" s="29">
        <v>3191.8090282098601</v>
      </c>
      <c r="K418" s="29">
        <v>4945.9383387578901</v>
      </c>
      <c r="L418" s="29">
        <v>8627.8786684440493</v>
      </c>
      <c r="M418" s="29">
        <v>-1.1318661563564001E-9</v>
      </c>
      <c r="N418" s="29">
        <v>6626.9559611822096</v>
      </c>
      <c r="O418" s="29">
        <v>12262.0539965014</v>
      </c>
      <c r="P418" s="29">
        <v>3673.0972736746098</v>
      </c>
      <c r="Q418" s="29">
        <v>5427.5091491191297</v>
      </c>
      <c r="R418" s="29">
        <v>8684.1499178918002</v>
      </c>
      <c r="S418" s="29">
        <v>380.59920654060898</v>
      </c>
      <c r="T418" s="29">
        <v>5592.2300788627799</v>
      </c>
      <c r="U418" s="29">
        <v>11050.571683738901</v>
      </c>
      <c r="V418" s="29">
        <v>1359.1708479680599</v>
      </c>
      <c r="W418" s="29">
        <v>3232.0205431940399</v>
      </c>
      <c r="X418" s="29">
        <v>6792.0802276573204</v>
      </c>
      <c r="Y418" s="29">
        <v>-9.6001258498290501E-8</v>
      </c>
      <c r="Z418" s="29">
        <v>7207.7894274861601</v>
      </c>
      <c r="AA418" s="29">
        <v>13443.8445792081</v>
      </c>
      <c r="AB418" s="29">
        <v>13894.3690344755</v>
      </c>
      <c r="AC418" s="29">
        <v>15869.741931324001</v>
      </c>
      <c r="AD418" s="29">
        <v>19111.955040282599</v>
      </c>
      <c r="AE418" s="29">
        <v>19161.896449321299</v>
      </c>
      <c r="AF418" s="29">
        <v>24272.911167733</v>
      </c>
      <c r="AG418" s="29">
        <v>30138.1266482223</v>
      </c>
      <c r="AH418" s="29">
        <v>29928.872797581898</v>
      </c>
      <c r="AI418" s="29">
        <v>31599.248745785699</v>
      </c>
      <c r="AJ418" s="29">
        <v>34876.964570725497</v>
      </c>
      <c r="AK418" s="29">
        <v>36302.386332530201</v>
      </c>
      <c r="AL418" s="29"/>
      <c r="AM418" s="29"/>
      <c r="AN418" s="29"/>
      <c r="AO418" s="29"/>
      <c r="AP418" s="29"/>
      <c r="AQ418" s="29"/>
    </row>
    <row r="419" spans="1:43" ht="10.199999999999999" x14ac:dyDescent="0.2">
      <c r="A419" s="27" t="s">
        <v>520</v>
      </c>
      <c r="B419" s="29">
        <v>0</v>
      </c>
      <c r="C419" s="29">
        <v>0</v>
      </c>
      <c r="D419" s="29">
        <v>0</v>
      </c>
      <c r="E419" s="29">
        <v>1.23636709759011E-8</v>
      </c>
      <c r="F419" s="29">
        <v>0</v>
      </c>
      <c r="G419" s="29">
        <v>1.23636709759011E-8</v>
      </c>
      <c r="H419" s="29">
        <v>0</v>
      </c>
      <c r="I419" s="29">
        <v>0</v>
      </c>
      <c r="J419" s="29">
        <v>1.23636709759011E-8</v>
      </c>
      <c r="K419" s="29">
        <v>0</v>
      </c>
      <c r="L419" s="29">
        <v>0</v>
      </c>
      <c r="M419" s="29">
        <v>-1.1318661563564001E-9</v>
      </c>
      <c r="N419" s="29">
        <v>0</v>
      </c>
      <c r="O419" s="29">
        <v>0</v>
      </c>
      <c r="P419" s="29">
        <v>0</v>
      </c>
      <c r="Q419" s="29">
        <v>-1.7018737707985499E-7</v>
      </c>
      <c r="R419" s="29">
        <v>0</v>
      </c>
      <c r="S419" s="29">
        <v>-1.7018737707985499E-7</v>
      </c>
      <c r="T419" s="29">
        <v>0</v>
      </c>
      <c r="U419" s="29">
        <v>0</v>
      </c>
      <c r="V419" s="29">
        <v>-1.7018737707985499E-7</v>
      </c>
      <c r="W419" s="29">
        <v>0</v>
      </c>
      <c r="X419" s="29">
        <v>0</v>
      </c>
      <c r="Y419" s="29">
        <v>-9.6001258498290501E-8</v>
      </c>
      <c r="Z419" s="29">
        <v>0</v>
      </c>
      <c r="AA419" s="29">
        <v>0</v>
      </c>
      <c r="AB419" s="29">
        <v>0</v>
      </c>
      <c r="AC419" s="29">
        <v>36302.386332822003</v>
      </c>
      <c r="AD419" s="29">
        <v>0</v>
      </c>
      <c r="AE419" s="29">
        <v>36302.386332822003</v>
      </c>
      <c r="AF419" s="29">
        <v>0</v>
      </c>
      <c r="AG419" s="29">
        <v>0</v>
      </c>
      <c r="AH419" s="29">
        <v>36302.386332822003</v>
      </c>
      <c r="AI419" s="29">
        <v>0</v>
      </c>
      <c r="AJ419" s="29">
        <v>0</v>
      </c>
      <c r="AK419" s="29">
        <v>36302.386332530201</v>
      </c>
      <c r="AL419" s="29"/>
      <c r="AM419" s="29"/>
      <c r="AN419" s="29"/>
      <c r="AO419" s="29"/>
      <c r="AP419" s="29"/>
      <c r="AQ419" s="29"/>
    </row>
    <row r="420" spans="1:43" ht="14.4" x14ac:dyDescent="0.3">
      <c r="A420" s="27" t="s">
        <v>521</v>
      </c>
      <c r="B420" s="29">
        <v>0</v>
      </c>
      <c r="C420" s="29">
        <v>0</v>
      </c>
      <c r="D420" s="29">
        <v>0</v>
      </c>
      <c r="E420" s="29">
        <v>68684.958759999994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61254.754140358098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9">
        <v>0</v>
      </c>
      <c r="AB420" s="29">
        <v>0</v>
      </c>
      <c r="AC420" s="29">
        <v>67176.937459690103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/>
      <c r="AM420" s="29"/>
      <c r="AN420" s="29"/>
      <c r="AO420" s="29"/>
      <c r="AP420" s="29"/>
      <c r="AQ420" s="3"/>
    </row>
    <row r="421" spans="1:43" ht="14.4" x14ac:dyDescent="0.3">
      <c r="A421" s="27" t="s">
        <v>522</v>
      </c>
      <c r="B421" s="29">
        <v>0</v>
      </c>
      <c r="C421" s="29">
        <v>0</v>
      </c>
      <c r="D421" s="29">
        <v>0</v>
      </c>
      <c r="E421" s="29">
        <v>412109.75255999999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367528.52484214801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0</v>
      </c>
      <c r="AC421" s="29">
        <v>403061.62475814001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/>
      <c r="AM421" s="29"/>
      <c r="AN421" s="29"/>
      <c r="AO421" s="29"/>
      <c r="AP421" s="29"/>
      <c r="AQ421" s="3"/>
    </row>
    <row r="422" spans="1:43" ht="14.4" x14ac:dyDescent="0.3">
      <c r="A422" s="27" t="s">
        <v>523</v>
      </c>
      <c r="B422" s="29">
        <v>0</v>
      </c>
      <c r="C422" s="29">
        <v>0</v>
      </c>
      <c r="D422" s="29">
        <v>0</v>
      </c>
      <c r="E422" s="29">
        <v>27116.3548771567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24201.676578369701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29">
        <v>0</v>
      </c>
      <c r="Z422" s="29">
        <v>0</v>
      </c>
      <c r="AA422" s="29">
        <v>0</v>
      </c>
      <c r="AB422" s="29">
        <v>0</v>
      </c>
      <c r="AC422" s="29">
        <v>66776.917653254393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/>
      <c r="AM422" s="29"/>
      <c r="AN422" s="29"/>
      <c r="AO422" s="29"/>
      <c r="AP422" s="29"/>
      <c r="AQ422" s="3"/>
    </row>
    <row r="423" spans="1:43" ht="14.4" x14ac:dyDescent="0.3">
      <c r="A423" s="27" t="s">
        <v>524</v>
      </c>
      <c r="B423" s="29">
        <v>0</v>
      </c>
      <c r="C423" s="29">
        <v>0</v>
      </c>
      <c r="D423" s="29">
        <v>0</v>
      </c>
      <c r="E423" s="29">
        <v>0</v>
      </c>
      <c r="F423" s="29">
        <v>0</v>
      </c>
      <c r="G423" s="29">
        <v>102546.38869000001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90171.1015357383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29">
        <v>0</v>
      </c>
      <c r="Z423" s="29">
        <v>0</v>
      </c>
      <c r="AA423" s="29">
        <v>0</v>
      </c>
      <c r="AB423" s="29">
        <v>0</v>
      </c>
      <c r="AC423" s="29">
        <v>0</v>
      </c>
      <c r="AD423" s="29">
        <v>0</v>
      </c>
      <c r="AE423" s="29">
        <v>98435.348309814697</v>
      </c>
      <c r="AF423" s="29">
        <v>0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  <c r="AL423" s="29"/>
      <c r="AM423" s="29"/>
      <c r="AN423" s="29"/>
      <c r="AO423" s="29"/>
      <c r="AP423" s="29"/>
      <c r="AQ423" s="3"/>
    </row>
    <row r="424" spans="1:43" ht="14.4" x14ac:dyDescent="0.3">
      <c r="A424" s="27" t="s">
        <v>525</v>
      </c>
      <c r="B424" s="29">
        <v>0</v>
      </c>
      <c r="C424" s="29">
        <v>0</v>
      </c>
      <c r="D424" s="29">
        <v>0</v>
      </c>
      <c r="E424" s="29">
        <v>0</v>
      </c>
      <c r="F424" s="29">
        <v>0</v>
      </c>
      <c r="G424" s="29">
        <v>307639.16606999998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270513.30460721499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295306.04492944397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/>
      <c r="AM424" s="29"/>
      <c r="AN424" s="29"/>
      <c r="AO424" s="29"/>
      <c r="AP424" s="29"/>
      <c r="AQ424" s="3"/>
    </row>
    <row r="425" spans="1:43" ht="14.4" x14ac:dyDescent="0.3">
      <c r="A425" s="27" t="s">
        <v>526</v>
      </c>
      <c r="B425" s="29">
        <v>0</v>
      </c>
      <c r="C425" s="29">
        <v>0</v>
      </c>
      <c r="D425" s="29">
        <v>0</v>
      </c>
      <c r="E425" s="29">
        <v>0</v>
      </c>
      <c r="F425" s="29">
        <v>0</v>
      </c>
      <c r="G425" s="29">
        <v>5177.5317142567301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3828.4803290336299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44148.245889228201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/>
      <c r="AM425" s="29"/>
      <c r="AN425" s="29"/>
      <c r="AO425" s="29"/>
      <c r="AP425" s="29"/>
      <c r="AQ425" s="3"/>
    </row>
    <row r="426" spans="1:43" ht="14.4" x14ac:dyDescent="0.3">
      <c r="A426" s="27" t="s">
        <v>527</v>
      </c>
      <c r="B426" s="29">
        <v>0</v>
      </c>
      <c r="C426" s="29">
        <v>0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1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1</v>
      </c>
      <c r="W426" s="29">
        <v>0</v>
      </c>
      <c r="X426" s="29">
        <v>0</v>
      </c>
      <c r="Y426" s="29">
        <v>0</v>
      </c>
      <c r="Z426" s="29">
        <v>0</v>
      </c>
      <c r="AA426" s="29">
        <v>0</v>
      </c>
      <c r="AB426" s="29">
        <v>0</v>
      </c>
      <c r="AC426" s="29">
        <v>0</v>
      </c>
      <c r="AD426" s="29">
        <v>0</v>
      </c>
      <c r="AE426" s="29">
        <v>0</v>
      </c>
      <c r="AF426" s="29">
        <v>0</v>
      </c>
      <c r="AG426" s="29">
        <v>0</v>
      </c>
      <c r="AH426" s="29">
        <v>1</v>
      </c>
      <c r="AI426" s="29">
        <v>0</v>
      </c>
      <c r="AJ426" s="29">
        <v>0</v>
      </c>
      <c r="AK426" s="29">
        <v>0</v>
      </c>
      <c r="AL426" s="29"/>
      <c r="AM426" s="29"/>
      <c r="AN426" s="29"/>
      <c r="AO426" s="29"/>
      <c r="AP426" s="29"/>
      <c r="AQ426" s="3"/>
    </row>
    <row r="427" spans="1:43" ht="14.4" x14ac:dyDescent="0.3">
      <c r="A427" s="27" t="s">
        <v>528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181237.07156117601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154081.03058083</v>
      </c>
      <c r="W427" s="29">
        <v>0</v>
      </c>
      <c r="X427" s="29">
        <v>0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159564.87240449799</v>
      </c>
      <c r="AI427" s="29">
        <v>0</v>
      </c>
      <c r="AJ427" s="29">
        <v>0</v>
      </c>
      <c r="AK427" s="29">
        <v>0</v>
      </c>
      <c r="AL427" s="29"/>
      <c r="AM427" s="29"/>
      <c r="AN427" s="29"/>
      <c r="AO427" s="29"/>
      <c r="AP427" s="29"/>
      <c r="AQ427" s="3"/>
    </row>
    <row r="428" spans="1:43" ht="14.4" x14ac:dyDescent="0.3">
      <c r="A428" s="27" t="s">
        <v>529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310692.12267630198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264138.90956713702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273539.78126485401</v>
      </c>
      <c r="AI428" s="29">
        <v>0</v>
      </c>
      <c r="AJ428" s="29">
        <v>0</v>
      </c>
      <c r="AK428" s="29">
        <v>0</v>
      </c>
      <c r="AL428" s="29"/>
      <c r="AM428" s="29"/>
      <c r="AN428" s="29"/>
      <c r="AO428" s="29"/>
      <c r="AP428" s="29"/>
      <c r="AQ428" s="3"/>
    </row>
    <row r="429" spans="1:43" ht="14.4" x14ac:dyDescent="0.3">
      <c r="A429" s="27" t="s">
        <v>530</v>
      </c>
      <c r="B429" s="29">
        <v>0</v>
      </c>
      <c r="C429" s="29">
        <v>0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5818.6526015802201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2489.8573706174102</v>
      </c>
      <c r="W429" s="29">
        <v>0</v>
      </c>
      <c r="X429" s="29">
        <v>0</v>
      </c>
      <c r="Y429" s="29">
        <v>0</v>
      </c>
      <c r="Z429" s="29">
        <v>0</v>
      </c>
      <c r="AA429" s="29">
        <v>0</v>
      </c>
      <c r="AB429" s="29">
        <v>0</v>
      </c>
      <c r="AC429" s="29">
        <v>0</v>
      </c>
      <c r="AD429" s="29">
        <v>0</v>
      </c>
      <c r="AE429" s="29">
        <v>0</v>
      </c>
      <c r="AF429" s="29">
        <v>0</v>
      </c>
      <c r="AG429" s="29">
        <v>0</v>
      </c>
      <c r="AH429" s="29">
        <v>39577.330519664203</v>
      </c>
      <c r="AI429" s="29">
        <v>0</v>
      </c>
      <c r="AJ429" s="29">
        <v>0</v>
      </c>
      <c r="AK429" s="29">
        <v>0</v>
      </c>
      <c r="AL429" s="29"/>
      <c r="AM429" s="29"/>
      <c r="AN429" s="29"/>
      <c r="AO429" s="29"/>
      <c r="AP429" s="29"/>
      <c r="AQ429" s="3"/>
    </row>
    <row r="430" spans="1:43" ht="14.4" x14ac:dyDescent="0.3">
      <c r="A430" s="27" t="s">
        <v>531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1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1</v>
      </c>
      <c r="Z430" s="29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1</v>
      </c>
      <c r="AL430" s="29"/>
      <c r="AM430" s="29"/>
      <c r="AN430" s="29"/>
      <c r="AO430" s="29"/>
      <c r="AP430" s="29"/>
      <c r="AQ430" s="3"/>
    </row>
    <row r="431" spans="1:43" ht="10.199999999999999" x14ac:dyDescent="0.2">
      <c r="A431" s="27" t="s">
        <v>532</v>
      </c>
      <c r="B431" s="29">
        <v>0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-1.1318661563564001E-9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-9.6001258498290501E-8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36302.386332530201</v>
      </c>
      <c r="AL431" s="29"/>
      <c r="AM431" s="29"/>
      <c r="AN431" s="29"/>
      <c r="AO431" s="29"/>
      <c r="AP431" s="29"/>
      <c r="AQ431" s="29"/>
    </row>
    <row r="432" spans="1:43" ht="10.199999999999999" x14ac:dyDescent="0.2">
      <c r="A432" s="27" t="s">
        <v>533</v>
      </c>
      <c r="B432" s="29">
        <v>0</v>
      </c>
      <c r="C432" s="29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-1.1318661563564001E-9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-9.6001258498290501E-8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36302.386332530201</v>
      </c>
      <c r="AL432" s="29"/>
      <c r="AM432" s="29"/>
      <c r="AN432" s="29"/>
      <c r="AO432" s="29"/>
      <c r="AP432" s="29"/>
      <c r="AQ432" s="29"/>
    </row>
    <row r="433" spans="1:43" ht="14.4" x14ac:dyDescent="0.3">
      <c r="A433" s="27" t="s">
        <v>534</v>
      </c>
      <c r="B433" s="29">
        <v>0</v>
      </c>
      <c r="C433" s="29">
        <v>0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/>
      <c r="AM433" s="29"/>
      <c r="AN433" s="29"/>
      <c r="AO433" s="29"/>
      <c r="AP433" s="29"/>
      <c r="AQ433" s="3"/>
    </row>
    <row r="434" spans="1:43" ht="10.199999999999999" x14ac:dyDescent="0.2">
      <c r="A434" s="27" t="s">
        <v>535</v>
      </c>
      <c r="B434" s="29">
        <v>0</v>
      </c>
      <c r="C434" s="29">
        <v>0</v>
      </c>
      <c r="D434" s="29">
        <v>0</v>
      </c>
      <c r="E434" s="29">
        <v>27116.3548771567</v>
      </c>
      <c r="F434" s="29">
        <v>0</v>
      </c>
      <c r="G434" s="29">
        <v>5177.5317142567301</v>
      </c>
      <c r="H434" s="29">
        <v>0</v>
      </c>
      <c r="I434" s="29">
        <v>0</v>
      </c>
      <c r="J434" s="29">
        <v>5818.6526015802201</v>
      </c>
      <c r="K434" s="29">
        <v>0</v>
      </c>
      <c r="L434" s="29">
        <v>0</v>
      </c>
      <c r="M434" s="29">
        <v>-1.1318661563564001E-9</v>
      </c>
      <c r="N434" s="29">
        <v>0</v>
      </c>
      <c r="O434" s="29">
        <v>0</v>
      </c>
      <c r="P434" s="29">
        <v>0</v>
      </c>
      <c r="Q434" s="29">
        <v>24201.676578369701</v>
      </c>
      <c r="R434" s="29">
        <v>0</v>
      </c>
      <c r="S434" s="29">
        <v>3828.4803290336299</v>
      </c>
      <c r="T434" s="29">
        <v>0</v>
      </c>
      <c r="U434" s="29">
        <v>0</v>
      </c>
      <c r="V434" s="29">
        <v>2489.8573706174102</v>
      </c>
      <c r="W434" s="29">
        <v>0</v>
      </c>
      <c r="X434" s="29">
        <v>0</v>
      </c>
      <c r="Y434" s="29">
        <v>-9.6001258498290501E-8</v>
      </c>
      <c r="Z434" s="29">
        <v>0</v>
      </c>
      <c r="AA434" s="29">
        <v>0</v>
      </c>
      <c r="AB434" s="29">
        <v>0</v>
      </c>
      <c r="AC434" s="29">
        <v>66776.917653254393</v>
      </c>
      <c r="AD434" s="29">
        <v>0</v>
      </c>
      <c r="AE434" s="29">
        <v>44148.245889228201</v>
      </c>
      <c r="AF434" s="29">
        <v>0</v>
      </c>
      <c r="AG434" s="29">
        <v>0</v>
      </c>
      <c r="AH434" s="29">
        <v>39577.330519664203</v>
      </c>
      <c r="AI434" s="29">
        <v>0</v>
      </c>
      <c r="AJ434" s="29">
        <v>0</v>
      </c>
      <c r="AK434" s="29">
        <v>36302.386332530201</v>
      </c>
      <c r="AL434" s="29"/>
      <c r="AM434" s="29"/>
      <c r="AN434" s="29"/>
      <c r="AO434" s="29"/>
      <c r="AP434" s="29"/>
      <c r="AQ434" s="29"/>
    </row>
    <row r="435" spans="1:43" ht="10.199999999999999" x14ac:dyDescent="0.2">
      <c r="A435" s="90" t="s">
        <v>536</v>
      </c>
      <c r="B435" s="88">
        <v>0</v>
      </c>
      <c r="C435" s="88">
        <v>0</v>
      </c>
      <c r="D435" s="88">
        <v>0</v>
      </c>
      <c r="E435" s="88">
        <v>0.25</v>
      </c>
      <c r="F435" s="88">
        <v>0</v>
      </c>
      <c r="G435" s="88">
        <v>0.5</v>
      </c>
      <c r="H435" s="88">
        <v>0</v>
      </c>
      <c r="I435" s="88">
        <v>0</v>
      </c>
      <c r="J435" s="88">
        <v>0.75</v>
      </c>
      <c r="K435" s="88">
        <v>0</v>
      </c>
      <c r="L435" s="88">
        <v>0</v>
      </c>
      <c r="M435" s="88">
        <v>1</v>
      </c>
      <c r="N435" s="88">
        <v>0</v>
      </c>
      <c r="O435" s="88">
        <v>0</v>
      </c>
      <c r="P435" s="88">
        <v>0</v>
      </c>
      <c r="Q435" s="88">
        <v>0.25</v>
      </c>
      <c r="R435" s="88">
        <v>0</v>
      </c>
      <c r="S435" s="88">
        <v>0.5</v>
      </c>
      <c r="T435" s="88">
        <v>0</v>
      </c>
      <c r="U435" s="88">
        <v>0</v>
      </c>
      <c r="V435" s="88">
        <v>0.75</v>
      </c>
      <c r="W435" s="88">
        <v>0</v>
      </c>
      <c r="X435" s="88">
        <v>0</v>
      </c>
      <c r="Y435" s="88">
        <v>1</v>
      </c>
      <c r="Z435" s="88">
        <v>0</v>
      </c>
      <c r="AA435" s="88">
        <v>0</v>
      </c>
      <c r="AB435" s="88">
        <v>0</v>
      </c>
      <c r="AC435" s="88">
        <v>0.25</v>
      </c>
      <c r="AD435" s="88">
        <v>0</v>
      </c>
      <c r="AE435" s="88">
        <v>0.5</v>
      </c>
      <c r="AF435" s="88">
        <v>0</v>
      </c>
      <c r="AG435" s="88">
        <v>0</v>
      </c>
      <c r="AH435" s="88">
        <v>0.75</v>
      </c>
      <c r="AI435" s="88">
        <v>0</v>
      </c>
      <c r="AJ435" s="88">
        <v>0</v>
      </c>
      <c r="AK435" s="88">
        <v>1</v>
      </c>
      <c r="AL435" s="88"/>
      <c r="AM435" s="88"/>
      <c r="AN435" s="88"/>
      <c r="AO435" s="88"/>
      <c r="AP435" s="88"/>
      <c r="AQ435" s="88"/>
    </row>
    <row r="436" spans="1:43" ht="10.199999999999999" x14ac:dyDescent="0.2">
      <c r="A436" s="27" t="s">
        <v>537</v>
      </c>
      <c r="B436" s="29">
        <v>0</v>
      </c>
      <c r="C436" s="29">
        <v>0</v>
      </c>
      <c r="D436" s="29">
        <v>0</v>
      </c>
      <c r="E436" s="29">
        <v>6779.0887192891896</v>
      </c>
      <c r="F436" s="29">
        <v>0</v>
      </c>
      <c r="G436" s="29">
        <v>2588.76585712836</v>
      </c>
      <c r="H436" s="29">
        <v>0</v>
      </c>
      <c r="I436" s="29">
        <v>0</v>
      </c>
      <c r="J436" s="29">
        <v>4363.9894511851599</v>
      </c>
      <c r="K436" s="29">
        <v>0</v>
      </c>
      <c r="L436" s="29">
        <v>0</v>
      </c>
      <c r="M436" s="29">
        <v>-1.1318661563564001E-9</v>
      </c>
      <c r="N436" s="29">
        <v>0</v>
      </c>
      <c r="O436" s="29">
        <v>0</v>
      </c>
      <c r="P436" s="29">
        <v>0</v>
      </c>
      <c r="Q436" s="29">
        <v>6050.4191445924198</v>
      </c>
      <c r="R436" s="29">
        <v>0</v>
      </c>
      <c r="S436" s="29">
        <v>1914.24016451681</v>
      </c>
      <c r="T436" s="29">
        <v>0</v>
      </c>
      <c r="U436" s="29">
        <v>0</v>
      </c>
      <c r="V436" s="29">
        <v>1867.3930279630599</v>
      </c>
      <c r="W436" s="29">
        <v>0</v>
      </c>
      <c r="X436" s="29">
        <v>0</v>
      </c>
      <c r="Y436" s="29">
        <v>-9.6001258498290501E-8</v>
      </c>
      <c r="Z436" s="29">
        <v>0</v>
      </c>
      <c r="AA436" s="29">
        <v>0</v>
      </c>
      <c r="AB436" s="29">
        <v>0</v>
      </c>
      <c r="AC436" s="29">
        <v>16694.229413313598</v>
      </c>
      <c r="AD436" s="29">
        <v>0</v>
      </c>
      <c r="AE436" s="29">
        <v>22074.122944614101</v>
      </c>
      <c r="AF436" s="29">
        <v>0</v>
      </c>
      <c r="AG436" s="29">
        <v>0</v>
      </c>
      <c r="AH436" s="29">
        <v>29682.9978897482</v>
      </c>
      <c r="AI436" s="29">
        <v>0</v>
      </c>
      <c r="AJ436" s="29">
        <v>0</v>
      </c>
      <c r="AK436" s="29">
        <v>36302.386332530201</v>
      </c>
      <c r="AL436" s="29"/>
      <c r="AM436" s="29"/>
      <c r="AN436" s="29"/>
      <c r="AO436" s="29"/>
      <c r="AP436" s="29"/>
      <c r="AQ436" s="29"/>
    </row>
    <row r="437" spans="1:43" ht="10.199999999999999" x14ac:dyDescent="0.2">
      <c r="A437" s="27" t="s">
        <v>538</v>
      </c>
      <c r="B437" s="29">
        <v>0</v>
      </c>
      <c r="C437" s="29">
        <v>0</v>
      </c>
      <c r="D437" s="29">
        <v>0</v>
      </c>
      <c r="E437" s="29">
        <v>0</v>
      </c>
      <c r="F437" s="29">
        <v>0</v>
      </c>
      <c r="G437" s="29">
        <v>-8159.6989999999996</v>
      </c>
      <c r="H437" s="29">
        <v>0</v>
      </c>
      <c r="I437" s="29">
        <v>0</v>
      </c>
      <c r="J437" s="29">
        <v>-7027.6179999999904</v>
      </c>
      <c r="K437" s="29">
        <v>0</v>
      </c>
      <c r="L437" s="29">
        <v>0</v>
      </c>
      <c r="M437" s="29">
        <v>-7027.6179999999904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-16694.229413313598</v>
      </c>
      <c r="AF437" s="29">
        <v>0</v>
      </c>
      <c r="AG437" s="29">
        <v>0</v>
      </c>
      <c r="AH437" s="29">
        <v>-22074.122944614101</v>
      </c>
      <c r="AI437" s="29">
        <v>0</v>
      </c>
      <c r="AJ437" s="29">
        <v>0</v>
      </c>
      <c r="AK437" s="29">
        <v>-29682.9978897482</v>
      </c>
      <c r="AL437" s="29"/>
      <c r="AM437" s="29"/>
      <c r="AN437" s="29"/>
      <c r="AO437" s="29"/>
      <c r="AP437" s="29"/>
      <c r="AQ437" s="29"/>
    </row>
    <row r="438" spans="1:43" ht="14.4" x14ac:dyDescent="0.3">
      <c r="A438" s="27" t="s">
        <v>539</v>
      </c>
      <c r="B438" s="29">
        <v>0</v>
      </c>
      <c r="C438" s="29">
        <v>0</v>
      </c>
      <c r="D438" s="29">
        <v>0</v>
      </c>
      <c r="E438" s="29">
        <v>-7027.6180000000004</v>
      </c>
      <c r="F438" s="29">
        <v>0</v>
      </c>
      <c r="G438" s="29">
        <v>-7027.6180000000004</v>
      </c>
      <c r="H438" s="29">
        <v>0</v>
      </c>
      <c r="I438" s="29">
        <v>0</v>
      </c>
      <c r="J438" s="29">
        <v>-7027.6180000000004</v>
      </c>
      <c r="K438" s="29">
        <v>0</v>
      </c>
      <c r="L438" s="29">
        <v>0</v>
      </c>
      <c r="M438" s="29">
        <v>-7027.6180000000004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/>
      <c r="AM438" s="29"/>
      <c r="AN438" s="29"/>
      <c r="AO438" s="29"/>
      <c r="AP438" s="29"/>
      <c r="AQ438" s="3"/>
    </row>
    <row r="439" spans="1:43" ht="14.4" x14ac:dyDescent="0.3">
      <c r="A439" s="27" t="s">
        <v>540</v>
      </c>
      <c r="B439" s="29">
        <v>0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>
        <v>0</v>
      </c>
      <c r="AL439" s="29"/>
      <c r="AM439" s="29"/>
      <c r="AN439" s="29"/>
      <c r="AO439" s="29"/>
      <c r="AP439" s="29"/>
      <c r="AQ439" s="3"/>
    </row>
    <row r="440" spans="1:43" ht="14.4" x14ac:dyDescent="0.3">
      <c r="A440" s="27" t="s">
        <v>541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spans="1:43" ht="14.4" x14ac:dyDescent="0.3">
      <c r="A441" s="27" t="s">
        <v>542</v>
      </c>
      <c r="B441" s="29">
        <v>0</v>
      </c>
      <c r="C441" s="29">
        <v>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/>
      <c r="AM441" s="29"/>
      <c r="AN441" s="29"/>
      <c r="AO441" s="29"/>
      <c r="AP441" s="29"/>
      <c r="AQ441" s="3"/>
    </row>
    <row r="442" spans="1:43" ht="14.4" x14ac:dyDescent="0.3">
      <c r="A442" s="27" t="s">
        <v>543</v>
      </c>
      <c r="B442" s="29">
        <v>0</v>
      </c>
      <c r="C442" s="29">
        <v>0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-9691.24654881483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/>
      <c r="AM442" s="29"/>
      <c r="AN442" s="29"/>
      <c r="AO442" s="29"/>
      <c r="AP442" s="29"/>
      <c r="AQ442" s="3"/>
    </row>
    <row r="443" spans="1:43" ht="14.4" x14ac:dyDescent="0.3">
      <c r="A443" s="27" t="s">
        <v>544</v>
      </c>
      <c r="B443" s="29">
        <v>0</v>
      </c>
      <c r="C443" s="29">
        <v>0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/>
      <c r="AM443" s="29"/>
      <c r="AN443" s="29"/>
      <c r="AO443" s="29"/>
      <c r="AP443" s="29"/>
      <c r="AQ443" s="3"/>
    </row>
    <row r="444" spans="1:43" ht="14.4" x14ac:dyDescent="0.3">
      <c r="A444" s="27" t="s">
        <v>545</v>
      </c>
      <c r="B444" s="29">
        <v>0</v>
      </c>
      <c r="C444" s="29">
        <v>0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/>
      <c r="AM444" s="29"/>
      <c r="AN444" s="29"/>
      <c r="AO444" s="29"/>
      <c r="AP444" s="29"/>
      <c r="AQ444" s="3"/>
    </row>
    <row r="445" spans="1:43" ht="14.4" x14ac:dyDescent="0.3">
      <c r="A445" s="27" t="s">
        <v>546</v>
      </c>
      <c r="B445" s="29">
        <v>1</v>
      </c>
      <c r="C445" s="29">
        <v>1</v>
      </c>
      <c r="D445" s="29">
        <v>1</v>
      </c>
      <c r="E445" s="29">
        <v>1</v>
      </c>
      <c r="F445" s="29">
        <v>1</v>
      </c>
      <c r="G445" s="29">
        <v>1</v>
      </c>
      <c r="H445" s="29">
        <v>1</v>
      </c>
      <c r="I445" s="29">
        <v>1</v>
      </c>
      <c r="J445" s="29">
        <v>0</v>
      </c>
      <c r="K445" s="29">
        <v>1</v>
      </c>
      <c r="L445" s="29">
        <v>1</v>
      </c>
      <c r="M445" s="29">
        <v>1</v>
      </c>
      <c r="N445" s="29">
        <v>1</v>
      </c>
      <c r="O445" s="29">
        <v>1</v>
      </c>
      <c r="P445" s="29">
        <v>1</v>
      </c>
      <c r="Q445" s="29">
        <v>1</v>
      </c>
      <c r="R445" s="29">
        <v>1</v>
      </c>
      <c r="S445" s="29">
        <v>1</v>
      </c>
      <c r="T445" s="29">
        <v>1</v>
      </c>
      <c r="U445" s="29">
        <v>1</v>
      </c>
      <c r="V445" s="29">
        <v>1</v>
      </c>
      <c r="W445" s="29">
        <v>1</v>
      </c>
      <c r="X445" s="29">
        <v>1</v>
      </c>
      <c r="Y445" s="29">
        <v>1</v>
      </c>
      <c r="Z445" s="29">
        <v>1</v>
      </c>
      <c r="AA445" s="29">
        <v>1</v>
      </c>
      <c r="AB445" s="29">
        <v>1</v>
      </c>
      <c r="AC445" s="29">
        <v>1</v>
      </c>
      <c r="AD445" s="29">
        <v>1</v>
      </c>
      <c r="AE445" s="29">
        <v>1</v>
      </c>
      <c r="AF445" s="29">
        <v>1</v>
      </c>
      <c r="AG445" s="29">
        <v>1</v>
      </c>
      <c r="AH445" s="29">
        <v>1</v>
      </c>
      <c r="AI445" s="29">
        <v>1</v>
      </c>
      <c r="AJ445" s="29">
        <v>1</v>
      </c>
      <c r="AK445" s="29">
        <v>1</v>
      </c>
      <c r="AL445" s="29"/>
      <c r="AM445" s="29"/>
      <c r="AN445" s="29"/>
      <c r="AO445" s="29"/>
      <c r="AP445" s="29"/>
      <c r="AQ445" s="3"/>
    </row>
    <row r="446" spans="1:43" ht="10.199999999999999" x14ac:dyDescent="0.2">
      <c r="A446" s="27" t="s">
        <v>547</v>
      </c>
      <c r="B446" s="29">
        <v>0</v>
      </c>
      <c r="C446" s="29">
        <v>0</v>
      </c>
      <c r="D446" s="29">
        <v>0</v>
      </c>
      <c r="E446" s="29">
        <v>6779.0887192891896</v>
      </c>
      <c r="F446" s="29">
        <v>0</v>
      </c>
      <c r="G446" s="29">
        <v>-5570.9331428716296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-7027.61800000113</v>
      </c>
      <c r="N446" s="29">
        <v>0</v>
      </c>
      <c r="O446" s="29">
        <v>0</v>
      </c>
      <c r="P446" s="29">
        <v>0</v>
      </c>
      <c r="Q446" s="29">
        <v>6050.4191445924198</v>
      </c>
      <c r="R446" s="29">
        <v>0</v>
      </c>
      <c r="S446" s="29">
        <v>1914.24016451681</v>
      </c>
      <c r="T446" s="29">
        <v>0</v>
      </c>
      <c r="U446" s="29">
        <v>0</v>
      </c>
      <c r="V446" s="29">
        <v>1867.3930279630599</v>
      </c>
      <c r="W446" s="29">
        <v>0</v>
      </c>
      <c r="X446" s="29">
        <v>0</v>
      </c>
      <c r="Y446" s="29">
        <v>-9.6001258498290501E-8</v>
      </c>
      <c r="Z446" s="29">
        <v>0</v>
      </c>
      <c r="AA446" s="29">
        <v>0</v>
      </c>
      <c r="AB446" s="29">
        <v>0</v>
      </c>
      <c r="AC446" s="29">
        <v>16694.229413313598</v>
      </c>
      <c r="AD446" s="29">
        <v>0</v>
      </c>
      <c r="AE446" s="29">
        <v>5379.8935313004904</v>
      </c>
      <c r="AF446" s="29">
        <v>0</v>
      </c>
      <c r="AG446" s="29">
        <v>0</v>
      </c>
      <c r="AH446" s="29">
        <v>7608.8749451341</v>
      </c>
      <c r="AI446" s="29">
        <v>0</v>
      </c>
      <c r="AJ446" s="29">
        <v>0</v>
      </c>
      <c r="AK446" s="29">
        <v>6619.3884427820503</v>
      </c>
      <c r="AL446" s="29"/>
      <c r="AM446" s="29"/>
      <c r="AN446" s="29"/>
      <c r="AO446" s="29"/>
      <c r="AP446" s="29"/>
      <c r="AQ446" s="29"/>
    </row>
    <row r="447" spans="1:43" ht="14.4" x14ac:dyDescent="0.3">
      <c r="A447" s="27" t="s">
        <v>548</v>
      </c>
      <c r="B447" s="29">
        <v>0</v>
      </c>
      <c r="C447" s="29">
        <v>0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/>
      <c r="AM447" s="29"/>
      <c r="AN447" s="29"/>
      <c r="AO447" s="29"/>
      <c r="AP447" s="29"/>
      <c r="AQ447" s="3"/>
    </row>
    <row r="448" spans="1:43" ht="10.199999999999999" x14ac:dyDescent="0.2">
      <c r="A448" s="27" t="s">
        <v>549</v>
      </c>
      <c r="B448" s="29">
        <v>0</v>
      </c>
      <c r="C448" s="29">
        <v>0</v>
      </c>
      <c r="D448" s="29">
        <v>0</v>
      </c>
      <c r="E448" s="29">
        <v>6779.0887192891896</v>
      </c>
      <c r="F448" s="29">
        <v>0</v>
      </c>
      <c r="G448" s="29">
        <v>-5570.9331428716296</v>
      </c>
      <c r="H448" s="29">
        <v>0</v>
      </c>
      <c r="I448" s="29">
        <v>0</v>
      </c>
      <c r="J448" s="29">
        <v>-9691.24654881483</v>
      </c>
      <c r="K448" s="29">
        <v>0</v>
      </c>
      <c r="L448" s="29">
        <v>0</v>
      </c>
      <c r="M448" s="29">
        <v>-7027.61800000113</v>
      </c>
      <c r="N448" s="29">
        <v>0</v>
      </c>
      <c r="O448" s="29">
        <v>0</v>
      </c>
      <c r="P448" s="29">
        <v>0</v>
      </c>
      <c r="Q448" s="29">
        <v>6050.4191445924198</v>
      </c>
      <c r="R448" s="29">
        <v>0</v>
      </c>
      <c r="S448" s="29">
        <v>1914.24016451681</v>
      </c>
      <c r="T448" s="29">
        <v>0</v>
      </c>
      <c r="U448" s="29">
        <v>0</v>
      </c>
      <c r="V448" s="29">
        <v>1867.3930279630599</v>
      </c>
      <c r="W448" s="29">
        <v>0</v>
      </c>
      <c r="X448" s="29">
        <v>0</v>
      </c>
      <c r="Y448" s="29">
        <v>-9.6001258498290501E-8</v>
      </c>
      <c r="Z448" s="29">
        <v>0</v>
      </c>
      <c r="AA448" s="29">
        <v>0</v>
      </c>
      <c r="AB448" s="29">
        <v>0</v>
      </c>
      <c r="AC448" s="29">
        <v>16694.229413313598</v>
      </c>
      <c r="AD448" s="29">
        <v>0</v>
      </c>
      <c r="AE448" s="29">
        <v>5379.8935313004904</v>
      </c>
      <c r="AF448" s="29">
        <v>0</v>
      </c>
      <c r="AG448" s="29">
        <v>0</v>
      </c>
      <c r="AH448" s="29">
        <v>7608.8749451341</v>
      </c>
      <c r="AI448" s="29">
        <v>0</v>
      </c>
      <c r="AJ448" s="29">
        <v>0</v>
      </c>
      <c r="AK448" s="29">
        <v>6619.3884427820503</v>
      </c>
      <c r="AL448" s="29"/>
      <c r="AM448" s="29"/>
      <c r="AN448" s="29"/>
      <c r="AO448" s="29"/>
      <c r="AP448" s="29"/>
      <c r="AQ448" s="29"/>
    </row>
    <row r="449" spans="1:43" ht="14.4" x14ac:dyDescent="0.3">
      <c r="A449" s="27" t="s">
        <v>550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spans="1:43" ht="14.4" x14ac:dyDescent="0.3">
      <c r="A450" s="86" t="s">
        <v>551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spans="1:43" ht="10.199999999999999" x14ac:dyDescent="0.2">
      <c r="A451" s="27" t="s">
        <v>552</v>
      </c>
      <c r="B451" s="29">
        <v>1.23636709759011E-8</v>
      </c>
      <c r="C451" s="29">
        <v>1.23636709759011E-8</v>
      </c>
      <c r="D451" s="29">
        <v>1.23636709759011E-8</v>
      </c>
      <c r="E451" s="29">
        <v>1.23636709759011E-8</v>
      </c>
      <c r="F451" s="29">
        <v>1.23636709759011E-8</v>
      </c>
      <c r="G451" s="29">
        <v>1.23636709759011E-8</v>
      </c>
      <c r="H451" s="29">
        <v>1.23636709759011E-8</v>
      </c>
      <c r="I451" s="29">
        <v>1.23636709759011E-8</v>
      </c>
      <c r="J451" s="29">
        <v>1.23636709759011E-8</v>
      </c>
      <c r="K451" s="29">
        <v>1.23636709759011E-8</v>
      </c>
      <c r="L451" s="29">
        <v>1.23636709759011E-8</v>
      </c>
      <c r="M451" s="29">
        <v>-1.1318661563564001E-9</v>
      </c>
      <c r="N451" s="29">
        <v>-1.7018737707985499E-7</v>
      </c>
      <c r="O451" s="29">
        <v>-1.7018737707985499E-7</v>
      </c>
      <c r="P451" s="29">
        <v>-1.7018737707985499E-7</v>
      </c>
      <c r="Q451" s="29">
        <v>-1.7018737707985499E-7</v>
      </c>
      <c r="R451" s="29">
        <v>-1.7018737707985499E-7</v>
      </c>
      <c r="S451" s="29">
        <v>-1.7018737707985499E-7</v>
      </c>
      <c r="T451" s="29">
        <v>-1.7018737707985499E-7</v>
      </c>
      <c r="U451" s="29">
        <v>-1.7018737707985499E-7</v>
      </c>
      <c r="V451" s="29">
        <v>-1.7018737707985499E-7</v>
      </c>
      <c r="W451" s="29">
        <v>-1.7018737707985499E-7</v>
      </c>
      <c r="X451" s="29">
        <v>-1.7018737707985499E-7</v>
      </c>
      <c r="Y451" s="29">
        <v>-9.6001258498290501E-8</v>
      </c>
      <c r="Z451" s="29">
        <v>36302.386332822003</v>
      </c>
      <c r="AA451" s="29">
        <v>36302.386332822003</v>
      </c>
      <c r="AB451" s="29">
        <v>36302.386332822003</v>
      </c>
      <c r="AC451" s="29">
        <v>36302.386332822003</v>
      </c>
      <c r="AD451" s="29">
        <v>36302.386332822003</v>
      </c>
      <c r="AE451" s="29">
        <v>36302.386332822003</v>
      </c>
      <c r="AF451" s="29">
        <v>36302.386332822003</v>
      </c>
      <c r="AG451" s="29">
        <v>36302.386332822003</v>
      </c>
      <c r="AH451" s="29">
        <v>36302.386332822003</v>
      </c>
      <c r="AI451" s="29">
        <v>36302.386332822003</v>
      </c>
      <c r="AJ451" s="29">
        <v>36302.386332822003</v>
      </c>
      <c r="AK451" s="29">
        <v>36302.386332530201</v>
      </c>
      <c r="AL451" s="29"/>
      <c r="AM451" s="29"/>
      <c r="AN451" s="29"/>
      <c r="AO451" s="29"/>
      <c r="AP451" s="29"/>
      <c r="AQ451" s="29"/>
    </row>
    <row r="452" spans="1:43" ht="10.199999999999999" x14ac:dyDescent="0.2">
      <c r="A452" s="27" t="s">
        <v>553</v>
      </c>
      <c r="B452" s="29">
        <v>0</v>
      </c>
      <c r="C452" s="29">
        <v>0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36302</v>
      </c>
      <c r="AA452" s="29">
        <v>36302</v>
      </c>
      <c r="AB452" s="29">
        <v>36302</v>
      </c>
      <c r="AC452" s="29">
        <v>36302</v>
      </c>
      <c r="AD452" s="29">
        <v>36302</v>
      </c>
      <c r="AE452" s="29">
        <v>36302</v>
      </c>
      <c r="AF452" s="29">
        <v>36302</v>
      </c>
      <c r="AG452" s="29">
        <v>36302</v>
      </c>
      <c r="AH452" s="29">
        <v>36302</v>
      </c>
      <c r="AI452" s="29">
        <v>36302</v>
      </c>
      <c r="AJ452" s="29">
        <v>36302</v>
      </c>
      <c r="AK452" s="29">
        <v>36302</v>
      </c>
      <c r="AL452" s="29"/>
      <c r="AM452" s="29"/>
      <c r="AN452" s="29"/>
      <c r="AO452" s="29"/>
      <c r="AP452" s="29"/>
      <c r="AQ452" s="29"/>
    </row>
    <row r="453" spans="1:43" ht="14.4" x14ac:dyDescent="0.3">
      <c r="A453" s="27" t="s">
        <v>554</v>
      </c>
      <c r="B453" s="29">
        <v>0</v>
      </c>
      <c r="C453" s="29">
        <v>0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/>
      <c r="AM453" s="29"/>
      <c r="AN453" s="29"/>
      <c r="AO453" s="29"/>
      <c r="AP453" s="29"/>
      <c r="AQ453" s="3"/>
    </row>
    <row r="454" spans="1:43" ht="10.199999999999999" x14ac:dyDescent="0.2">
      <c r="A454" s="27" t="s">
        <v>555</v>
      </c>
      <c r="B454" s="29">
        <v>0</v>
      </c>
      <c r="C454" s="29">
        <v>0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16694.229413313598</v>
      </c>
      <c r="AD454" s="29">
        <v>0</v>
      </c>
      <c r="AE454" s="29">
        <v>5379.8935313004904</v>
      </c>
      <c r="AF454" s="29">
        <v>0</v>
      </c>
      <c r="AG454" s="29">
        <v>0</v>
      </c>
      <c r="AH454" s="29">
        <v>7608.8749451341</v>
      </c>
      <c r="AI454" s="29">
        <v>0</v>
      </c>
      <c r="AJ454" s="29">
        <v>0</v>
      </c>
      <c r="AK454" s="29">
        <v>6619.3884427820503</v>
      </c>
      <c r="AL454" s="29"/>
      <c r="AM454" s="29"/>
      <c r="AN454" s="29"/>
      <c r="AO454" s="29"/>
      <c r="AP454" s="29"/>
      <c r="AQ454" s="29"/>
    </row>
    <row r="455" spans="1:43" ht="10.199999999999999" x14ac:dyDescent="0.2">
      <c r="A455" s="27" t="s">
        <v>556</v>
      </c>
      <c r="B455" s="29">
        <v>0</v>
      </c>
      <c r="C455" s="29">
        <v>0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16694.229413313598</v>
      </c>
      <c r="AD455" s="29">
        <v>0</v>
      </c>
      <c r="AE455" s="29">
        <v>5379.8935313004904</v>
      </c>
      <c r="AF455" s="29">
        <v>0</v>
      </c>
      <c r="AG455" s="29">
        <v>0</v>
      </c>
      <c r="AH455" s="29">
        <v>7608.8749451341</v>
      </c>
      <c r="AI455" s="29">
        <v>0</v>
      </c>
      <c r="AJ455" s="29">
        <v>0</v>
      </c>
      <c r="AK455" s="29">
        <v>6619.3884427820503</v>
      </c>
      <c r="AL455" s="29"/>
      <c r="AM455" s="29"/>
      <c r="AN455" s="29"/>
      <c r="AO455" s="29"/>
      <c r="AP455" s="29"/>
      <c r="AQ455" s="29"/>
    </row>
    <row r="456" spans="1:43" ht="14.4" x14ac:dyDescent="0.3">
      <c r="A456" s="27" t="s">
        <v>557</v>
      </c>
      <c r="B456" s="29">
        <v>0</v>
      </c>
      <c r="C456" s="29">
        <v>0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/>
      <c r="AM456" s="29"/>
      <c r="AN456" s="29"/>
      <c r="AO456" s="29"/>
      <c r="AP456" s="29"/>
      <c r="AQ456" s="3"/>
    </row>
    <row r="457" spans="1:43" ht="14.4" x14ac:dyDescent="0.3">
      <c r="A457" s="27" t="s">
        <v>558</v>
      </c>
      <c r="B457" s="29">
        <v>0</v>
      </c>
      <c r="C457" s="29">
        <v>0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/>
      <c r="AM457" s="29"/>
      <c r="AN457" s="29"/>
      <c r="AO457" s="29"/>
      <c r="AP457" s="29"/>
      <c r="AQ457" s="3"/>
    </row>
    <row r="458" spans="1:43" ht="14.4" x14ac:dyDescent="0.3">
      <c r="A458" s="27" t="s">
        <v>559</v>
      </c>
      <c r="B458" s="29">
        <v>0</v>
      </c>
      <c r="C458" s="29">
        <v>0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/>
      <c r="AM458" s="29"/>
      <c r="AN458" s="29"/>
      <c r="AO458" s="29"/>
      <c r="AP458" s="29"/>
      <c r="AQ458" s="3"/>
    </row>
    <row r="459" spans="1:43" ht="14.4" x14ac:dyDescent="0.3">
      <c r="A459" s="27" t="s">
        <v>560</v>
      </c>
      <c r="B459" s="29">
        <v>0</v>
      </c>
      <c r="C459" s="29">
        <v>0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/>
      <c r="AM459" s="29"/>
      <c r="AN459" s="29"/>
      <c r="AO459" s="29"/>
      <c r="AP459" s="29"/>
      <c r="AQ459" s="3"/>
    </row>
    <row r="460" spans="1:43" ht="14.4" x14ac:dyDescent="0.3">
      <c r="A460" s="27" t="s">
        <v>561</v>
      </c>
      <c r="B460" s="29">
        <v>0</v>
      </c>
      <c r="C460" s="29">
        <v>0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/>
      <c r="AM460" s="29"/>
      <c r="AN460" s="29"/>
      <c r="AO460" s="29"/>
      <c r="AP460" s="29"/>
      <c r="AQ460" s="3"/>
    </row>
    <row r="461" spans="1:43" ht="14.4" x14ac:dyDescent="0.3">
      <c r="A461" s="27" t="s">
        <v>562</v>
      </c>
      <c r="B461" s="29">
        <v>0</v>
      </c>
      <c r="C461" s="29">
        <v>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/>
      <c r="AM461" s="29"/>
      <c r="AN461" s="29"/>
      <c r="AO461" s="29"/>
      <c r="AP461" s="29"/>
      <c r="AQ461" s="3"/>
    </row>
    <row r="462" spans="1:43" ht="14.4" x14ac:dyDescent="0.3">
      <c r="A462" s="27" t="s">
        <v>563</v>
      </c>
      <c r="B462" s="29">
        <v>0</v>
      </c>
      <c r="C462" s="29">
        <v>0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/>
      <c r="AM462" s="29"/>
      <c r="AN462" s="29"/>
      <c r="AO462" s="29"/>
      <c r="AP462" s="29"/>
      <c r="AQ462" s="3"/>
    </row>
    <row r="463" spans="1:43" ht="14.4" x14ac:dyDescent="0.3">
      <c r="A463" s="27" t="s">
        <v>564</v>
      </c>
      <c r="B463" s="29">
        <v>0</v>
      </c>
      <c r="C463" s="29">
        <v>0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/>
      <c r="AM463" s="29"/>
      <c r="AN463" s="29"/>
      <c r="AO463" s="29"/>
      <c r="AP463" s="29"/>
      <c r="AQ463" s="3"/>
    </row>
    <row r="464" spans="1:43" ht="14.4" x14ac:dyDescent="0.3">
      <c r="A464" s="27" t="s">
        <v>565</v>
      </c>
      <c r="B464" s="29">
        <v>0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/>
      <c r="AM464" s="29"/>
      <c r="AN464" s="29"/>
      <c r="AO464" s="29"/>
      <c r="AP464" s="29"/>
      <c r="AQ464" s="3"/>
    </row>
    <row r="465" spans="1:43" ht="14.4" x14ac:dyDescent="0.3">
      <c r="A465" s="27" t="s">
        <v>566</v>
      </c>
      <c r="B465" s="29">
        <v>0</v>
      </c>
      <c r="C465" s="29">
        <v>0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/>
      <c r="AM465" s="29"/>
      <c r="AN465" s="29"/>
      <c r="AO465" s="29"/>
      <c r="AP465" s="29"/>
      <c r="AQ465" s="3"/>
    </row>
    <row r="466" spans="1:43" ht="14.4" x14ac:dyDescent="0.3">
      <c r="A466" s="27" t="s">
        <v>567</v>
      </c>
      <c r="B466" s="29">
        <v>0</v>
      </c>
      <c r="C466" s="29">
        <v>0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/>
      <c r="AM466" s="29"/>
      <c r="AN466" s="29"/>
      <c r="AO466" s="29"/>
      <c r="AP466" s="29"/>
      <c r="AQ466" s="3"/>
    </row>
    <row r="467" spans="1:43" ht="14.4" x14ac:dyDescent="0.3">
      <c r="A467" s="27" t="s">
        <v>568</v>
      </c>
      <c r="B467" s="29">
        <v>0</v>
      </c>
      <c r="C467" s="29">
        <v>0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/>
      <c r="AM467" s="29"/>
      <c r="AN467" s="29"/>
      <c r="AO467" s="29"/>
      <c r="AP467" s="29"/>
      <c r="AQ467" s="3"/>
    </row>
    <row r="468" spans="1:43" ht="14.4" x14ac:dyDescent="0.3">
      <c r="A468" s="27" t="s">
        <v>569</v>
      </c>
      <c r="B468" s="29">
        <v>0</v>
      </c>
      <c r="C468" s="29">
        <v>0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/>
      <c r="AM468" s="29"/>
      <c r="AN468" s="29"/>
      <c r="AO468" s="29"/>
      <c r="AP468" s="29"/>
      <c r="AQ468" s="3"/>
    </row>
    <row r="469" spans="1:43" ht="14.4" x14ac:dyDescent="0.3">
      <c r="A469" s="27" t="s">
        <v>570</v>
      </c>
      <c r="B469" s="29">
        <v>1</v>
      </c>
      <c r="C469" s="29">
        <v>2</v>
      </c>
      <c r="D469" s="29">
        <v>3</v>
      </c>
      <c r="E469" s="29">
        <v>4</v>
      </c>
      <c r="F469" s="29">
        <v>5</v>
      </c>
      <c r="G469" s="29">
        <v>6</v>
      </c>
      <c r="H469" s="29">
        <v>7</v>
      </c>
      <c r="I469" s="29">
        <v>8</v>
      </c>
      <c r="J469" s="29">
        <v>9</v>
      </c>
      <c r="K469" s="29">
        <v>10</v>
      </c>
      <c r="L469" s="29">
        <v>11</v>
      </c>
      <c r="M469" s="29">
        <v>12</v>
      </c>
      <c r="N469" s="29">
        <v>1</v>
      </c>
      <c r="O469" s="29">
        <v>2</v>
      </c>
      <c r="P469" s="29">
        <v>3</v>
      </c>
      <c r="Q469" s="29">
        <v>4</v>
      </c>
      <c r="R469" s="29">
        <v>5</v>
      </c>
      <c r="S469" s="29">
        <v>6</v>
      </c>
      <c r="T469" s="29">
        <v>7</v>
      </c>
      <c r="U469" s="29">
        <v>8</v>
      </c>
      <c r="V469" s="29">
        <v>9</v>
      </c>
      <c r="W469" s="29">
        <v>10</v>
      </c>
      <c r="X469" s="29">
        <v>11</v>
      </c>
      <c r="Y469" s="29">
        <v>12</v>
      </c>
      <c r="Z469" s="29">
        <v>1</v>
      </c>
      <c r="AA469" s="29">
        <v>2</v>
      </c>
      <c r="AB469" s="29">
        <v>3</v>
      </c>
      <c r="AC469" s="29">
        <v>4</v>
      </c>
      <c r="AD469" s="29">
        <v>5</v>
      </c>
      <c r="AE469" s="29">
        <v>6</v>
      </c>
      <c r="AF469" s="29">
        <v>7</v>
      </c>
      <c r="AG469" s="29">
        <v>8</v>
      </c>
      <c r="AH469" s="29">
        <v>9</v>
      </c>
      <c r="AI469" s="29">
        <v>10</v>
      </c>
      <c r="AJ469" s="29">
        <v>11</v>
      </c>
      <c r="AK469" s="29">
        <v>12</v>
      </c>
      <c r="AL469" s="29"/>
      <c r="AM469" s="29"/>
      <c r="AN469" s="29"/>
      <c r="AO469" s="29"/>
      <c r="AP469" s="29"/>
      <c r="AQ469" s="3"/>
    </row>
    <row r="470" spans="1:43" ht="14.4" x14ac:dyDescent="0.3">
      <c r="A470" s="27" t="s">
        <v>571</v>
      </c>
      <c r="B470" s="29">
        <v>0</v>
      </c>
      <c r="C470" s="29">
        <v>0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/>
      <c r="AM470" s="29"/>
      <c r="AN470" s="29"/>
      <c r="AO470" s="29"/>
      <c r="AP470" s="29"/>
      <c r="AQ470" s="3"/>
    </row>
    <row r="471" spans="1:43" ht="14.4" x14ac:dyDescent="0.3">
      <c r="A471" s="27" t="s">
        <v>572</v>
      </c>
      <c r="B471" s="29">
        <v>0</v>
      </c>
      <c r="C471" s="29">
        <v>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/>
      <c r="AM471" s="29"/>
      <c r="AN471" s="29"/>
      <c r="AO471" s="29"/>
      <c r="AP471" s="29"/>
      <c r="AQ471" s="3"/>
    </row>
    <row r="472" spans="1:43" ht="14.4" x14ac:dyDescent="0.3">
      <c r="A472" s="27" t="s">
        <v>573</v>
      </c>
      <c r="B472" s="29">
        <v>0</v>
      </c>
      <c r="C472" s="29">
        <v>0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/>
      <c r="AM472" s="29"/>
      <c r="AN472" s="29"/>
      <c r="AO472" s="29"/>
      <c r="AP472" s="29"/>
      <c r="AQ472" s="3"/>
    </row>
    <row r="473" spans="1:43" ht="14.4" x14ac:dyDescent="0.3">
      <c r="A473" s="27" t="s">
        <v>574</v>
      </c>
      <c r="B473" s="29">
        <v>0</v>
      </c>
      <c r="C473" s="29">
        <v>0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/>
      <c r="AM473" s="29"/>
      <c r="AN473" s="29"/>
      <c r="AO473" s="29"/>
      <c r="AP473" s="29"/>
      <c r="AQ473" s="3"/>
    </row>
    <row r="474" spans="1:43" ht="10.199999999999999" x14ac:dyDescent="0.2">
      <c r="A474" s="27" t="s">
        <v>575</v>
      </c>
      <c r="B474" s="29">
        <v>0</v>
      </c>
      <c r="C474" s="29">
        <v>0</v>
      </c>
      <c r="D474" s="29">
        <v>0</v>
      </c>
      <c r="E474" s="29">
        <v>8159.6989999999996</v>
      </c>
      <c r="F474" s="29">
        <v>0</v>
      </c>
      <c r="G474" s="29">
        <v>-1132.0809999999999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16694.229413313598</v>
      </c>
      <c r="AD474" s="29">
        <v>0</v>
      </c>
      <c r="AE474" s="29">
        <v>5379.8935313004904</v>
      </c>
      <c r="AF474" s="29">
        <v>0</v>
      </c>
      <c r="AG474" s="29">
        <v>0</v>
      </c>
      <c r="AH474" s="29">
        <v>7608.8749451341</v>
      </c>
      <c r="AI474" s="29">
        <v>0</v>
      </c>
      <c r="AJ474" s="29">
        <v>0</v>
      </c>
      <c r="AK474" s="29">
        <v>6619.3884427820503</v>
      </c>
      <c r="AL474" s="29"/>
      <c r="AM474" s="29"/>
      <c r="AN474" s="29"/>
      <c r="AO474" s="29"/>
      <c r="AP474" s="29"/>
      <c r="AQ474" s="29"/>
    </row>
    <row r="475" spans="1:43" ht="10.199999999999999" x14ac:dyDescent="0.2">
      <c r="A475" s="27" t="s">
        <v>576</v>
      </c>
      <c r="B475" s="29">
        <v>0</v>
      </c>
      <c r="C475" s="29">
        <v>0</v>
      </c>
      <c r="D475" s="29">
        <v>0</v>
      </c>
      <c r="E475" s="29">
        <v>8159.6989999999996</v>
      </c>
      <c r="F475" s="29">
        <v>8159.6989999999996</v>
      </c>
      <c r="G475" s="29">
        <v>7027.6179999999904</v>
      </c>
      <c r="H475" s="29">
        <v>7027.6179999999904</v>
      </c>
      <c r="I475" s="29">
        <v>7027.6179999999904</v>
      </c>
      <c r="J475" s="29">
        <v>7027.6179999999904</v>
      </c>
      <c r="K475" s="29">
        <v>7027.6179999999904</v>
      </c>
      <c r="L475" s="29">
        <v>7027.6179999999904</v>
      </c>
      <c r="M475" s="29">
        <v>7027.6179999999904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16694.229413313598</v>
      </c>
      <c r="AD475" s="29">
        <v>16694.229413313598</v>
      </c>
      <c r="AE475" s="29">
        <v>22074.122944614101</v>
      </c>
      <c r="AF475" s="29">
        <v>22074.122944614101</v>
      </c>
      <c r="AG475" s="29">
        <v>22074.122944614101</v>
      </c>
      <c r="AH475" s="29">
        <v>29682.9978897482</v>
      </c>
      <c r="AI475" s="29">
        <v>29682.9978897482</v>
      </c>
      <c r="AJ475" s="29">
        <v>29682.9978897482</v>
      </c>
      <c r="AK475" s="29">
        <v>36302.386332530201</v>
      </c>
      <c r="AL475" s="29"/>
      <c r="AM475" s="29"/>
      <c r="AN475" s="29"/>
      <c r="AO475" s="29"/>
      <c r="AP475" s="29"/>
      <c r="AQ475" s="29"/>
    </row>
    <row r="476" spans="1:43" ht="14.4" x14ac:dyDescent="0.3">
      <c r="A476" s="86" t="s">
        <v>577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</row>
    <row r="477" spans="1:43" ht="14.4" x14ac:dyDescent="0.3">
      <c r="A477" s="27" t="s">
        <v>578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-7027.6180000000004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/>
      <c r="AM477" s="29"/>
      <c r="AN477" s="29"/>
      <c r="AO477" s="29"/>
      <c r="AP477" s="29"/>
      <c r="AQ477" s="3"/>
    </row>
    <row r="478" spans="1:43" ht="14.4" x14ac:dyDescent="0.3">
      <c r="A478" s="27" t="s">
        <v>579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</row>
    <row r="479" spans="1:43" ht="14.4" x14ac:dyDescent="0.3">
      <c r="A479" s="27" t="s">
        <v>580</v>
      </c>
      <c r="B479" s="29">
        <v>0</v>
      </c>
      <c r="C479" s="29">
        <v>0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/>
      <c r="AM479" s="29"/>
      <c r="AN479" s="29"/>
      <c r="AO479" s="29"/>
      <c r="AP479" s="29"/>
      <c r="AQ479" s="3"/>
    </row>
    <row r="480" spans="1:43" ht="14.4" x14ac:dyDescent="0.3">
      <c r="A480" s="27" t="s">
        <v>581</v>
      </c>
      <c r="B480" s="29">
        <v>0</v>
      </c>
      <c r="C480" s="29">
        <v>0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1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1</v>
      </c>
      <c r="AL480" s="29"/>
      <c r="AM480" s="29"/>
      <c r="AN480" s="29"/>
      <c r="AO480" s="29"/>
      <c r="AP480" s="29"/>
      <c r="AQ480" s="3"/>
    </row>
    <row r="481" spans="1:43" ht="14.4" x14ac:dyDescent="0.3">
      <c r="A481" s="27" t="s">
        <v>582</v>
      </c>
      <c r="B481" s="29">
        <v>0</v>
      </c>
      <c r="C481" s="29">
        <v>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-7027.61800000113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-9.6001258498290501E-8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/>
      <c r="AM481" s="29"/>
      <c r="AN481" s="29"/>
      <c r="AO481" s="29"/>
      <c r="AP481" s="29"/>
      <c r="AQ481" s="3"/>
    </row>
    <row r="482" spans="1:43" ht="14.4" x14ac:dyDescent="0.3">
      <c r="A482" s="27" t="s">
        <v>583</v>
      </c>
      <c r="B482" s="29">
        <v>0</v>
      </c>
      <c r="C482" s="29">
        <v>0</v>
      </c>
      <c r="D482" s="29">
        <v>1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1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1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/>
      <c r="AM482" s="29"/>
      <c r="AN482" s="29"/>
      <c r="AO482" s="29"/>
      <c r="AP482" s="29"/>
      <c r="AQ482" s="3"/>
    </row>
    <row r="483" spans="1:43" ht="14.4" x14ac:dyDescent="0.3">
      <c r="A483" s="27" t="s">
        <v>584</v>
      </c>
      <c r="B483" s="29">
        <v>0</v>
      </c>
      <c r="C483" s="29">
        <v>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/>
      <c r="AM483" s="29"/>
      <c r="AN483" s="29"/>
      <c r="AO483" s="29"/>
      <c r="AP483" s="29"/>
      <c r="AQ483" s="3"/>
    </row>
    <row r="484" spans="1:43" ht="14.4" x14ac:dyDescent="0.3">
      <c r="A484" s="27" t="s">
        <v>585</v>
      </c>
      <c r="B484" s="29">
        <v>0</v>
      </c>
      <c r="C484" s="29">
        <v>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/>
      <c r="AM484" s="29"/>
      <c r="AN484" s="29"/>
      <c r="AO484" s="29"/>
      <c r="AP484" s="29"/>
      <c r="AQ484" s="3"/>
    </row>
    <row r="485" spans="1:43" ht="14.4" x14ac:dyDescent="0.3">
      <c r="A485" s="27" t="s">
        <v>586</v>
      </c>
      <c r="B485" s="29">
        <v>1</v>
      </c>
      <c r="C485" s="29">
        <v>1</v>
      </c>
      <c r="D485" s="29">
        <v>1</v>
      </c>
      <c r="E485" s="29">
        <v>1</v>
      </c>
      <c r="F485" s="29">
        <v>1</v>
      </c>
      <c r="G485" s="29">
        <v>1</v>
      </c>
      <c r="H485" s="29">
        <v>1</v>
      </c>
      <c r="I485" s="29">
        <v>1</v>
      </c>
      <c r="J485" s="29">
        <v>1</v>
      </c>
      <c r="K485" s="29">
        <v>1</v>
      </c>
      <c r="L485" s="29">
        <v>1</v>
      </c>
      <c r="M485" s="29">
        <v>1</v>
      </c>
      <c r="N485" s="29">
        <v>1</v>
      </c>
      <c r="O485" s="29">
        <v>1</v>
      </c>
      <c r="P485" s="29">
        <v>1</v>
      </c>
      <c r="Q485" s="29">
        <v>1</v>
      </c>
      <c r="R485" s="29">
        <v>1</v>
      </c>
      <c r="S485" s="29">
        <v>1</v>
      </c>
      <c r="T485" s="29">
        <v>1</v>
      </c>
      <c r="U485" s="29">
        <v>1</v>
      </c>
      <c r="V485" s="29">
        <v>1</v>
      </c>
      <c r="W485" s="29">
        <v>1</v>
      </c>
      <c r="X485" s="29">
        <v>1</v>
      </c>
      <c r="Y485" s="29">
        <v>1</v>
      </c>
      <c r="Z485" s="29">
        <v>1</v>
      </c>
      <c r="AA485" s="29">
        <v>1</v>
      </c>
      <c r="AB485" s="29">
        <v>1</v>
      </c>
      <c r="AC485" s="29">
        <v>1</v>
      </c>
      <c r="AD485" s="29">
        <v>1</v>
      </c>
      <c r="AE485" s="29">
        <v>1</v>
      </c>
      <c r="AF485" s="29">
        <v>1</v>
      </c>
      <c r="AG485" s="29">
        <v>1</v>
      </c>
      <c r="AH485" s="29">
        <v>1</v>
      </c>
      <c r="AI485" s="29">
        <v>1</v>
      </c>
      <c r="AJ485" s="29">
        <v>1</v>
      </c>
      <c r="AK485" s="29">
        <v>1</v>
      </c>
      <c r="AL485" s="29"/>
      <c r="AM485" s="29"/>
      <c r="AN485" s="29"/>
      <c r="AO485" s="29"/>
      <c r="AP485" s="29"/>
      <c r="AQ485" s="3"/>
    </row>
    <row r="486" spans="1:43" ht="14.4" x14ac:dyDescent="0.3">
      <c r="A486" s="27" t="s">
        <v>587</v>
      </c>
      <c r="B486" s="29">
        <v>0</v>
      </c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-7027.61800000113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-9.6001258498290501E-8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/>
      <c r="AM486" s="29"/>
      <c r="AN486" s="29"/>
      <c r="AO486" s="29"/>
      <c r="AP486" s="29"/>
      <c r="AQ486" s="3"/>
    </row>
    <row r="487" spans="1:43" ht="14.4" x14ac:dyDescent="0.3">
      <c r="A487" s="27" t="s">
        <v>588</v>
      </c>
      <c r="B487" s="29">
        <v>0</v>
      </c>
      <c r="C487" s="29">
        <v>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/>
      <c r="AM487" s="29"/>
      <c r="AN487" s="29"/>
      <c r="AO487" s="29"/>
      <c r="AP487" s="29"/>
      <c r="AQ487" s="3"/>
    </row>
    <row r="488" spans="1:43" ht="14.4" x14ac:dyDescent="0.3">
      <c r="A488" s="27" t="s">
        <v>589</v>
      </c>
      <c r="B488" s="29">
        <v>0</v>
      </c>
      <c r="C488" s="29">
        <v>0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/>
      <c r="AM488" s="29"/>
      <c r="AN488" s="29"/>
      <c r="AO488" s="29"/>
      <c r="AP488" s="29"/>
      <c r="AQ488" s="3"/>
    </row>
    <row r="489" spans="1:43" ht="14.4" x14ac:dyDescent="0.3">
      <c r="A489" s="27" t="s">
        <v>590</v>
      </c>
      <c r="B489" s="29">
        <v>0</v>
      </c>
      <c r="C489" s="29">
        <v>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/>
      <c r="AM489" s="29"/>
      <c r="AN489" s="29"/>
      <c r="AO489" s="29"/>
      <c r="AP489" s="29"/>
      <c r="AQ489" s="3"/>
    </row>
    <row r="490" spans="1:43" ht="14.4" x14ac:dyDescent="0.3">
      <c r="A490" s="27" t="s">
        <v>591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</row>
    <row r="491" spans="1:43" ht="14.4" x14ac:dyDescent="0.3">
      <c r="A491" s="27" t="s">
        <v>592</v>
      </c>
      <c r="B491" s="29">
        <v>201801</v>
      </c>
      <c r="C491" s="29">
        <v>201801</v>
      </c>
      <c r="D491" s="29">
        <v>201801</v>
      </c>
      <c r="E491" s="29">
        <v>201801</v>
      </c>
      <c r="F491" s="29">
        <v>201801</v>
      </c>
      <c r="G491" s="29">
        <v>201801</v>
      </c>
      <c r="H491" s="29">
        <v>201801</v>
      </c>
      <c r="I491" s="29">
        <v>201801</v>
      </c>
      <c r="J491" s="29">
        <v>201801</v>
      </c>
      <c r="K491" s="29">
        <v>201801</v>
      </c>
      <c r="L491" s="29">
        <v>201801</v>
      </c>
      <c r="M491" s="29">
        <v>201801</v>
      </c>
      <c r="N491" s="29">
        <v>201801</v>
      </c>
      <c r="O491" s="29">
        <v>201801</v>
      </c>
      <c r="P491" s="29">
        <v>201801</v>
      </c>
      <c r="Q491" s="29">
        <v>201801</v>
      </c>
      <c r="R491" s="29">
        <v>201801</v>
      </c>
      <c r="S491" s="29">
        <v>201801</v>
      </c>
      <c r="T491" s="29">
        <v>201801</v>
      </c>
      <c r="U491" s="29">
        <v>201801</v>
      </c>
      <c r="V491" s="29">
        <v>201801</v>
      </c>
      <c r="W491" s="29">
        <v>201801</v>
      </c>
      <c r="X491" s="29">
        <v>201801</v>
      </c>
      <c r="Y491" s="29">
        <v>201801</v>
      </c>
      <c r="Z491" s="29">
        <v>201801</v>
      </c>
      <c r="AA491" s="29">
        <v>201801</v>
      </c>
      <c r="AB491" s="29">
        <v>201801</v>
      </c>
      <c r="AC491" s="29">
        <v>201801</v>
      </c>
      <c r="AD491" s="29">
        <v>201801</v>
      </c>
      <c r="AE491" s="29">
        <v>201801</v>
      </c>
      <c r="AF491" s="29">
        <v>201801</v>
      </c>
      <c r="AG491" s="29">
        <v>201801</v>
      </c>
      <c r="AH491" s="29">
        <v>201801</v>
      </c>
      <c r="AI491" s="29">
        <v>201801</v>
      </c>
      <c r="AJ491" s="29">
        <v>201801</v>
      </c>
      <c r="AK491" s="29">
        <v>201801</v>
      </c>
      <c r="AL491" s="29"/>
      <c r="AM491" s="29"/>
      <c r="AN491" s="29"/>
      <c r="AO491" s="29"/>
      <c r="AP491" s="29"/>
      <c r="AQ491" s="3"/>
    </row>
    <row r="492" spans="1:43" ht="14.4" x14ac:dyDescent="0.3">
      <c r="A492" s="27" t="s">
        <v>593</v>
      </c>
      <c r="B492" s="29">
        <v>201801</v>
      </c>
      <c r="C492" s="29">
        <v>201802</v>
      </c>
      <c r="D492" s="29">
        <v>201803</v>
      </c>
      <c r="E492" s="29">
        <v>201804</v>
      </c>
      <c r="F492" s="29">
        <v>201805</v>
      </c>
      <c r="G492" s="29">
        <v>201806</v>
      </c>
      <c r="H492" s="29">
        <v>201807</v>
      </c>
      <c r="I492" s="29">
        <v>201808</v>
      </c>
      <c r="J492" s="29">
        <v>201809</v>
      </c>
      <c r="K492" s="29">
        <v>201810</v>
      </c>
      <c r="L492" s="29">
        <v>201811</v>
      </c>
      <c r="M492" s="29">
        <v>201812</v>
      </c>
      <c r="N492" s="29">
        <v>201901</v>
      </c>
      <c r="O492" s="29">
        <v>201902</v>
      </c>
      <c r="P492" s="29">
        <v>201903</v>
      </c>
      <c r="Q492" s="29">
        <v>201904</v>
      </c>
      <c r="R492" s="29">
        <v>201905</v>
      </c>
      <c r="S492" s="29">
        <v>201906</v>
      </c>
      <c r="T492" s="29">
        <v>201907</v>
      </c>
      <c r="U492" s="29">
        <v>201908</v>
      </c>
      <c r="V492" s="29">
        <v>201909</v>
      </c>
      <c r="W492" s="29">
        <v>201910</v>
      </c>
      <c r="X492" s="29">
        <v>201911</v>
      </c>
      <c r="Y492" s="29">
        <v>201912</v>
      </c>
      <c r="Z492" s="29">
        <v>202001</v>
      </c>
      <c r="AA492" s="29">
        <v>202002</v>
      </c>
      <c r="AB492" s="29">
        <v>202003</v>
      </c>
      <c r="AC492" s="29">
        <v>202004</v>
      </c>
      <c r="AD492" s="29">
        <v>202005</v>
      </c>
      <c r="AE492" s="29">
        <v>202006</v>
      </c>
      <c r="AF492" s="29">
        <v>202007</v>
      </c>
      <c r="AG492" s="29">
        <v>202008</v>
      </c>
      <c r="AH492" s="29">
        <v>202009</v>
      </c>
      <c r="AI492" s="29">
        <v>202010</v>
      </c>
      <c r="AJ492" s="29">
        <v>202011</v>
      </c>
      <c r="AK492" s="29">
        <v>202012</v>
      </c>
      <c r="AL492" s="29"/>
      <c r="AM492" s="29"/>
      <c r="AN492" s="29"/>
      <c r="AO492" s="29"/>
      <c r="AP492" s="29"/>
      <c r="AQ492" s="3"/>
    </row>
    <row r="493" spans="1:43" ht="14.4" x14ac:dyDescent="0.3">
      <c r="A493" s="27" t="s">
        <v>594</v>
      </c>
      <c r="B493" s="29">
        <v>0</v>
      </c>
      <c r="C493" s="29">
        <v>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/>
      <c r="AM493" s="29"/>
      <c r="AN493" s="29"/>
      <c r="AO493" s="29"/>
      <c r="AP493" s="29"/>
      <c r="AQ493" s="3"/>
    </row>
    <row r="494" spans="1:43" ht="14.4" x14ac:dyDescent="0.3">
      <c r="A494" s="27" t="s">
        <v>595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/>
      <c r="AM494" s="29"/>
      <c r="AN494" s="29"/>
      <c r="AO494" s="29"/>
      <c r="AP494" s="29"/>
      <c r="AQ494" s="3"/>
    </row>
    <row r="495" spans="1:43" ht="14.4" x14ac:dyDescent="0.3">
      <c r="A495" s="27" t="s">
        <v>596</v>
      </c>
      <c r="B495" s="29">
        <v>1</v>
      </c>
      <c r="C495" s="29">
        <v>1</v>
      </c>
      <c r="D495" s="29">
        <v>1</v>
      </c>
      <c r="E495" s="29">
        <v>1</v>
      </c>
      <c r="F495" s="29">
        <v>1</v>
      </c>
      <c r="G495" s="29">
        <v>1</v>
      </c>
      <c r="H495" s="29">
        <v>1</v>
      </c>
      <c r="I495" s="29">
        <v>1</v>
      </c>
      <c r="J495" s="29">
        <v>1</v>
      </c>
      <c r="K495" s="29">
        <v>1</v>
      </c>
      <c r="L495" s="29">
        <v>1</v>
      </c>
      <c r="M495" s="29">
        <v>1</v>
      </c>
      <c r="N495" s="29">
        <v>1</v>
      </c>
      <c r="O495" s="29">
        <v>1</v>
      </c>
      <c r="P495" s="29">
        <v>1</v>
      </c>
      <c r="Q495" s="29">
        <v>1</v>
      </c>
      <c r="R495" s="29">
        <v>1</v>
      </c>
      <c r="S495" s="29">
        <v>1</v>
      </c>
      <c r="T495" s="29">
        <v>1</v>
      </c>
      <c r="U495" s="29">
        <v>1</v>
      </c>
      <c r="V495" s="29">
        <v>1</v>
      </c>
      <c r="W495" s="29">
        <v>1</v>
      </c>
      <c r="X495" s="29">
        <v>1</v>
      </c>
      <c r="Y495" s="29">
        <v>1</v>
      </c>
      <c r="Z495" s="29">
        <v>1</v>
      </c>
      <c r="AA495" s="29">
        <v>1</v>
      </c>
      <c r="AB495" s="29">
        <v>1</v>
      </c>
      <c r="AC495" s="29">
        <v>1</v>
      </c>
      <c r="AD495" s="29">
        <v>1</v>
      </c>
      <c r="AE495" s="29">
        <v>1</v>
      </c>
      <c r="AF495" s="29">
        <v>1</v>
      </c>
      <c r="AG495" s="29">
        <v>1</v>
      </c>
      <c r="AH495" s="29">
        <v>1</v>
      </c>
      <c r="AI495" s="29">
        <v>1</v>
      </c>
      <c r="AJ495" s="29">
        <v>1</v>
      </c>
      <c r="AK495" s="29">
        <v>1</v>
      </c>
      <c r="AL495" s="29"/>
      <c r="AM495" s="29"/>
      <c r="AN495" s="29"/>
      <c r="AO495" s="29"/>
      <c r="AP495" s="29"/>
      <c r="AQ495" s="3"/>
    </row>
    <row r="496" spans="1:43" ht="10.199999999999999" x14ac:dyDescent="0.2">
      <c r="A496" s="27" t="s">
        <v>597</v>
      </c>
      <c r="B496" s="29">
        <v>6132.5776500000002</v>
      </c>
      <c r="C496" s="29">
        <v>6014.2587800000001</v>
      </c>
      <c r="D496" s="29">
        <v>6195.2992000000004</v>
      </c>
      <c r="E496" s="29">
        <v>6259.1302900000001</v>
      </c>
      <c r="F496" s="29">
        <v>6435.9657399999996</v>
      </c>
      <c r="G496" s="29">
        <v>6417.9518699999999</v>
      </c>
      <c r="H496" s="29">
        <v>6472.1962243336302</v>
      </c>
      <c r="I496" s="29">
        <v>6508.6696623524504</v>
      </c>
      <c r="J496" s="29">
        <v>6541.1211243320704</v>
      </c>
      <c r="K496" s="29">
        <v>6665.0477627318996</v>
      </c>
      <c r="L496" s="29">
        <v>6752.0731358581997</v>
      </c>
      <c r="M496" s="29">
        <v>6830.7926117594698</v>
      </c>
      <c r="N496" s="29">
        <v>6855.7213921145403</v>
      </c>
      <c r="O496" s="29">
        <v>6824.0436449030303</v>
      </c>
      <c r="P496" s="29">
        <v>6921.99238785136</v>
      </c>
      <c r="Q496" s="29">
        <v>7071.5812621651503</v>
      </c>
      <c r="R496" s="29">
        <v>8276.8222060527896</v>
      </c>
      <c r="S496" s="29">
        <v>7963.9416636982396</v>
      </c>
      <c r="T496" s="29">
        <v>8007.09370418667</v>
      </c>
      <c r="U496" s="29">
        <v>8028.1819587811497</v>
      </c>
      <c r="V496" s="29">
        <v>8045.0612676255696</v>
      </c>
      <c r="W496" s="29">
        <v>8138.79799830918</v>
      </c>
      <c r="X496" s="29">
        <v>8234.9100209838107</v>
      </c>
      <c r="Y496" s="29">
        <v>8287.5613420268</v>
      </c>
      <c r="Z496" s="29">
        <v>8207.6414775514604</v>
      </c>
      <c r="AA496" s="29">
        <v>8087.2993048783501</v>
      </c>
      <c r="AB496" s="29">
        <v>8141.6002602255203</v>
      </c>
      <c r="AC496" s="29">
        <v>8202.2091778685099</v>
      </c>
      <c r="AD496" s="29">
        <v>8233.2978786243402</v>
      </c>
      <c r="AE496" s="29">
        <v>8252.1250255979994</v>
      </c>
      <c r="AF496" s="29">
        <v>8282.8172920450106</v>
      </c>
      <c r="AG496" s="29">
        <v>8269.5027690543993</v>
      </c>
      <c r="AH496" s="29">
        <v>8284.4320846850096</v>
      </c>
      <c r="AI496" s="29">
        <v>8369.2800396535604</v>
      </c>
      <c r="AJ496" s="29">
        <v>8216.31356332623</v>
      </c>
      <c r="AK496" s="29">
        <v>8267.9484403913302</v>
      </c>
      <c r="AL496" s="29"/>
      <c r="AM496" s="29"/>
      <c r="AN496" s="29"/>
      <c r="AO496" s="29"/>
      <c r="AP496" s="29"/>
      <c r="AQ496" s="29"/>
    </row>
    <row r="497" spans="1:43" ht="14.4" x14ac:dyDescent="0.3">
      <c r="A497" s="27" t="s">
        <v>598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/>
      <c r="AM497" s="29"/>
      <c r="AN497" s="29"/>
      <c r="AO497" s="29"/>
      <c r="AP497" s="29"/>
      <c r="AQ497" s="3"/>
    </row>
    <row r="498" spans="1:43" ht="10.199999999999999" x14ac:dyDescent="0.2">
      <c r="A498" s="27" t="s">
        <v>599</v>
      </c>
      <c r="B498" s="29">
        <v>6132.5776500000002</v>
      </c>
      <c r="C498" s="29">
        <v>6014.2587800000001</v>
      </c>
      <c r="D498" s="29">
        <v>6195.2992000000004</v>
      </c>
      <c r="E498" s="29">
        <v>6259.1302900000001</v>
      </c>
      <c r="F498" s="29">
        <v>6435.9657399999996</v>
      </c>
      <c r="G498" s="29">
        <v>6417.9518699999999</v>
      </c>
      <c r="H498" s="29">
        <v>6472.1962243336302</v>
      </c>
      <c r="I498" s="29">
        <v>6508.6696623524504</v>
      </c>
      <c r="J498" s="29">
        <v>6541.1211243320704</v>
      </c>
      <c r="K498" s="29">
        <v>6665.0477627318996</v>
      </c>
      <c r="L498" s="29">
        <v>6752.0731358581997</v>
      </c>
      <c r="M498" s="29">
        <v>6830.7926117594698</v>
      </c>
      <c r="N498" s="29">
        <v>6855.7213921145403</v>
      </c>
      <c r="O498" s="29">
        <v>6824.0436449030303</v>
      </c>
      <c r="P498" s="29">
        <v>6921.99238785136</v>
      </c>
      <c r="Q498" s="29">
        <v>7071.5812621651503</v>
      </c>
      <c r="R498" s="29">
        <v>8276.8222060527896</v>
      </c>
      <c r="S498" s="29">
        <v>7963.9416636982396</v>
      </c>
      <c r="T498" s="29">
        <v>8007.09370418667</v>
      </c>
      <c r="U498" s="29">
        <v>8028.1819587811497</v>
      </c>
      <c r="V498" s="29">
        <v>8045.0612676255696</v>
      </c>
      <c r="W498" s="29">
        <v>8138.79799830918</v>
      </c>
      <c r="X498" s="29">
        <v>8234.9100209838107</v>
      </c>
      <c r="Y498" s="29">
        <v>8287.5613420268</v>
      </c>
      <c r="Z498" s="29">
        <v>8207.6414775514604</v>
      </c>
      <c r="AA498" s="29">
        <v>8087.2993048783501</v>
      </c>
      <c r="AB498" s="29">
        <v>8141.6002602255203</v>
      </c>
      <c r="AC498" s="29">
        <v>8202.2091778685099</v>
      </c>
      <c r="AD498" s="29">
        <v>8233.2978786243402</v>
      </c>
      <c r="AE498" s="29">
        <v>8252.1250255979994</v>
      </c>
      <c r="AF498" s="29">
        <v>8282.8172920450106</v>
      </c>
      <c r="AG498" s="29">
        <v>8269.5027690543993</v>
      </c>
      <c r="AH498" s="29">
        <v>8284.4320846850096</v>
      </c>
      <c r="AI498" s="29">
        <v>8369.2800396535604</v>
      </c>
      <c r="AJ498" s="29">
        <v>8216.31356332623</v>
      </c>
      <c r="AK498" s="29">
        <v>8267.9484403913302</v>
      </c>
      <c r="AL498" s="29"/>
      <c r="AM498" s="29"/>
      <c r="AN498" s="29"/>
      <c r="AO498" s="29"/>
      <c r="AP498" s="29"/>
      <c r="AQ498" s="29"/>
    </row>
    <row r="499" spans="1:43" ht="14.4" x14ac:dyDescent="0.3">
      <c r="A499" s="27" t="s">
        <v>600</v>
      </c>
      <c r="B499" s="29">
        <v>0</v>
      </c>
      <c r="C499" s="29">
        <v>0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/>
      <c r="AM499" s="29"/>
      <c r="AN499" s="29"/>
      <c r="AO499" s="29"/>
      <c r="AP499" s="29"/>
      <c r="AQ499" s="3"/>
    </row>
    <row r="500" spans="1:43" ht="14.4" x14ac:dyDescent="0.3">
      <c r="A500" s="27" t="s">
        <v>601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</row>
    <row r="501" spans="1:43" ht="14.4" x14ac:dyDescent="0.3">
      <c r="A501" s="27" t="s">
        <v>602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051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CCAB5F1-8AEE-45F2-8B89-AEB16234B9F4}"/>
</file>

<file path=customXml/itemProps2.xml><?xml version="1.0" encoding="utf-8"?>
<ds:datastoreItem xmlns:ds="http://schemas.openxmlformats.org/officeDocument/2006/customXml" ds:itemID="{F7C2FDC8-B45A-4F62-B050-71B240246946}"/>
</file>

<file path=customXml/itemProps3.xml><?xml version="1.0" encoding="utf-8"?>
<ds:datastoreItem xmlns:ds="http://schemas.openxmlformats.org/officeDocument/2006/customXml" ds:itemID="{A20D2FC0-7716-48BC-945F-94C2CF18F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Balance Sheet</vt:lpstr>
      <vt:lpstr>KU Provision</vt:lpstr>
      <vt:lpstr>UIGET-KU</vt:lpstr>
      <vt:lpstr>Reg Asset and Liab</vt:lpstr>
      <vt:lpstr>Reg Asset and Liab 2018-2020</vt:lpstr>
      <vt:lpstr>Income Tax Detail - Monthly</vt:lpstr>
      <vt:lpstr>'Balance Sheet'!Print_Area</vt:lpstr>
      <vt:lpstr>'Balance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2018-11-21T17:57:18Z</dcterms:created>
  <dcterms:modified xsi:type="dcterms:W3CDTF">2018-11-21T19:45:16Z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