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10" windowWidth="22410" windowHeight="8070" tabRatio="853" activeTab="3"/>
  </bookViews>
  <sheets>
    <sheet name="Rate Case Constants" sheetId="37" r:id="rId1"/>
    <sheet name="INPUT" sheetId="5" r:id="rId2"/>
    <sheet name="SCHEDULES===&gt;" sheetId="38" r:id="rId3"/>
    <sheet name="Rate RS-VFD" sheetId="4" r:id="rId4"/>
    <sheet name="Rate RTOD Energy" sheetId="33" r:id="rId5"/>
    <sheet name="Rate RTOD Demand" sheetId="32" r:id="rId6"/>
    <sheet name="Rate AES Single Phase" sheetId="28" r:id="rId7"/>
    <sheet name="Rate AES Three Phase" sheetId="40" r:id="rId8"/>
    <sheet name="Rate GS Single Phase" sheetId="27" r:id="rId9"/>
    <sheet name="Rate GS Three Phase" sheetId="39" r:id="rId10"/>
    <sheet name="Rate PS Secondary" sheetId="15" r:id="rId11"/>
    <sheet name="Rate PS Primary" sheetId="24" r:id="rId12"/>
    <sheet name="Rate TOD Secondary" sheetId="25" r:id="rId13"/>
    <sheet name="Rate TOD Primary" sheetId="19" r:id="rId14"/>
    <sheet name="Rate RTS" sheetId="26" r:id="rId15"/>
    <sheet name="Rate FLS Transmission" sheetId="31" r:id="rId16"/>
    <sheet name="Rate FLS Primary" sheetId="41" r:id="rId17"/>
    <sheet name="Rate LS-RLS" sheetId="2" r:id="rId18"/>
    <sheet name="Rate LE" sheetId="35" r:id="rId19"/>
    <sheet name="Rate TE" sheetId="34" r:id="rId20"/>
    <sheet name="Rate OSL - Secondary" sheetId="45" r:id="rId21"/>
    <sheet name="Rate OSL - Primary" sheetId="47" r:id="rId22"/>
    <sheet name="Rate EVC" sheetId="44" r:id="rId23"/>
    <sheet name="Rate PSA" sheetId="36" r:id="rId24"/>
  </sheets>
  <definedNames>
    <definedName name="_xlnm._FilterDatabase" localSheetId="1" hidden="1">INPUT!$X$2:$X$87</definedName>
    <definedName name="_xlnm._FilterDatabase" localSheetId="17" hidden="1">'Rate LS-RLS'!$N$19:$R$202</definedName>
    <definedName name="_xlnm.Print_Area" localSheetId="1">INPUT!$A$1:$V$74</definedName>
    <definedName name="_xlnm.Print_Area" localSheetId="6">'Rate AES Single Phase'!$A$1:$L$40</definedName>
    <definedName name="_xlnm.Print_Area" localSheetId="7">'Rate AES Three Phase'!$A$1:$L$40</definedName>
    <definedName name="_xlnm.Print_Area" localSheetId="22">'Rate EVC'!$A$1:$L$40</definedName>
    <definedName name="_xlnm.Print_Area" localSheetId="16">'Rate FLS Primary'!$A$1:$P$46</definedName>
    <definedName name="_xlnm.Print_Area" localSheetId="15">'Rate FLS Transmission'!$A$1:$P$46</definedName>
    <definedName name="_xlnm.Print_Area" localSheetId="8">'Rate GS Single Phase'!$A$1:$L$42</definedName>
    <definedName name="_xlnm.Print_Area" localSheetId="9">'Rate GS Three Phase'!$A$1:$L$40</definedName>
    <definedName name="_xlnm.Print_Area" localSheetId="18">'Rate LE'!$A$1:$K$41</definedName>
    <definedName name="_xlnm.Print_Area" localSheetId="17">'Rate LS-RLS'!$A$1:$K$196</definedName>
    <definedName name="_xlnm.Print_Area" localSheetId="21">'Rate OSL - Primary'!$A$1:$P$44</definedName>
    <definedName name="_xlnm.Print_Area" localSheetId="20">'Rate OSL - Secondary'!$A$1:$P$44</definedName>
    <definedName name="_xlnm.Print_Area" localSheetId="11">'Rate PS Primary'!$A$1:$P$44</definedName>
    <definedName name="_xlnm.Print_Area" localSheetId="10">'Rate PS Secondary'!$A$1:$P$44</definedName>
    <definedName name="_xlnm.Print_Area" localSheetId="23">'Rate PSA'!$A$1:$F$37</definedName>
    <definedName name="_xlnm.Print_Area" localSheetId="3">'Rate RS-VFD'!$A$1:$L$40</definedName>
    <definedName name="_xlnm.Print_Area" localSheetId="5">'Rate RTOD Demand'!$A$1:$P$43</definedName>
    <definedName name="_xlnm.Print_Area" localSheetId="4">'Rate RTOD Energy'!$A$1:$L$40</definedName>
    <definedName name="_xlnm.Print_Area" localSheetId="14">'Rate RTS'!$A$1:$P$45</definedName>
    <definedName name="_xlnm.Print_Area" localSheetId="19">'Rate TE'!$A$1:$K$41</definedName>
    <definedName name="_xlnm.Print_Area" localSheetId="13">'Rate TOD Primary'!$A$1:$P$44</definedName>
    <definedName name="_xlnm.Print_Area" localSheetId="12">'Rate TOD Secondary'!$A$1:$Q$44</definedName>
  </definedNames>
  <calcPr calcId="152511"/>
</workbook>
</file>

<file path=xl/calcChain.xml><?xml version="1.0" encoding="utf-8"?>
<calcChain xmlns="http://schemas.openxmlformats.org/spreadsheetml/2006/main">
  <c r="W36" i="25" l="1"/>
  <c r="W33" i="25"/>
  <c r="W34" i="25"/>
  <c r="W32" i="25"/>
  <c r="V32" i="25"/>
  <c r="R191" i="2" l="1"/>
  <c r="Q191" i="2"/>
  <c r="D191" i="2" s="1"/>
  <c r="P191" i="2"/>
  <c r="R190" i="2"/>
  <c r="Q190" i="2"/>
  <c r="D190" i="2" s="1"/>
  <c r="P190" i="2"/>
  <c r="C190" i="2" s="1"/>
  <c r="R189" i="2"/>
  <c r="Q189" i="2"/>
  <c r="D189" i="2" s="1"/>
  <c r="P189" i="2"/>
  <c r="C189" i="2" s="1"/>
  <c r="R188" i="2"/>
  <c r="Q188" i="2"/>
  <c r="D188" i="2" s="1"/>
  <c r="P188" i="2"/>
  <c r="C188" i="2" s="1"/>
  <c r="R187" i="2"/>
  <c r="Q187" i="2"/>
  <c r="D187" i="2" s="1"/>
  <c r="P187" i="2"/>
  <c r="C187" i="2" s="1"/>
  <c r="R186" i="2"/>
  <c r="Q186" i="2"/>
  <c r="D186" i="2" s="1"/>
  <c r="P186" i="2"/>
  <c r="C186" i="2" s="1"/>
  <c r="R185" i="2"/>
  <c r="Q185" i="2"/>
  <c r="D185" i="2" s="1"/>
  <c r="P185" i="2"/>
  <c r="C185" i="2" s="1"/>
  <c r="R184" i="2"/>
  <c r="Q184" i="2"/>
  <c r="D184" i="2" s="1"/>
  <c r="P184" i="2"/>
  <c r="C184" i="2" s="1"/>
  <c r="R183" i="2"/>
  <c r="Q183" i="2"/>
  <c r="D183" i="2" s="1"/>
  <c r="P183" i="2"/>
  <c r="C183" i="2" s="1"/>
  <c r="R182" i="2"/>
  <c r="Q182" i="2"/>
  <c r="D182" i="2" s="1"/>
  <c r="P182" i="2"/>
  <c r="C182" i="2" s="1"/>
  <c r="R181" i="2"/>
  <c r="Q181" i="2"/>
  <c r="D181" i="2" s="1"/>
  <c r="P181" i="2"/>
  <c r="C181" i="2" s="1"/>
  <c r="R180" i="2"/>
  <c r="Q180" i="2"/>
  <c r="D180" i="2" s="1"/>
  <c r="P180" i="2"/>
  <c r="C180" i="2" s="1"/>
  <c r="R179" i="2"/>
  <c r="Q179" i="2"/>
  <c r="D179" i="2" s="1"/>
  <c r="P179" i="2"/>
  <c r="C179" i="2" s="1"/>
  <c r="R178" i="2"/>
  <c r="Q178" i="2"/>
  <c r="D178" i="2" s="1"/>
  <c r="P178" i="2"/>
  <c r="C178" i="2" s="1"/>
  <c r="R177" i="2"/>
  <c r="Q177" i="2"/>
  <c r="D177" i="2" s="1"/>
  <c r="P177" i="2"/>
  <c r="C177" i="2" s="1"/>
  <c r="R176" i="2"/>
  <c r="Q176" i="2"/>
  <c r="D176" i="2" s="1"/>
  <c r="P176" i="2"/>
  <c r="C176" i="2" s="1"/>
  <c r="R175" i="2"/>
  <c r="Q175" i="2"/>
  <c r="D175" i="2" s="1"/>
  <c r="P175" i="2"/>
  <c r="C175" i="2" s="1"/>
  <c r="R174" i="2"/>
  <c r="Q174" i="2"/>
  <c r="D174" i="2" s="1"/>
  <c r="P174" i="2"/>
  <c r="C174" i="2" s="1"/>
  <c r="R173" i="2"/>
  <c r="Q173" i="2"/>
  <c r="D173" i="2" s="1"/>
  <c r="P173" i="2"/>
  <c r="C173" i="2" s="1"/>
  <c r="R172" i="2"/>
  <c r="Q172" i="2"/>
  <c r="D172" i="2" s="1"/>
  <c r="P172" i="2"/>
  <c r="C172" i="2" s="1"/>
  <c r="R171" i="2"/>
  <c r="Q171" i="2"/>
  <c r="D171" i="2" s="1"/>
  <c r="P171" i="2"/>
  <c r="C171" i="2" s="1"/>
  <c r="R168" i="2"/>
  <c r="Q168" i="2"/>
  <c r="D168" i="2" s="1"/>
  <c r="P168" i="2"/>
  <c r="C168" i="2" s="1"/>
  <c r="R167" i="2"/>
  <c r="Q167" i="2"/>
  <c r="D167" i="2" s="1"/>
  <c r="P167" i="2"/>
  <c r="C167" i="2" s="1"/>
  <c r="R166" i="2"/>
  <c r="Q166" i="2"/>
  <c r="D166" i="2" s="1"/>
  <c r="P166" i="2"/>
  <c r="C166" i="2" s="1"/>
  <c r="R165" i="2"/>
  <c r="Q165" i="2"/>
  <c r="D165" i="2" s="1"/>
  <c r="P165" i="2"/>
  <c r="C165" i="2" s="1"/>
  <c r="R164" i="2"/>
  <c r="Q164" i="2"/>
  <c r="D164" i="2" s="1"/>
  <c r="P164" i="2"/>
  <c r="C164" i="2" s="1"/>
  <c r="R163" i="2"/>
  <c r="Q163" i="2"/>
  <c r="D163" i="2" s="1"/>
  <c r="P163" i="2"/>
  <c r="C163" i="2" s="1"/>
  <c r="R162" i="2"/>
  <c r="Q162" i="2"/>
  <c r="D162" i="2" s="1"/>
  <c r="P162" i="2"/>
  <c r="C162" i="2" s="1"/>
  <c r="R161" i="2"/>
  <c r="Q161" i="2"/>
  <c r="D161" i="2" s="1"/>
  <c r="P161" i="2"/>
  <c r="C161" i="2" s="1"/>
  <c r="R160" i="2"/>
  <c r="Q160" i="2"/>
  <c r="D160" i="2" s="1"/>
  <c r="P160" i="2"/>
  <c r="C160" i="2" s="1"/>
  <c r="R156" i="2"/>
  <c r="Q156" i="2"/>
  <c r="D156" i="2" s="1"/>
  <c r="P156" i="2"/>
  <c r="C156" i="2" s="1"/>
  <c r="R155" i="2"/>
  <c r="Q155" i="2"/>
  <c r="D155" i="2" s="1"/>
  <c r="P155" i="2"/>
  <c r="C155" i="2" s="1"/>
  <c r="R154" i="2"/>
  <c r="Q154" i="2"/>
  <c r="D154" i="2" s="1"/>
  <c r="P154" i="2"/>
  <c r="C154" i="2" s="1"/>
  <c r="R153" i="2"/>
  <c r="Q153" i="2"/>
  <c r="D153" i="2" s="1"/>
  <c r="P153" i="2"/>
  <c r="C153" i="2" s="1"/>
  <c r="R130" i="2"/>
  <c r="Q130" i="2"/>
  <c r="D130" i="2" s="1"/>
  <c r="P130" i="2"/>
  <c r="C130" i="2" s="1"/>
  <c r="R129" i="2"/>
  <c r="Q129" i="2"/>
  <c r="D129" i="2" s="1"/>
  <c r="P129" i="2"/>
  <c r="C129" i="2" s="1"/>
  <c r="R128" i="2"/>
  <c r="Q128" i="2"/>
  <c r="D128" i="2" s="1"/>
  <c r="P128" i="2"/>
  <c r="C128" i="2" s="1"/>
  <c r="R127" i="2"/>
  <c r="Q127" i="2"/>
  <c r="D127" i="2" s="1"/>
  <c r="P127" i="2"/>
  <c r="C127" i="2" s="1"/>
  <c r="R126" i="2"/>
  <c r="Q126" i="2"/>
  <c r="D126" i="2" s="1"/>
  <c r="P126" i="2"/>
  <c r="C126" i="2" s="1"/>
  <c r="R125" i="2"/>
  <c r="Q125" i="2"/>
  <c r="D125" i="2" s="1"/>
  <c r="P125" i="2"/>
  <c r="C125" i="2" s="1"/>
  <c r="R124" i="2"/>
  <c r="Q124" i="2"/>
  <c r="D124" i="2" s="1"/>
  <c r="P124" i="2"/>
  <c r="C124" i="2" s="1"/>
  <c r="R121" i="2"/>
  <c r="Q121" i="2"/>
  <c r="D121" i="2" s="1"/>
  <c r="P121" i="2"/>
  <c r="C121" i="2" s="1"/>
  <c r="R120" i="2"/>
  <c r="Q120" i="2"/>
  <c r="D120" i="2" s="1"/>
  <c r="P120" i="2"/>
  <c r="C120" i="2" s="1"/>
  <c r="R119" i="2"/>
  <c r="Q119" i="2"/>
  <c r="D119" i="2" s="1"/>
  <c r="P119" i="2"/>
  <c r="C119" i="2" s="1"/>
  <c r="R118" i="2"/>
  <c r="Q118" i="2"/>
  <c r="D118" i="2" s="1"/>
  <c r="P118" i="2"/>
  <c r="C118" i="2" s="1"/>
  <c r="R117" i="2"/>
  <c r="Q117" i="2"/>
  <c r="D117" i="2" s="1"/>
  <c r="P117" i="2"/>
  <c r="C117" i="2" s="1"/>
  <c r="R116" i="2"/>
  <c r="Q116" i="2"/>
  <c r="D116" i="2" s="1"/>
  <c r="P116" i="2"/>
  <c r="C116" i="2" s="1"/>
  <c r="R113" i="2"/>
  <c r="Q113" i="2"/>
  <c r="D113" i="2" s="1"/>
  <c r="P113" i="2"/>
  <c r="C113" i="2" s="1"/>
  <c r="R112" i="2"/>
  <c r="Q112" i="2"/>
  <c r="D112" i="2" s="1"/>
  <c r="P112" i="2"/>
  <c r="C112" i="2" s="1"/>
  <c r="R111" i="2"/>
  <c r="Q111" i="2"/>
  <c r="D111" i="2" s="1"/>
  <c r="P111" i="2"/>
  <c r="C111" i="2" s="1"/>
  <c r="R110" i="2"/>
  <c r="Q110" i="2"/>
  <c r="D110" i="2" s="1"/>
  <c r="P110" i="2"/>
  <c r="C110" i="2" s="1"/>
  <c r="R109" i="2"/>
  <c r="Q109" i="2"/>
  <c r="D109" i="2" s="1"/>
  <c r="P109" i="2"/>
  <c r="C109" i="2" s="1"/>
  <c r="R108" i="2"/>
  <c r="Q108" i="2"/>
  <c r="D108" i="2" s="1"/>
  <c r="P108" i="2"/>
  <c r="C108" i="2" s="1"/>
  <c r="R107" i="2"/>
  <c r="Q107" i="2"/>
  <c r="D107" i="2" s="1"/>
  <c r="P107" i="2"/>
  <c r="C107" i="2" s="1"/>
  <c r="R106" i="2"/>
  <c r="Q106" i="2"/>
  <c r="D106" i="2" s="1"/>
  <c r="P106" i="2"/>
  <c r="C106" i="2" s="1"/>
  <c r="R105" i="2"/>
  <c r="Q105" i="2"/>
  <c r="D105" i="2" s="1"/>
  <c r="P105" i="2"/>
  <c r="C105" i="2" s="1"/>
  <c r="R104" i="2"/>
  <c r="Q104" i="2"/>
  <c r="D104" i="2" s="1"/>
  <c r="P104" i="2"/>
  <c r="C104" i="2" s="1"/>
  <c r="R103" i="2"/>
  <c r="Q103" i="2"/>
  <c r="D103" i="2" s="1"/>
  <c r="P103" i="2"/>
  <c r="C103" i="2" s="1"/>
  <c r="R102" i="2"/>
  <c r="Q102" i="2"/>
  <c r="D102" i="2" s="1"/>
  <c r="P102" i="2"/>
  <c r="C102" i="2" s="1"/>
  <c r="R101" i="2"/>
  <c r="Q101" i="2"/>
  <c r="D101" i="2" s="1"/>
  <c r="P101" i="2"/>
  <c r="C101" i="2" s="1"/>
  <c r="R100" i="2"/>
  <c r="Q100" i="2"/>
  <c r="D100" i="2" s="1"/>
  <c r="P100" i="2"/>
  <c r="C100" i="2" s="1"/>
  <c r="R99" i="2"/>
  <c r="Q99" i="2"/>
  <c r="D99" i="2" s="1"/>
  <c r="P99" i="2"/>
  <c r="C99" i="2" s="1"/>
  <c r="R98" i="2"/>
  <c r="Q98" i="2"/>
  <c r="D98" i="2" s="1"/>
  <c r="P98" i="2"/>
  <c r="C98" i="2" s="1"/>
  <c r="R75" i="2"/>
  <c r="Q75" i="2"/>
  <c r="D75" i="2" s="1"/>
  <c r="P75" i="2"/>
  <c r="R73" i="2"/>
  <c r="Q73" i="2"/>
  <c r="D73" i="2" s="1"/>
  <c r="P73" i="2"/>
  <c r="R72" i="2"/>
  <c r="Q72" i="2"/>
  <c r="D72" i="2" s="1"/>
  <c r="P72" i="2"/>
  <c r="R71" i="2"/>
  <c r="Q71" i="2"/>
  <c r="D71" i="2" s="1"/>
  <c r="P71" i="2"/>
  <c r="R70" i="2"/>
  <c r="Q70" i="2"/>
  <c r="D70" i="2" s="1"/>
  <c r="P70" i="2"/>
  <c r="R68" i="2"/>
  <c r="Q68" i="2"/>
  <c r="D68" i="2" s="1"/>
  <c r="P68" i="2"/>
  <c r="C68" i="2" s="1"/>
  <c r="R67" i="2"/>
  <c r="Q67" i="2"/>
  <c r="D67" i="2" s="1"/>
  <c r="P67" i="2"/>
  <c r="C67" i="2" s="1"/>
  <c r="R44" i="2"/>
  <c r="Q44" i="2"/>
  <c r="D44" i="2" s="1"/>
  <c r="P44" i="2"/>
  <c r="R43" i="2"/>
  <c r="Q43" i="2"/>
  <c r="D43" i="2" s="1"/>
  <c r="P43" i="2"/>
  <c r="R42" i="2"/>
  <c r="Q42" i="2"/>
  <c r="D42" i="2" s="1"/>
  <c r="P42" i="2"/>
  <c r="R41" i="2"/>
  <c r="Q41" i="2"/>
  <c r="D41" i="2" s="1"/>
  <c r="P41" i="2"/>
  <c r="R40" i="2"/>
  <c r="Q40" i="2"/>
  <c r="D40" i="2" s="1"/>
  <c r="P40" i="2"/>
  <c r="R39" i="2"/>
  <c r="Q39" i="2"/>
  <c r="D39" i="2" s="1"/>
  <c r="P39" i="2"/>
  <c r="R38" i="2"/>
  <c r="Q38" i="2"/>
  <c r="D38" i="2" s="1"/>
  <c r="P38" i="2"/>
  <c r="R37" i="2"/>
  <c r="Q37" i="2"/>
  <c r="D37" i="2" s="1"/>
  <c r="P37" i="2"/>
  <c r="R36" i="2"/>
  <c r="Q36" i="2"/>
  <c r="D36" i="2" s="1"/>
  <c r="P36" i="2"/>
  <c r="R35" i="2"/>
  <c r="Q35" i="2"/>
  <c r="D35" i="2" s="1"/>
  <c r="P35" i="2"/>
  <c r="R34" i="2"/>
  <c r="Q34" i="2"/>
  <c r="D34" i="2" s="1"/>
  <c r="P34" i="2"/>
  <c r="C34" i="2" s="1"/>
  <c r="R33" i="2"/>
  <c r="Q33" i="2"/>
  <c r="D33" i="2" s="1"/>
  <c r="P33" i="2"/>
  <c r="C33" i="2" s="1"/>
  <c r="R32" i="2"/>
  <c r="Q32" i="2"/>
  <c r="D32" i="2" s="1"/>
  <c r="P32" i="2"/>
  <c r="C32" i="2" s="1"/>
  <c r="R31" i="2"/>
  <c r="Q31" i="2"/>
  <c r="D31" i="2" s="1"/>
  <c r="P31" i="2"/>
  <c r="C31" i="2" s="1"/>
  <c r="R30" i="2"/>
  <c r="Q30" i="2"/>
  <c r="D30" i="2" s="1"/>
  <c r="P30" i="2"/>
  <c r="R28" i="2"/>
  <c r="Q28" i="2"/>
  <c r="D28" i="2" s="1"/>
  <c r="P28" i="2"/>
  <c r="R27" i="2"/>
  <c r="Q27" i="2"/>
  <c r="D27" i="2" s="1"/>
  <c r="P27" i="2"/>
  <c r="R26" i="2"/>
  <c r="Q26" i="2"/>
  <c r="D26" i="2" s="1"/>
  <c r="P26" i="2"/>
  <c r="R25" i="2"/>
  <c r="Q25" i="2"/>
  <c r="D25" i="2" s="1"/>
  <c r="P25" i="2"/>
  <c r="R24" i="2"/>
  <c r="Q24" i="2"/>
  <c r="D24" i="2" s="1"/>
  <c r="P24" i="2"/>
  <c r="R23" i="2"/>
  <c r="Q23" i="2"/>
  <c r="D23" i="2" s="1"/>
  <c r="P23" i="2"/>
  <c r="C23" i="2" s="1"/>
  <c r="R22" i="2"/>
  <c r="Q22" i="2"/>
  <c r="D22" i="2" s="1"/>
  <c r="P22" i="2"/>
  <c r="C22" i="2" s="1"/>
  <c r="R21" i="2"/>
  <c r="Q21" i="2"/>
  <c r="D21" i="2" s="1"/>
  <c r="P21" i="2"/>
  <c r="C21" i="2" s="1"/>
  <c r="R20" i="2"/>
  <c r="Q20" i="2"/>
  <c r="D20" i="2" s="1"/>
  <c r="P20" i="2"/>
  <c r="C20" i="2" s="1"/>
  <c r="C191" i="2"/>
  <c r="A20" i="25" l="1"/>
  <c r="V2" i="25" l="1"/>
  <c r="F20" i="25"/>
  <c r="V4" i="25" l="1"/>
  <c r="V6" i="25"/>
  <c r="A24" i="25" l="1"/>
  <c r="A36" i="25"/>
  <c r="A28" i="25"/>
  <c r="A32" i="25"/>
  <c r="H25" i="5"/>
  <c r="V19" i="44" l="1"/>
  <c r="M54" i="5"/>
  <c r="R12" i="4" s="1"/>
  <c r="L54" i="5"/>
  <c r="T11" i="32" s="1"/>
  <c r="N54" i="5"/>
  <c r="R11" i="33" l="1"/>
  <c r="T12" i="32"/>
  <c r="R11" i="4"/>
  <c r="R12" i="33"/>
  <c r="AD18" i="47"/>
  <c r="AD17" i="47"/>
  <c r="AC17" i="47"/>
  <c r="U18" i="47"/>
  <c r="U17" i="47"/>
  <c r="T17" i="47"/>
  <c r="S20" i="47"/>
  <c r="P8" i="47"/>
  <c r="A41" i="47"/>
  <c r="A44" i="47" l="1"/>
  <c r="AM38" i="47"/>
  <c r="AK38" i="47"/>
  <c r="S38" i="47"/>
  <c r="E38" i="47"/>
  <c r="AM37" i="47"/>
  <c r="AK37" i="47"/>
  <c r="S37" i="47"/>
  <c r="E37" i="47"/>
  <c r="AM36" i="47"/>
  <c r="AK36" i="47"/>
  <c r="AD36" i="47"/>
  <c r="E36" i="47"/>
  <c r="AM34" i="47"/>
  <c r="AK34" i="47"/>
  <c r="U34" i="47"/>
  <c r="E34" i="47"/>
  <c r="AC34" i="47" s="1"/>
  <c r="AM33" i="47"/>
  <c r="AK33" i="47"/>
  <c r="AD33" i="47"/>
  <c r="S33" i="47"/>
  <c r="E33" i="47"/>
  <c r="AM32" i="47"/>
  <c r="AK32" i="47"/>
  <c r="E32" i="47"/>
  <c r="AM30" i="47"/>
  <c r="AK30" i="47"/>
  <c r="AD30" i="47"/>
  <c r="E30" i="47"/>
  <c r="AM29" i="47"/>
  <c r="AK29" i="47"/>
  <c r="U29" i="47"/>
  <c r="E29" i="47"/>
  <c r="AC29" i="47" s="1"/>
  <c r="AM28" i="47"/>
  <c r="AK28" i="47"/>
  <c r="AD28" i="47"/>
  <c r="AC28" i="47"/>
  <c r="S28" i="47"/>
  <c r="E28" i="47"/>
  <c r="AM26" i="47"/>
  <c r="AK26" i="47"/>
  <c r="E26" i="47"/>
  <c r="AM25" i="47"/>
  <c r="AK25" i="47"/>
  <c r="AD25" i="47"/>
  <c r="E25" i="47"/>
  <c r="AM24" i="47"/>
  <c r="AK24" i="47"/>
  <c r="U24" i="47"/>
  <c r="E24" i="47"/>
  <c r="AC24" i="47" s="1"/>
  <c r="AM22" i="47"/>
  <c r="AK22" i="47"/>
  <c r="AD22" i="47"/>
  <c r="AC22" i="47"/>
  <c r="S22" i="47"/>
  <c r="E22" i="47"/>
  <c r="AM21" i="47"/>
  <c r="AK21" i="47"/>
  <c r="E21" i="47"/>
  <c r="AM20" i="47"/>
  <c r="AK20" i="47"/>
  <c r="AD20" i="47"/>
  <c r="E20" i="47"/>
  <c r="AD38" i="47"/>
  <c r="P18" i="47"/>
  <c r="O18" i="47"/>
  <c r="N18" i="47"/>
  <c r="J18" i="47"/>
  <c r="I18" i="47"/>
  <c r="AD37" i="47"/>
  <c r="P9" i="47"/>
  <c r="A9" i="47"/>
  <c r="A8" i="47"/>
  <c r="P7" i="47"/>
  <c r="A7" i="47"/>
  <c r="A4" i="47"/>
  <c r="A3" i="47"/>
  <c r="A2" i="47"/>
  <c r="A1" i="47"/>
  <c r="E20" i="45"/>
  <c r="AC33" i="47" l="1"/>
  <c r="T36" i="47"/>
  <c r="T30" i="47"/>
  <c r="T25" i="47"/>
  <c r="T20" i="47"/>
  <c r="T37" i="47"/>
  <c r="S34" i="47"/>
  <c r="S29" i="47"/>
  <c r="S24" i="47"/>
  <c r="T22" i="47"/>
  <c r="S25" i="47"/>
  <c r="T28" i="47"/>
  <c r="S30" i="47"/>
  <c r="T33" i="47"/>
  <c r="S36" i="47"/>
  <c r="T38" i="47"/>
  <c r="U37" i="47"/>
  <c r="U32" i="47"/>
  <c r="U26" i="47"/>
  <c r="U21" i="47"/>
  <c r="U38" i="47"/>
  <c r="U20" i="47"/>
  <c r="W20" i="47" s="1"/>
  <c r="G20" i="47" s="1"/>
  <c r="S21" i="47"/>
  <c r="AC21" i="47"/>
  <c r="U22" i="47"/>
  <c r="U25" i="47"/>
  <c r="S26" i="47"/>
  <c r="AC26" i="47"/>
  <c r="U28" i="47"/>
  <c r="U30" i="47"/>
  <c r="S32" i="47"/>
  <c r="AC32" i="47"/>
  <c r="U33" i="47"/>
  <c r="U36" i="47"/>
  <c r="AC36" i="47"/>
  <c r="AC30" i="47"/>
  <c r="AC25" i="47"/>
  <c r="AC20" i="47"/>
  <c r="AC37" i="47"/>
  <c r="T21" i="47"/>
  <c r="T24" i="47"/>
  <c r="AD24" i="47"/>
  <c r="T26" i="47"/>
  <c r="T29" i="47"/>
  <c r="AD29" i="47"/>
  <c r="T32" i="47"/>
  <c r="T34" i="47"/>
  <c r="AD34" i="47"/>
  <c r="AC38" i="47"/>
  <c r="AD21" i="47"/>
  <c r="AD26" i="47"/>
  <c r="AD32" i="47"/>
  <c r="W33" i="47" l="1"/>
  <c r="G33" i="47" s="1"/>
  <c r="W29" i="47"/>
  <c r="G29" i="47" s="1"/>
  <c r="W36" i="47"/>
  <c r="G36" i="47" s="1"/>
  <c r="W22" i="47"/>
  <c r="G22" i="47" s="1"/>
  <c r="W37" i="47"/>
  <c r="G37" i="47" s="1"/>
  <c r="W38" i="47"/>
  <c r="G38" i="47" s="1"/>
  <c r="W28" i="47"/>
  <c r="G28" i="47" s="1"/>
  <c r="W34" i="47"/>
  <c r="G34" i="47" s="1"/>
  <c r="W26" i="47"/>
  <c r="G26" i="47" s="1"/>
  <c r="W25" i="47"/>
  <c r="G25" i="47" s="1"/>
  <c r="W32" i="47"/>
  <c r="G32" i="47" s="1"/>
  <c r="W21" i="47"/>
  <c r="G21" i="47" s="1"/>
  <c r="W30" i="47"/>
  <c r="G30" i="47" s="1"/>
  <c r="W24" i="47"/>
  <c r="G24" i="47" s="1"/>
  <c r="AD18" i="45" l="1"/>
  <c r="AD17" i="45"/>
  <c r="AC17" i="45"/>
  <c r="AC20" i="45" s="1"/>
  <c r="AD36" i="45" l="1"/>
  <c r="AD20" i="45"/>
  <c r="AD33" i="45"/>
  <c r="AD30" i="45"/>
  <c r="AD24" i="45"/>
  <c r="AD38" i="45"/>
  <c r="AD32" i="45"/>
  <c r="AD22" i="45"/>
  <c r="AD37" i="45"/>
  <c r="AD34" i="45"/>
  <c r="AD28" i="45"/>
  <c r="AD21" i="45"/>
  <c r="AD25" i="45"/>
  <c r="AD29" i="45"/>
  <c r="AD26" i="45"/>
  <c r="AK20" i="45"/>
  <c r="U18" i="45"/>
  <c r="U17" i="45"/>
  <c r="T17" i="45"/>
  <c r="S20" i="45"/>
  <c r="S36" i="45" s="1"/>
  <c r="U37" i="45" l="1"/>
  <c r="U34" i="45"/>
  <c r="U28" i="45"/>
  <c r="U21" i="45"/>
  <c r="U36" i="45"/>
  <c r="U25" i="45"/>
  <c r="U33" i="45"/>
  <c r="U38" i="45"/>
  <c r="U32" i="45"/>
  <c r="U26" i="45"/>
  <c r="U22" i="45"/>
  <c r="U29" i="45"/>
  <c r="U20" i="45"/>
  <c r="U30" i="45"/>
  <c r="U24" i="45"/>
  <c r="S28" i="45"/>
  <c r="S33" i="45"/>
  <c r="S38" i="45"/>
  <c r="S22" i="45"/>
  <c r="S37" i="45"/>
  <c r="S34" i="45"/>
  <c r="S32" i="45"/>
  <c r="S29" i="45"/>
  <c r="S26" i="45"/>
  <c r="S24" i="45"/>
  <c r="S21" i="45"/>
  <c r="S25" i="45"/>
  <c r="S30" i="45"/>
  <c r="F8" i="36" l="1"/>
  <c r="L8" i="44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Z87" i="5" l="1"/>
  <c r="Z86" i="5"/>
  <c r="Z85" i="5"/>
  <c r="Z84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8" i="5"/>
  <c r="Z27" i="5"/>
  <c r="Z26" i="5"/>
  <c r="Z25" i="5"/>
  <c r="Z24" i="5"/>
  <c r="Z23" i="5"/>
  <c r="Z22" i="5"/>
  <c r="Z21" i="5"/>
  <c r="Z20" i="5"/>
  <c r="Z19" i="5"/>
  <c r="Z18" i="5"/>
  <c r="Z17" i="5"/>
  <c r="Z15" i="5"/>
  <c r="Z14" i="5"/>
  <c r="Z13" i="5"/>
  <c r="Z12" i="5"/>
  <c r="Z11" i="5"/>
  <c r="Z10" i="5"/>
  <c r="Z9" i="5"/>
  <c r="Z8" i="5"/>
  <c r="Z7" i="5"/>
  <c r="Z6" i="5"/>
  <c r="Z5" i="5"/>
  <c r="Z4" i="5"/>
  <c r="Z3" i="5"/>
  <c r="C25" i="5" l="1"/>
  <c r="B25" i="5"/>
  <c r="A41" i="45" l="1"/>
  <c r="A38" i="44" l="1"/>
  <c r="I70" i="5" l="1"/>
  <c r="G70" i="5"/>
  <c r="G68" i="5"/>
  <c r="H70" i="5"/>
  <c r="G71" i="5"/>
  <c r="R10" i="44" s="1"/>
  <c r="H71" i="5"/>
  <c r="R11" i="44" s="1"/>
  <c r="I71" i="5"/>
  <c r="R12" i="44" s="1"/>
  <c r="K8" i="35"/>
  <c r="V75" i="2" l="1"/>
  <c r="J75" i="2" s="1"/>
  <c r="U75" i="2"/>
  <c r="J24" i="37"/>
  <c r="B44" i="2"/>
  <c r="B43" i="2"/>
  <c r="B42" i="2"/>
  <c r="B41" i="2"/>
  <c r="B40" i="2"/>
  <c r="B39" i="2"/>
  <c r="B38" i="2"/>
  <c r="B37" i="2"/>
  <c r="B36" i="2"/>
  <c r="B35" i="2"/>
  <c r="B30" i="2" l="1"/>
  <c r="B24" i="2"/>
  <c r="B26" i="2"/>
  <c r="B28" i="2"/>
  <c r="B27" i="2"/>
  <c r="B25" i="2"/>
  <c r="E72" i="5"/>
  <c r="E25" i="26" l="1"/>
  <c r="X39" i="33" l="1"/>
  <c r="R18" i="33" l="1"/>
  <c r="C60" i="5" l="1"/>
  <c r="C57" i="5"/>
  <c r="B72" i="5"/>
  <c r="D72" i="5"/>
  <c r="F72" i="5"/>
  <c r="C65" i="5"/>
  <c r="C56" i="5"/>
  <c r="C55" i="5"/>
  <c r="C58" i="5"/>
  <c r="C63" i="5"/>
  <c r="C64" i="5"/>
  <c r="C66" i="5"/>
  <c r="C67" i="5" l="1"/>
  <c r="I69" i="5"/>
  <c r="H69" i="5"/>
  <c r="H68" i="5"/>
  <c r="I68" i="5"/>
  <c r="C69" i="5"/>
  <c r="G69" i="5" s="1"/>
  <c r="C62" i="5"/>
  <c r="C61" i="5"/>
  <c r="C59" i="5"/>
  <c r="C54" i="5"/>
  <c r="C53" i="5"/>
  <c r="R25" i="5"/>
  <c r="AB20" i="47" s="1"/>
  <c r="S25" i="5"/>
  <c r="AB20" i="45" s="1"/>
  <c r="Q25" i="5"/>
  <c r="N25" i="5"/>
  <c r="O25" i="5"/>
  <c r="M25" i="5"/>
  <c r="K25" i="5"/>
  <c r="L25" i="5"/>
  <c r="I25" i="5"/>
  <c r="C72" i="5" l="1"/>
  <c r="G72" i="5" s="1"/>
  <c r="T10" i="47"/>
  <c r="T10" i="45"/>
  <c r="K54" i="5"/>
  <c r="T11" i="47"/>
  <c r="T11" i="45"/>
  <c r="AB38" i="45"/>
  <c r="AB33" i="45"/>
  <c r="AB32" i="45"/>
  <c r="AB36" i="45"/>
  <c r="AB29" i="45"/>
  <c r="AB25" i="45"/>
  <c r="AB22" i="45"/>
  <c r="AB37" i="45"/>
  <c r="AB26" i="45"/>
  <c r="AB30" i="45"/>
  <c r="AB21" i="45"/>
  <c r="AB34" i="45"/>
  <c r="AB24" i="45"/>
  <c r="AB28" i="45"/>
  <c r="T12" i="47"/>
  <c r="T12" i="45"/>
  <c r="AB29" i="47"/>
  <c r="AF29" i="47" s="1"/>
  <c r="AB22" i="47"/>
  <c r="AF22" i="47" s="1"/>
  <c r="AB26" i="47"/>
  <c r="AF26" i="47" s="1"/>
  <c r="AB25" i="47"/>
  <c r="AF25" i="47" s="1"/>
  <c r="AB24" i="47"/>
  <c r="AF24" i="47" s="1"/>
  <c r="AB38" i="47"/>
  <c r="AF38" i="47" s="1"/>
  <c r="AB21" i="47"/>
  <c r="AF21" i="47" s="1"/>
  <c r="AB33" i="47"/>
  <c r="AF33" i="47" s="1"/>
  <c r="AB37" i="47"/>
  <c r="AF37" i="47" s="1"/>
  <c r="AB36" i="47"/>
  <c r="AF36" i="47" s="1"/>
  <c r="AB34" i="47"/>
  <c r="AF34" i="47" s="1"/>
  <c r="AB28" i="47"/>
  <c r="AF28" i="47" s="1"/>
  <c r="AB32" i="47"/>
  <c r="AF32" i="47" s="1"/>
  <c r="AB30" i="47"/>
  <c r="AF30" i="47" s="1"/>
  <c r="AF20" i="47"/>
  <c r="H72" i="5"/>
  <c r="I72" i="5"/>
  <c r="J72" i="5"/>
  <c r="AJ20" i="47" l="1"/>
  <c r="AI20" i="47"/>
  <c r="H20" i="47"/>
  <c r="AI34" i="47"/>
  <c r="H34" i="47"/>
  <c r="AJ34" i="47"/>
  <c r="AI21" i="47"/>
  <c r="H21" i="47"/>
  <c r="AJ21" i="47"/>
  <c r="H26" i="47"/>
  <c r="AJ26" i="47"/>
  <c r="AI26" i="47"/>
  <c r="M34" i="47"/>
  <c r="M36" i="47"/>
  <c r="M30" i="47"/>
  <c r="M24" i="47"/>
  <c r="M22" i="47"/>
  <c r="M20" i="47"/>
  <c r="M28" i="47"/>
  <c r="M37" i="47"/>
  <c r="M32" i="47"/>
  <c r="M21" i="47"/>
  <c r="M25" i="47"/>
  <c r="M38" i="47"/>
  <c r="M29" i="47"/>
  <c r="M33" i="47"/>
  <c r="M26" i="47"/>
  <c r="L37" i="47"/>
  <c r="L20" i="47"/>
  <c r="L25" i="47"/>
  <c r="L26" i="47"/>
  <c r="L38" i="47"/>
  <c r="L33" i="47"/>
  <c r="L36" i="47"/>
  <c r="L30" i="47"/>
  <c r="L21" i="47"/>
  <c r="L32" i="47"/>
  <c r="L28" i="47"/>
  <c r="L22" i="47"/>
  <c r="L24" i="47"/>
  <c r="L29" i="47"/>
  <c r="L34" i="47"/>
  <c r="H30" i="47"/>
  <c r="AJ30" i="47"/>
  <c r="AI30" i="47"/>
  <c r="H36" i="47"/>
  <c r="AI36" i="47"/>
  <c r="AJ36" i="47"/>
  <c r="AJ38" i="47"/>
  <c r="AI38" i="47"/>
  <c r="H38" i="47"/>
  <c r="H22" i="47"/>
  <c r="AJ22" i="47"/>
  <c r="AI22" i="47"/>
  <c r="R10" i="33"/>
  <c r="T10" i="32"/>
  <c r="R10" i="4"/>
  <c r="H32" i="47"/>
  <c r="AI32" i="47"/>
  <c r="AJ32" i="47"/>
  <c r="H24" i="47"/>
  <c r="AI24" i="47"/>
  <c r="AJ24" i="47"/>
  <c r="H29" i="47"/>
  <c r="AJ29" i="47"/>
  <c r="AI29" i="47"/>
  <c r="AJ37" i="47"/>
  <c r="H37" i="47"/>
  <c r="AI37" i="47"/>
  <c r="AJ28" i="47"/>
  <c r="AI28" i="47"/>
  <c r="H28" i="47"/>
  <c r="AJ33" i="47"/>
  <c r="AI33" i="47"/>
  <c r="H33" i="47"/>
  <c r="AJ25" i="47"/>
  <c r="AI25" i="47"/>
  <c r="H25" i="47"/>
  <c r="K36" i="47"/>
  <c r="K20" i="47"/>
  <c r="K30" i="47"/>
  <c r="N30" i="47" s="1"/>
  <c r="K32" i="47"/>
  <c r="N32" i="47" s="1"/>
  <c r="K29" i="47"/>
  <c r="K28" i="47"/>
  <c r="K26" i="47"/>
  <c r="N26" i="47" s="1"/>
  <c r="K33" i="47"/>
  <c r="N33" i="47" s="1"/>
  <c r="K21" i="47"/>
  <c r="K24" i="47"/>
  <c r="N24" i="47" s="1"/>
  <c r="K34" i="47"/>
  <c r="K25" i="47"/>
  <c r="N25" i="47" s="1"/>
  <c r="K22" i="47"/>
  <c r="K37" i="47"/>
  <c r="N37" i="47" s="1"/>
  <c r="K38" i="47"/>
  <c r="J25" i="5"/>
  <c r="H27" i="5"/>
  <c r="G27" i="5"/>
  <c r="G25" i="5"/>
  <c r="F27" i="5"/>
  <c r="F25" i="5"/>
  <c r="E27" i="5"/>
  <c r="E25" i="5"/>
  <c r="D27" i="5"/>
  <c r="D25" i="5"/>
  <c r="C29" i="5"/>
  <c r="C28" i="5"/>
  <c r="B27" i="5"/>
  <c r="N28" i="47" l="1"/>
  <c r="N20" i="47"/>
  <c r="N22" i="47"/>
  <c r="N29" i="47"/>
  <c r="N36" i="47"/>
  <c r="N34" i="47"/>
  <c r="N21" i="47"/>
  <c r="N38" i="47"/>
  <c r="O28" i="47"/>
  <c r="P28" i="47" s="1"/>
  <c r="I28" i="47"/>
  <c r="J28" i="47" s="1"/>
  <c r="O37" i="47"/>
  <c r="P37" i="47" s="1"/>
  <c r="I37" i="47"/>
  <c r="J37" i="47" s="1"/>
  <c r="O29" i="47"/>
  <c r="I29" i="47"/>
  <c r="J29" i="47" s="1"/>
  <c r="O22" i="47"/>
  <c r="P22" i="47" s="1"/>
  <c r="I22" i="47"/>
  <c r="J22" i="47" s="1"/>
  <c r="O21" i="47"/>
  <c r="I21" i="47"/>
  <c r="J21" i="47" s="1"/>
  <c r="O33" i="47"/>
  <c r="P33" i="47" s="1"/>
  <c r="I33" i="47"/>
  <c r="J33" i="47" s="1"/>
  <c r="I38" i="47"/>
  <c r="J38" i="47" s="1"/>
  <c r="O38" i="47"/>
  <c r="I30" i="47"/>
  <c r="J30" i="47" s="1"/>
  <c r="O30" i="47"/>
  <c r="P30" i="47" s="1"/>
  <c r="I20" i="47"/>
  <c r="J20" i="47" s="1"/>
  <c r="O20" i="47"/>
  <c r="P20" i="47" s="1"/>
  <c r="I25" i="47"/>
  <c r="J25" i="47" s="1"/>
  <c r="O25" i="47"/>
  <c r="P25" i="47" s="1"/>
  <c r="O32" i="47"/>
  <c r="P32" i="47" s="1"/>
  <c r="I32" i="47"/>
  <c r="J32" i="47" s="1"/>
  <c r="I36" i="47"/>
  <c r="J36" i="47" s="1"/>
  <c r="O36" i="47"/>
  <c r="O26" i="47"/>
  <c r="P26" i="47" s="1"/>
  <c r="I26" i="47"/>
  <c r="J26" i="47" s="1"/>
  <c r="I24" i="47"/>
  <c r="J24" i="47" s="1"/>
  <c r="O24" i="47"/>
  <c r="P24" i="47" s="1"/>
  <c r="I34" i="47"/>
  <c r="J34" i="47" s="1"/>
  <c r="O34" i="47"/>
  <c r="P34" i="47" s="1"/>
  <c r="A44" i="45"/>
  <c r="E38" i="45"/>
  <c r="E37" i="45"/>
  <c r="E36" i="45"/>
  <c r="E34" i="45"/>
  <c r="E33" i="45"/>
  <c r="E32" i="45"/>
  <c r="E30" i="45"/>
  <c r="E29" i="45"/>
  <c r="E28" i="45"/>
  <c r="E26" i="45"/>
  <c r="E25" i="45"/>
  <c r="E24" i="45"/>
  <c r="E22" i="45"/>
  <c r="E21" i="45"/>
  <c r="P18" i="45"/>
  <c r="O18" i="45"/>
  <c r="N18" i="45"/>
  <c r="J18" i="45"/>
  <c r="I18" i="45"/>
  <c r="P9" i="45"/>
  <c r="A9" i="45"/>
  <c r="A8" i="45"/>
  <c r="P7" i="45"/>
  <c r="A7" i="45"/>
  <c r="A4" i="45"/>
  <c r="A3" i="45"/>
  <c r="A2" i="45"/>
  <c r="A1" i="45"/>
  <c r="P21" i="47" l="1"/>
  <c r="P36" i="47"/>
  <c r="P38" i="47"/>
  <c r="P29" i="47"/>
  <c r="T22" i="45"/>
  <c r="W22" i="45" s="1"/>
  <c r="G22" i="45" s="1"/>
  <c r="AC22" i="45"/>
  <c r="AF22" i="45" s="1"/>
  <c r="H22" i="45" s="1"/>
  <c r="AC28" i="45"/>
  <c r="AF28" i="45" s="1"/>
  <c r="H28" i="45" s="1"/>
  <c r="T28" i="45"/>
  <c r="W28" i="45" s="1"/>
  <c r="G28" i="45" s="1"/>
  <c r="T33" i="45"/>
  <c r="W33" i="45" s="1"/>
  <c r="G33" i="45" s="1"/>
  <c r="AC33" i="45"/>
  <c r="AF33" i="45" s="1"/>
  <c r="H33" i="45" s="1"/>
  <c r="T38" i="45"/>
  <c r="W38" i="45" s="1"/>
  <c r="G38" i="45" s="1"/>
  <c r="AC38" i="45"/>
  <c r="AF38" i="45" s="1"/>
  <c r="H38" i="45" s="1"/>
  <c r="T24" i="45"/>
  <c r="W24" i="45" s="1"/>
  <c r="G24" i="45" s="1"/>
  <c r="AC24" i="45"/>
  <c r="AF24" i="45" s="1"/>
  <c r="H24" i="45" s="1"/>
  <c r="T29" i="45"/>
  <c r="W29" i="45" s="1"/>
  <c r="G29" i="45" s="1"/>
  <c r="AC29" i="45"/>
  <c r="AF29" i="45" s="1"/>
  <c r="H29" i="45" s="1"/>
  <c r="T34" i="45"/>
  <c r="W34" i="45" s="1"/>
  <c r="G34" i="45" s="1"/>
  <c r="AC34" i="45"/>
  <c r="AF34" i="45" s="1"/>
  <c r="H34" i="45" s="1"/>
  <c r="T20" i="45"/>
  <c r="W20" i="45" s="1"/>
  <c r="G20" i="45" s="1"/>
  <c r="AF20" i="45"/>
  <c r="H20" i="45" s="1"/>
  <c r="AC25" i="45"/>
  <c r="AF25" i="45" s="1"/>
  <c r="H25" i="45" s="1"/>
  <c r="T25" i="45"/>
  <c r="W25" i="45" s="1"/>
  <c r="G25" i="45" s="1"/>
  <c r="T30" i="45"/>
  <c r="W30" i="45" s="1"/>
  <c r="G30" i="45" s="1"/>
  <c r="AC30" i="45"/>
  <c r="AF30" i="45" s="1"/>
  <c r="H30" i="45" s="1"/>
  <c r="T36" i="45"/>
  <c r="W36" i="45" s="1"/>
  <c r="G36" i="45" s="1"/>
  <c r="AC36" i="45"/>
  <c r="AF36" i="45" s="1"/>
  <c r="H36" i="45" s="1"/>
  <c r="AC21" i="45"/>
  <c r="AF21" i="45" s="1"/>
  <c r="H21" i="45" s="1"/>
  <c r="T21" i="45"/>
  <c r="W21" i="45" s="1"/>
  <c r="G21" i="45" s="1"/>
  <c r="T26" i="45"/>
  <c r="W26" i="45" s="1"/>
  <c r="G26" i="45" s="1"/>
  <c r="AC26" i="45"/>
  <c r="AF26" i="45" s="1"/>
  <c r="H26" i="45" s="1"/>
  <c r="AC32" i="45"/>
  <c r="AF32" i="45" s="1"/>
  <c r="H32" i="45" s="1"/>
  <c r="T32" i="45"/>
  <c r="W32" i="45" s="1"/>
  <c r="G32" i="45" s="1"/>
  <c r="T37" i="45"/>
  <c r="W37" i="45" s="1"/>
  <c r="G37" i="45" s="1"/>
  <c r="AC37" i="45"/>
  <c r="AF37" i="45" s="1"/>
  <c r="H37" i="45" s="1"/>
  <c r="AJ25" i="45" l="1"/>
  <c r="AJ22" i="45"/>
  <c r="AJ26" i="45"/>
  <c r="AI26" i="45"/>
  <c r="AJ34" i="45"/>
  <c r="AI34" i="45"/>
  <c r="AJ33" i="45"/>
  <c r="AI33" i="45"/>
  <c r="AJ30" i="45"/>
  <c r="AI30" i="45"/>
  <c r="AJ20" i="45"/>
  <c r="AI20" i="45"/>
  <c r="AJ29" i="45"/>
  <c r="AI29" i="45"/>
  <c r="AJ38" i="45"/>
  <c r="AI38" i="45"/>
  <c r="AJ37" i="45"/>
  <c r="AI37" i="45"/>
  <c r="AJ24" i="45"/>
  <c r="AI24" i="45"/>
  <c r="AJ32" i="45"/>
  <c r="AI32" i="45"/>
  <c r="AJ21" i="45"/>
  <c r="AI21" i="45"/>
  <c r="AI28" i="45"/>
  <c r="AJ28" i="45"/>
  <c r="AI36" i="45"/>
  <c r="AJ36" i="45"/>
  <c r="AI25" i="45"/>
  <c r="AI22" i="45"/>
  <c r="AM33" i="45" l="1"/>
  <c r="AM37" i="45"/>
  <c r="AK37" i="45"/>
  <c r="AK28" i="45"/>
  <c r="AK33" i="45"/>
  <c r="AK22" i="45"/>
  <c r="AM22" i="45"/>
  <c r="AM28" i="45"/>
  <c r="AM20" i="45"/>
  <c r="AK29" i="45"/>
  <c r="AM29" i="45"/>
  <c r="I22" i="45"/>
  <c r="J22" i="45" s="1"/>
  <c r="AM34" i="45"/>
  <c r="AK36" i="45"/>
  <c r="AM36" i="45"/>
  <c r="AM25" i="45"/>
  <c r="AK25" i="45"/>
  <c r="I37" i="45"/>
  <c r="J37" i="45" s="1"/>
  <c r="I34" i="45"/>
  <c r="J34" i="45" s="1"/>
  <c r="AK32" i="45"/>
  <c r="AM32" i="45"/>
  <c r="AK26" i="45"/>
  <c r="AM26" i="45"/>
  <c r="AK24" i="45"/>
  <c r="AM24" i="45"/>
  <c r="AM38" i="45"/>
  <c r="AK38" i="45"/>
  <c r="AK34" i="45"/>
  <c r="I33" i="45"/>
  <c r="J33" i="45" s="1"/>
  <c r="AM30" i="45"/>
  <c r="AK30" i="45"/>
  <c r="I20" i="45"/>
  <c r="J20" i="45" s="1"/>
  <c r="AK21" i="45"/>
  <c r="AM21" i="45"/>
  <c r="I28" i="45"/>
  <c r="J28" i="45" s="1"/>
  <c r="I30" i="45" l="1"/>
  <c r="J30" i="45" s="1"/>
  <c r="I38" i="45"/>
  <c r="J38" i="45" s="1"/>
  <c r="I36" i="45"/>
  <c r="J36" i="45" s="1"/>
  <c r="I29" i="45"/>
  <c r="J29" i="45" s="1"/>
  <c r="I21" i="45"/>
  <c r="J21" i="45" s="1"/>
  <c r="I32" i="45"/>
  <c r="J32" i="45" s="1"/>
  <c r="I25" i="45"/>
  <c r="J25" i="45" s="1"/>
  <c r="I24" i="45"/>
  <c r="J24" i="45" s="1"/>
  <c r="I26" i="45"/>
  <c r="J26" i="45" s="1"/>
  <c r="U21" i="44" l="1"/>
  <c r="U35" i="44" s="1"/>
  <c r="Q21" i="44"/>
  <c r="Q23" i="44" s="1"/>
  <c r="V18" i="44"/>
  <c r="R18" i="44"/>
  <c r="R35" i="44" s="1"/>
  <c r="A40" i="44"/>
  <c r="L18" i="44"/>
  <c r="K18" i="44"/>
  <c r="J18" i="44"/>
  <c r="F18" i="44"/>
  <c r="E18" i="44"/>
  <c r="L9" i="44"/>
  <c r="A9" i="44"/>
  <c r="A8" i="44"/>
  <c r="L7" i="44"/>
  <c r="A7" i="44"/>
  <c r="A4" i="44"/>
  <c r="A3" i="44"/>
  <c r="A2" i="44"/>
  <c r="A1" i="44"/>
  <c r="V35" i="44" l="1"/>
  <c r="W35" i="44" s="1"/>
  <c r="V27" i="44"/>
  <c r="V33" i="44"/>
  <c r="V25" i="44"/>
  <c r="V31" i="44"/>
  <c r="V29" i="44"/>
  <c r="U29" i="44"/>
  <c r="U23" i="44"/>
  <c r="U31" i="44"/>
  <c r="U25" i="44"/>
  <c r="U33" i="44"/>
  <c r="R27" i="44"/>
  <c r="U27" i="44"/>
  <c r="V23" i="44"/>
  <c r="V21" i="44"/>
  <c r="W21" i="44" s="1"/>
  <c r="D21" i="44" s="1"/>
  <c r="R33" i="44"/>
  <c r="R21" i="44"/>
  <c r="S21" i="44" s="1"/>
  <c r="C21" i="44" s="1"/>
  <c r="R25" i="44"/>
  <c r="Q27" i="44"/>
  <c r="Q31" i="44"/>
  <c r="Q35" i="44"/>
  <c r="S35" i="44" s="1"/>
  <c r="C35" i="44" s="1"/>
  <c r="R23" i="44"/>
  <c r="S23" i="44" s="1"/>
  <c r="C23" i="44" s="1"/>
  <c r="Q29" i="44"/>
  <c r="Q33" i="44"/>
  <c r="Q25" i="44"/>
  <c r="R29" i="44"/>
  <c r="R31" i="44"/>
  <c r="W29" i="44" l="1"/>
  <c r="D29" i="44" s="1"/>
  <c r="W25" i="44"/>
  <c r="D25" i="44" s="1"/>
  <c r="S27" i="44"/>
  <c r="C27" i="44" s="1"/>
  <c r="W33" i="44"/>
  <c r="D33" i="44" s="1"/>
  <c r="W31" i="44"/>
  <c r="D31" i="44" s="1"/>
  <c r="S25" i="44"/>
  <c r="C25" i="44" s="1"/>
  <c r="S31" i="44"/>
  <c r="C31" i="44" s="1"/>
  <c r="W23" i="44"/>
  <c r="D23" i="44" s="1"/>
  <c r="W27" i="44"/>
  <c r="D27" i="44" s="1"/>
  <c r="S33" i="44"/>
  <c r="C33" i="44" s="1"/>
  <c r="Z35" i="44"/>
  <c r="AB35" i="44"/>
  <c r="D35" i="44"/>
  <c r="E25" i="44"/>
  <c r="F25" i="44" s="1"/>
  <c r="AB21" i="44"/>
  <c r="Z21" i="44"/>
  <c r="S29" i="44"/>
  <c r="C29" i="44" s="1"/>
  <c r="E21" i="44"/>
  <c r="F21" i="44" s="1"/>
  <c r="AB25" i="44" l="1"/>
  <c r="Z33" i="44"/>
  <c r="AB31" i="44"/>
  <c r="Z23" i="44"/>
  <c r="Z25" i="44"/>
  <c r="AB27" i="44"/>
  <c r="AB23" i="44"/>
  <c r="Z31" i="44"/>
  <c r="Z27" i="44"/>
  <c r="AB33" i="44"/>
  <c r="E31" i="44"/>
  <c r="F31" i="44" s="1"/>
  <c r="E23" i="44"/>
  <c r="F23" i="44" s="1"/>
  <c r="E27" i="44"/>
  <c r="F27" i="44" s="1"/>
  <c r="E29" i="44"/>
  <c r="F29" i="44" s="1"/>
  <c r="AB29" i="44"/>
  <c r="E33" i="44"/>
  <c r="F33" i="44" s="1"/>
  <c r="Z29" i="44"/>
  <c r="E35" i="44"/>
  <c r="F35" i="44" s="1"/>
  <c r="A41" i="41" l="1"/>
  <c r="A40" i="39" l="1"/>
  <c r="A38" i="33" l="1"/>
  <c r="A195" i="2" l="1"/>
  <c r="A134" i="2"/>
  <c r="B21" i="2" l="1"/>
  <c r="B20" i="2"/>
  <c r="A48" i="2"/>
  <c r="B34" i="2" l="1"/>
  <c r="B32" i="2"/>
  <c r="B33" i="2"/>
  <c r="B31" i="2"/>
  <c r="B22" i="2"/>
  <c r="B23" i="2"/>
  <c r="AG17" i="31" l="1"/>
  <c r="AG20" i="31" s="1"/>
  <c r="E25" i="19"/>
  <c r="A40" i="27"/>
  <c r="Y39" i="33"/>
  <c r="S39" i="33" s="1"/>
  <c r="R39" i="33" l="1"/>
  <c r="I53" i="5" l="1"/>
  <c r="H53" i="5"/>
  <c r="H33" i="44" l="1"/>
  <c r="H25" i="44"/>
  <c r="H29" i="44"/>
  <c r="H35" i="44"/>
  <c r="H21" i="44"/>
  <c r="H23" i="44"/>
  <c r="H31" i="44"/>
  <c r="H27" i="44"/>
  <c r="I23" i="44"/>
  <c r="I21" i="44"/>
  <c r="I25" i="44"/>
  <c r="I27" i="44"/>
  <c r="I33" i="44"/>
  <c r="I35" i="44"/>
  <c r="I31" i="44"/>
  <c r="I29" i="44"/>
  <c r="A27" i="4"/>
  <c r="G53" i="5" l="1"/>
  <c r="G25" i="44" l="1"/>
  <c r="G31" i="44"/>
  <c r="G35" i="44"/>
  <c r="G21" i="44"/>
  <c r="G33" i="44"/>
  <c r="G23" i="44"/>
  <c r="G29" i="44"/>
  <c r="G27" i="44"/>
  <c r="K9" i="34"/>
  <c r="J35" i="44" l="1"/>
  <c r="K35" i="44"/>
  <c r="J21" i="44"/>
  <c r="K21" i="44"/>
  <c r="J23" i="44"/>
  <c r="K23" i="44"/>
  <c r="J31" i="44"/>
  <c r="K31" i="44"/>
  <c r="J27" i="44"/>
  <c r="K27" i="44"/>
  <c r="J29" i="44"/>
  <c r="K29" i="44"/>
  <c r="K33" i="44"/>
  <c r="J33" i="44"/>
  <c r="K25" i="44"/>
  <c r="J25" i="44"/>
  <c r="F9" i="36"/>
  <c r="K9" i="35"/>
  <c r="K8" i="2"/>
  <c r="K142" i="2" s="1"/>
  <c r="P9" i="41"/>
  <c r="P9" i="31"/>
  <c r="P9" i="26"/>
  <c r="P9" i="19"/>
  <c r="Q9" i="25"/>
  <c r="P9" i="24"/>
  <c r="P9" i="15"/>
  <c r="L9" i="39"/>
  <c r="L9" i="27"/>
  <c r="L9" i="40"/>
  <c r="L9" i="28"/>
  <c r="P9" i="32"/>
  <c r="L9" i="33"/>
  <c r="L9" i="4"/>
  <c r="L25" i="44" l="1"/>
  <c r="L33" i="44"/>
  <c r="L29" i="44"/>
  <c r="L31" i="44"/>
  <c r="L21" i="44"/>
  <c r="L27" i="44"/>
  <c r="L23" i="44"/>
  <c r="L35" i="44"/>
  <c r="AC20" i="41"/>
  <c r="S20" i="41"/>
  <c r="S28" i="41" s="1"/>
  <c r="AG17" i="41"/>
  <c r="AG25" i="41" s="1"/>
  <c r="AF17" i="41"/>
  <c r="AF21" i="41" s="1"/>
  <c r="AE17" i="41"/>
  <c r="AE34" i="41" s="1"/>
  <c r="AD17" i="41"/>
  <c r="W17" i="41"/>
  <c r="W34" i="41" s="1"/>
  <c r="V17" i="41"/>
  <c r="U17" i="41"/>
  <c r="U25" i="41" s="1"/>
  <c r="T17" i="41"/>
  <c r="A45" i="41"/>
  <c r="E38" i="41"/>
  <c r="E37" i="41"/>
  <c r="E36" i="41"/>
  <c r="E34" i="41"/>
  <c r="E33" i="41"/>
  <c r="E32" i="41"/>
  <c r="E30" i="41"/>
  <c r="E29" i="41"/>
  <c r="E28" i="41"/>
  <c r="E26" i="41"/>
  <c r="E25" i="41"/>
  <c r="E24" i="41"/>
  <c r="E22" i="41"/>
  <c r="E21" i="41"/>
  <c r="E20" i="41"/>
  <c r="P18" i="41"/>
  <c r="O18" i="41"/>
  <c r="N18" i="41"/>
  <c r="J18" i="41"/>
  <c r="I18" i="41"/>
  <c r="A9" i="41"/>
  <c r="A8" i="41"/>
  <c r="P7" i="41"/>
  <c r="A7" i="41"/>
  <c r="A4" i="41"/>
  <c r="A3" i="41"/>
  <c r="A2" i="41"/>
  <c r="A1" i="41"/>
  <c r="AE20" i="41" l="1"/>
  <c r="AE29" i="41"/>
  <c r="AE38" i="41"/>
  <c r="T37" i="41"/>
  <c r="AE24" i="41"/>
  <c r="AE33" i="41"/>
  <c r="U36" i="41"/>
  <c r="AE28" i="41"/>
  <c r="U30" i="41"/>
  <c r="U20" i="41"/>
  <c r="AE22" i="41"/>
  <c r="W29" i="41"/>
  <c r="T26" i="41"/>
  <c r="T21" i="41"/>
  <c r="T32" i="41"/>
  <c r="AF37" i="41"/>
  <c r="V38" i="41"/>
  <c r="V33" i="41"/>
  <c r="V28" i="41"/>
  <c r="V22" i="41"/>
  <c r="V37" i="41"/>
  <c r="V32" i="41"/>
  <c r="V26" i="41"/>
  <c r="V21" i="41"/>
  <c r="V36" i="41"/>
  <c r="V30" i="41"/>
  <c r="V25" i="41"/>
  <c r="V20" i="41"/>
  <c r="V34" i="41"/>
  <c r="V29" i="41"/>
  <c r="V24" i="41"/>
  <c r="S37" i="41"/>
  <c r="S32" i="41"/>
  <c r="S26" i="41"/>
  <c r="S21" i="41"/>
  <c r="S36" i="41"/>
  <c r="S30" i="41"/>
  <c r="S25" i="41"/>
  <c r="S34" i="41"/>
  <c r="S29" i="41"/>
  <c r="S24" i="41"/>
  <c r="AF26" i="41"/>
  <c r="S33" i="41"/>
  <c r="W37" i="41"/>
  <c r="W32" i="41"/>
  <c r="W26" i="41"/>
  <c r="W21" i="41"/>
  <c r="W36" i="41"/>
  <c r="W30" i="41"/>
  <c r="W25" i="41"/>
  <c r="W38" i="41"/>
  <c r="W33" i="41"/>
  <c r="W28" i="41"/>
  <c r="W22" i="41"/>
  <c r="AG34" i="41"/>
  <c r="AG29" i="41"/>
  <c r="AG24" i="41"/>
  <c r="AG38" i="41"/>
  <c r="AG33" i="41"/>
  <c r="AG28" i="41"/>
  <c r="AG22" i="41"/>
  <c r="AG37" i="41"/>
  <c r="AG32" i="41"/>
  <c r="AG26" i="41"/>
  <c r="AG21" i="41"/>
  <c r="AG20" i="41"/>
  <c r="AG30" i="41"/>
  <c r="AF32" i="41"/>
  <c r="S38" i="41"/>
  <c r="T36" i="41"/>
  <c r="T30" i="41"/>
  <c r="T25" i="41"/>
  <c r="T34" i="41"/>
  <c r="T29" i="41"/>
  <c r="T24" i="41"/>
  <c r="T38" i="41"/>
  <c r="T33" i="41"/>
  <c r="T28" i="41"/>
  <c r="T22" i="41"/>
  <c r="T20" i="41"/>
  <c r="AD38" i="41"/>
  <c r="AD33" i="41"/>
  <c r="AD28" i="41"/>
  <c r="AD22" i="41"/>
  <c r="AD37" i="41"/>
  <c r="AD32" i="41"/>
  <c r="AD26" i="41"/>
  <c r="AD21" i="41"/>
  <c r="AD34" i="41"/>
  <c r="AD29" i="41"/>
  <c r="AD24" i="41"/>
  <c r="AD20" i="41"/>
  <c r="AD36" i="41"/>
  <c r="AD30" i="41"/>
  <c r="AD25" i="41"/>
  <c r="W20" i="41"/>
  <c r="S22" i="41"/>
  <c r="W24" i="41"/>
  <c r="AG36" i="41"/>
  <c r="AC34" i="41"/>
  <c r="AC29" i="41"/>
  <c r="AC24" i="41"/>
  <c r="AC38" i="41"/>
  <c r="AC33" i="41"/>
  <c r="AC28" i="41"/>
  <c r="AC22" i="41"/>
  <c r="AC37" i="41"/>
  <c r="AC32" i="41"/>
  <c r="AC26" i="41"/>
  <c r="AC21" i="41"/>
  <c r="AC36" i="41"/>
  <c r="AC30" i="41"/>
  <c r="AC25" i="41"/>
  <c r="AF36" i="41"/>
  <c r="AF30" i="41"/>
  <c r="AF25" i="41"/>
  <c r="AF34" i="41"/>
  <c r="AF29" i="41"/>
  <c r="AF24" i="41"/>
  <c r="AF38" i="41"/>
  <c r="AF33" i="41"/>
  <c r="AF28" i="41"/>
  <c r="AF22" i="41"/>
  <c r="AF20" i="41"/>
  <c r="U34" i="41"/>
  <c r="U29" i="41"/>
  <c r="U24" i="41"/>
  <c r="U38" i="41"/>
  <c r="U33" i="41"/>
  <c r="U28" i="41"/>
  <c r="U22" i="41"/>
  <c r="AE37" i="41"/>
  <c r="AE32" i="41"/>
  <c r="AE26" i="41"/>
  <c r="AE21" i="41"/>
  <c r="AE36" i="41"/>
  <c r="AE30" i="41"/>
  <c r="AE25" i="41"/>
  <c r="U21" i="41"/>
  <c r="U26" i="41"/>
  <c r="U32" i="41"/>
  <c r="U37" i="41"/>
  <c r="AH20" i="41" l="1"/>
  <c r="H20" i="41" s="1"/>
  <c r="AH22" i="41"/>
  <c r="H22" i="41" s="1"/>
  <c r="AH24" i="41"/>
  <c r="H24" i="41" s="1"/>
  <c r="X29" i="41"/>
  <c r="G29" i="41" s="1"/>
  <c r="AH25" i="41"/>
  <c r="H25" i="41" s="1"/>
  <c r="AH26" i="41"/>
  <c r="H26" i="41" s="1"/>
  <c r="AH38" i="41"/>
  <c r="H38" i="41" s="1"/>
  <c r="X20" i="41"/>
  <c r="G20" i="41" s="1"/>
  <c r="X28" i="41"/>
  <c r="G28" i="41" s="1"/>
  <c r="X30" i="41"/>
  <c r="G30" i="41" s="1"/>
  <c r="X32" i="41"/>
  <c r="G32" i="41" s="1"/>
  <c r="AH30" i="41"/>
  <c r="AH32" i="41"/>
  <c r="AH28" i="41"/>
  <c r="AH29" i="41"/>
  <c r="X33" i="41"/>
  <c r="G33" i="41" s="1"/>
  <c r="X34" i="41"/>
  <c r="G34" i="41" s="1"/>
  <c r="X36" i="41"/>
  <c r="G36" i="41" s="1"/>
  <c r="X37" i="41"/>
  <c r="G37" i="41" s="1"/>
  <c r="AH36" i="41"/>
  <c r="AH37" i="41"/>
  <c r="AH33" i="41"/>
  <c r="AH34" i="41"/>
  <c r="X22" i="41"/>
  <c r="G22" i="41" s="1"/>
  <c r="X38" i="41"/>
  <c r="G38" i="41" s="1"/>
  <c r="X21" i="41"/>
  <c r="G21" i="41" s="1"/>
  <c r="AH21" i="41"/>
  <c r="X24" i="41"/>
  <c r="G24" i="41" s="1"/>
  <c r="X25" i="41"/>
  <c r="G25" i="41" s="1"/>
  <c r="X26" i="41"/>
  <c r="G26" i="41" s="1"/>
  <c r="AM22" i="41" l="1"/>
  <c r="AK20" i="41"/>
  <c r="AK38" i="41"/>
  <c r="AM20" i="41"/>
  <c r="AM25" i="41"/>
  <c r="AM38" i="41"/>
  <c r="AM24" i="41"/>
  <c r="AK24" i="41"/>
  <c r="AM36" i="41"/>
  <c r="AK36" i="41"/>
  <c r="H36" i="41"/>
  <c r="AM30" i="41"/>
  <c r="AK30" i="41"/>
  <c r="H30" i="41"/>
  <c r="I26" i="41"/>
  <c r="J26" i="41" s="1"/>
  <c r="I22" i="41"/>
  <c r="J22" i="41" s="1"/>
  <c r="AM34" i="41"/>
  <c r="H34" i="41"/>
  <c r="AK34" i="41"/>
  <c r="AM29" i="41"/>
  <c r="H29" i="41"/>
  <c r="AK29" i="41"/>
  <c r="I24" i="41"/>
  <c r="J24" i="41" s="1"/>
  <c r="AK26" i="41"/>
  <c r="I38" i="41"/>
  <c r="J38" i="41" s="1"/>
  <c r="AK21" i="41"/>
  <c r="H21" i="41"/>
  <c r="AM21" i="41"/>
  <c r="H33" i="41"/>
  <c r="AM33" i="41"/>
  <c r="AK33" i="41"/>
  <c r="H28" i="41"/>
  <c r="AM28" i="41"/>
  <c r="AK28" i="41"/>
  <c r="I25" i="41"/>
  <c r="J25" i="41" s="1"/>
  <c r="I20" i="41"/>
  <c r="J20" i="41" s="1"/>
  <c r="AK22" i="41"/>
  <c r="AK37" i="41"/>
  <c r="H37" i="41"/>
  <c r="AM37" i="41"/>
  <c r="AK32" i="41"/>
  <c r="H32" i="41"/>
  <c r="AM32" i="41"/>
  <c r="AM26" i="41"/>
  <c r="AK25" i="41"/>
  <c r="I32" i="41" l="1"/>
  <c r="J32" i="41" s="1"/>
  <c r="I28" i="41"/>
  <c r="J28" i="41" s="1"/>
  <c r="I34" i="41"/>
  <c r="J34" i="41" s="1"/>
  <c r="I21" i="41"/>
  <c r="J21" i="41" s="1"/>
  <c r="I29" i="41"/>
  <c r="J29" i="41" s="1"/>
  <c r="I36" i="41"/>
  <c r="J36" i="41" s="1"/>
  <c r="I30" i="41"/>
  <c r="J30" i="41" s="1"/>
  <c r="I37" i="41"/>
  <c r="J37" i="41" s="1"/>
  <c r="I33" i="41"/>
  <c r="J33" i="41" s="1"/>
  <c r="A79" i="2" l="1"/>
  <c r="K94" i="2"/>
  <c r="J94" i="2"/>
  <c r="I94" i="2"/>
  <c r="F94" i="2"/>
  <c r="E94" i="2"/>
  <c r="K149" i="2"/>
  <c r="J149" i="2"/>
  <c r="I149" i="2"/>
  <c r="F149" i="2"/>
  <c r="E149" i="2"/>
  <c r="K63" i="2"/>
  <c r="J63" i="2"/>
  <c r="I63" i="2"/>
  <c r="F63" i="2"/>
  <c r="E63" i="2"/>
  <c r="A41" i="34" l="1"/>
  <c r="A39" i="35"/>
  <c r="A45" i="31"/>
  <c r="A45" i="26"/>
  <c r="A42" i="27"/>
  <c r="A40" i="40"/>
  <c r="A40" i="28"/>
  <c r="A43" i="32"/>
  <c r="A40" i="33"/>
  <c r="A40" i="4"/>
  <c r="AB20" i="24" l="1"/>
  <c r="AB38" i="24" s="1"/>
  <c r="S20" i="24"/>
  <c r="AD20" i="25"/>
  <c r="T20" i="25"/>
  <c r="AC20" i="26"/>
  <c r="S20" i="26"/>
  <c r="AC20" i="31"/>
  <c r="S20" i="31"/>
  <c r="AB24" i="24" l="1"/>
  <c r="AB29" i="24"/>
  <c r="AB34" i="24"/>
  <c r="AB36" i="24"/>
  <c r="AB21" i="24"/>
  <c r="AB26" i="24"/>
  <c r="AB32" i="24"/>
  <c r="AB37" i="24"/>
  <c r="AB25" i="24"/>
  <c r="AB30" i="24"/>
  <c r="AB22" i="24"/>
  <c r="AB28" i="24"/>
  <c r="AB33" i="24"/>
  <c r="A38" i="40" l="1"/>
  <c r="W18" i="40"/>
  <c r="W33" i="40" s="1"/>
  <c r="V21" i="40"/>
  <c r="Q21" i="40"/>
  <c r="Q33" i="40" s="1"/>
  <c r="R18" i="40"/>
  <c r="R23" i="40" s="1"/>
  <c r="L18" i="40"/>
  <c r="K18" i="40"/>
  <c r="J18" i="40"/>
  <c r="F18" i="40"/>
  <c r="E18" i="40"/>
  <c r="A9" i="40"/>
  <c r="A8" i="40"/>
  <c r="L7" i="40"/>
  <c r="A7" i="40"/>
  <c r="A4" i="40"/>
  <c r="A3" i="40"/>
  <c r="A2" i="40"/>
  <c r="A1" i="40"/>
  <c r="A38" i="39"/>
  <c r="W18" i="39"/>
  <c r="V21" i="39"/>
  <c r="Q21" i="39"/>
  <c r="R18" i="39"/>
  <c r="J67" i="5"/>
  <c r="I67" i="5"/>
  <c r="Q11" i="34" s="1"/>
  <c r="H67" i="5"/>
  <c r="G67" i="5"/>
  <c r="Q10" i="34" s="1"/>
  <c r="J66" i="5"/>
  <c r="I66" i="5"/>
  <c r="Q11" i="35" s="1"/>
  <c r="H66" i="5"/>
  <c r="G66" i="5"/>
  <c r="Q10" i="35" s="1"/>
  <c r="R33" i="40" l="1"/>
  <c r="R27" i="40"/>
  <c r="W35" i="40"/>
  <c r="W31" i="40"/>
  <c r="W23" i="40"/>
  <c r="W27" i="40"/>
  <c r="Q23" i="40"/>
  <c r="S23" i="40" s="1"/>
  <c r="C23" i="40" s="1"/>
  <c r="Q27" i="40"/>
  <c r="Q31" i="40"/>
  <c r="Q35" i="40"/>
  <c r="R31" i="40"/>
  <c r="R35" i="40"/>
  <c r="S33" i="40"/>
  <c r="C33" i="40" s="1"/>
  <c r="V25" i="40"/>
  <c r="W21" i="40"/>
  <c r="X21" i="40" s="1"/>
  <c r="Q25" i="40"/>
  <c r="W25" i="40"/>
  <c r="Q29" i="40"/>
  <c r="W29" i="40"/>
  <c r="V29" i="40"/>
  <c r="V33" i="40"/>
  <c r="X33" i="40" s="1"/>
  <c r="R21" i="40"/>
  <c r="S21" i="40" s="1"/>
  <c r="C21" i="40" s="1"/>
  <c r="V23" i="40"/>
  <c r="R25" i="40"/>
  <c r="V27" i="40"/>
  <c r="R29" i="40"/>
  <c r="V31" i="40"/>
  <c r="V35" i="40"/>
  <c r="X23" i="40" l="1"/>
  <c r="AE23" i="40" s="1"/>
  <c r="S27" i="40"/>
  <c r="C27" i="40" s="1"/>
  <c r="S31" i="40"/>
  <c r="C31" i="40" s="1"/>
  <c r="S29" i="40"/>
  <c r="C29" i="40" s="1"/>
  <c r="X31" i="40"/>
  <c r="D31" i="40" s="1"/>
  <c r="S35" i="40"/>
  <c r="C35" i="40" s="1"/>
  <c r="X35" i="40"/>
  <c r="D35" i="40" s="1"/>
  <c r="X27" i="40"/>
  <c r="D27" i="40" s="1"/>
  <c r="X29" i="40"/>
  <c r="D29" i="40" s="1"/>
  <c r="S25" i="40"/>
  <c r="C25" i="40" s="1"/>
  <c r="AC33" i="40"/>
  <c r="D33" i="40"/>
  <c r="AE33" i="40"/>
  <c r="X25" i="40"/>
  <c r="AC21" i="40"/>
  <c r="AE21" i="40"/>
  <c r="D21" i="40"/>
  <c r="AE27" i="40" l="1"/>
  <c r="AC31" i="40"/>
  <c r="AC23" i="40"/>
  <c r="AE31" i="40"/>
  <c r="D23" i="40"/>
  <c r="E23" i="40" s="1"/>
  <c r="F23" i="40" s="1"/>
  <c r="AC29" i="40"/>
  <c r="AE29" i="40"/>
  <c r="AC27" i="40"/>
  <c r="E35" i="40"/>
  <c r="F35" i="40" s="1"/>
  <c r="E27" i="40"/>
  <c r="F27" i="40" s="1"/>
  <c r="E21" i="40"/>
  <c r="F21" i="40" s="1"/>
  <c r="D25" i="40"/>
  <c r="AE25" i="40"/>
  <c r="AC25" i="40"/>
  <c r="E29" i="40"/>
  <c r="F29" i="40" s="1"/>
  <c r="E33" i="40"/>
  <c r="F33" i="40" s="1"/>
  <c r="E31" i="40"/>
  <c r="F31" i="40" s="1"/>
  <c r="E25" i="40" l="1"/>
  <c r="F25" i="40" s="1"/>
  <c r="W35" i="39" l="1"/>
  <c r="R35" i="39"/>
  <c r="Q35" i="39"/>
  <c r="R33" i="39"/>
  <c r="W31" i="39"/>
  <c r="R31" i="39"/>
  <c r="Q31" i="39"/>
  <c r="R29" i="39"/>
  <c r="W27" i="39"/>
  <c r="R27" i="39"/>
  <c r="Q27" i="39"/>
  <c r="R25" i="39"/>
  <c r="W23" i="39"/>
  <c r="R23" i="39"/>
  <c r="Q23" i="39"/>
  <c r="R21" i="39"/>
  <c r="S21" i="39" s="1"/>
  <c r="C21" i="39" s="1"/>
  <c r="Q33" i="39"/>
  <c r="W33" i="39"/>
  <c r="L18" i="39"/>
  <c r="K18" i="39"/>
  <c r="J18" i="39"/>
  <c r="F18" i="39"/>
  <c r="E18" i="39"/>
  <c r="A9" i="39"/>
  <c r="A8" i="39"/>
  <c r="L7" i="39"/>
  <c r="A7" i="39"/>
  <c r="A4" i="39"/>
  <c r="A3" i="39"/>
  <c r="A2" i="39"/>
  <c r="A1" i="39"/>
  <c r="L58" i="5"/>
  <c r="R11" i="28" s="1"/>
  <c r="K58" i="5"/>
  <c r="R10" i="28" s="1"/>
  <c r="L56" i="5"/>
  <c r="K56" i="5"/>
  <c r="R10" i="40" l="1"/>
  <c r="R11" i="40"/>
  <c r="S33" i="39"/>
  <c r="C33" i="39" s="1"/>
  <c r="S27" i="39"/>
  <c r="C27" i="39" s="1"/>
  <c r="S31" i="39"/>
  <c r="C31" i="39" s="1"/>
  <c r="S35" i="39"/>
  <c r="C35" i="39" s="1"/>
  <c r="S23" i="39"/>
  <c r="C23" i="39" s="1"/>
  <c r="V25" i="39"/>
  <c r="V29" i="39"/>
  <c r="V33" i="39"/>
  <c r="X33" i="39" s="1"/>
  <c r="W21" i="39"/>
  <c r="X21" i="39" s="1"/>
  <c r="Q25" i="39"/>
  <c r="S25" i="39" s="1"/>
  <c r="C25" i="39" s="1"/>
  <c r="W25" i="39"/>
  <c r="Q29" i="39"/>
  <c r="S29" i="39" s="1"/>
  <c r="C29" i="39" s="1"/>
  <c r="W29" i="39"/>
  <c r="V23" i="39"/>
  <c r="X23" i="39" s="1"/>
  <c r="V27" i="39"/>
  <c r="X27" i="39" s="1"/>
  <c r="V31" i="39"/>
  <c r="X31" i="39" s="1"/>
  <c r="V35" i="39"/>
  <c r="X35" i="39" s="1"/>
  <c r="D35" i="39" s="1"/>
  <c r="J54" i="5"/>
  <c r="I54" i="5"/>
  <c r="H54" i="5"/>
  <c r="G54" i="5"/>
  <c r="G21" i="33" s="1"/>
  <c r="I21" i="33" l="1"/>
  <c r="G25" i="40"/>
  <c r="G31" i="40"/>
  <c r="G23" i="40"/>
  <c r="G29" i="40"/>
  <c r="G21" i="40"/>
  <c r="G27" i="40"/>
  <c r="G35" i="40"/>
  <c r="G33" i="40"/>
  <c r="H29" i="40"/>
  <c r="H25" i="40"/>
  <c r="H33" i="40"/>
  <c r="H31" i="40"/>
  <c r="H23" i="40"/>
  <c r="H35" i="40"/>
  <c r="H21" i="40"/>
  <c r="H27" i="40"/>
  <c r="AE21" i="39"/>
  <c r="D21" i="39"/>
  <c r="AC21" i="39"/>
  <c r="E35" i="39"/>
  <c r="F35" i="39" s="1"/>
  <c r="AE27" i="39"/>
  <c r="D27" i="39"/>
  <c r="AC27" i="39"/>
  <c r="X29" i="39"/>
  <c r="AE31" i="39"/>
  <c r="D31" i="39"/>
  <c r="AC31" i="39"/>
  <c r="AE23" i="39"/>
  <c r="D23" i="39"/>
  <c r="AC23" i="39"/>
  <c r="AE33" i="39"/>
  <c r="D33" i="39"/>
  <c r="AC33" i="39"/>
  <c r="X25" i="39"/>
  <c r="J16" i="2"/>
  <c r="I16" i="2"/>
  <c r="K16" i="2"/>
  <c r="F16" i="2"/>
  <c r="E16" i="2"/>
  <c r="K18" i="34"/>
  <c r="J18" i="34"/>
  <c r="I18" i="34"/>
  <c r="J18" i="35"/>
  <c r="I18" i="35"/>
  <c r="K18" i="35"/>
  <c r="F18" i="34"/>
  <c r="E18" i="34"/>
  <c r="F18" i="35"/>
  <c r="E18" i="35"/>
  <c r="P18" i="31"/>
  <c r="O18" i="31"/>
  <c r="N18" i="31"/>
  <c r="J18" i="31"/>
  <c r="I18" i="31"/>
  <c r="P18" i="26"/>
  <c r="O18" i="26"/>
  <c r="N18" i="26"/>
  <c r="J18" i="26"/>
  <c r="I18" i="26"/>
  <c r="P18" i="19"/>
  <c r="O18" i="19"/>
  <c r="N18" i="19"/>
  <c r="J18" i="19"/>
  <c r="I18" i="19"/>
  <c r="Q18" i="25"/>
  <c r="P18" i="25"/>
  <c r="O18" i="25"/>
  <c r="K18" i="25"/>
  <c r="J18" i="25"/>
  <c r="P18" i="24"/>
  <c r="O18" i="24"/>
  <c r="N18" i="24"/>
  <c r="J18" i="24"/>
  <c r="I18" i="24"/>
  <c r="P18" i="15"/>
  <c r="O18" i="15"/>
  <c r="N18" i="15"/>
  <c r="J18" i="15"/>
  <c r="I18" i="15"/>
  <c r="L18" i="27"/>
  <c r="K18" i="27"/>
  <c r="J18" i="27"/>
  <c r="F18" i="27"/>
  <c r="E18" i="27"/>
  <c r="L18" i="28"/>
  <c r="K18" i="28"/>
  <c r="J18" i="28"/>
  <c r="F18" i="28"/>
  <c r="E18" i="28"/>
  <c r="O18" i="32"/>
  <c r="N18" i="32"/>
  <c r="P18" i="32"/>
  <c r="J18" i="32"/>
  <c r="I18" i="32"/>
  <c r="F17" i="36"/>
  <c r="E17" i="36"/>
  <c r="L18" i="33"/>
  <c r="K18" i="33"/>
  <c r="J18" i="33"/>
  <c r="F18" i="33"/>
  <c r="E18" i="33"/>
  <c r="L18" i="4"/>
  <c r="K18" i="4"/>
  <c r="J18" i="4"/>
  <c r="F18" i="4"/>
  <c r="E18" i="4"/>
  <c r="A8" i="2"/>
  <c r="A7" i="2"/>
  <c r="K6" i="2"/>
  <c r="K140" i="2" s="1"/>
  <c r="A6" i="2"/>
  <c r="A4" i="2"/>
  <c r="A3" i="2"/>
  <c r="A2" i="2"/>
  <c r="A50" i="2" s="1"/>
  <c r="A1" i="2"/>
  <c r="A49" i="2" s="1"/>
  <c r="A83" i="2" l="1"/>
  <c r="A54" i="2"/>
  <c r="A85" i="2"/>
  <c r="K56" i="2"/>
  <c r="K87" i="2"/>
  <c r="A87" i="2"/>
  <c r="A80" i="2"/>
  <c r="A81" i="2"/>
  <c r="K85" i="2"/>
  <c r="A51" i="2"/>
  <c r="A82" i="2"/>
  <c r="A86" i="2"/>
  <c r="A141" i="2"/>
  <c r="E33" i="39"/>
  <c r="F33" i="39" s="1"/>
  <c r="E27" i="39"/>
  <c r="F27" i="39" s="1"/>
  <c r="AE25" i="39"/>
  <c r="D25" i="39"/>
  <c r="AC25" i="39"/>
  <c r="E31" i="39"/>
  <c r="F31" i="39" s="1"/>
  <c r="AC29" i="39"/>
  <c r="AE29" i="39"/>
  <c r="D29" i="39"/>
  <c r="E21" i="39"/>
  <c r="F21" i="39" s="1"/>
  <c r="E23" i="39"/>
  <c r="F23" i="39" s="1"/>
  <c r="A137" i="2"/>
  <c r="K54" i="2"/>
  <c r="A136" i="2"/>
  <c r="A138" i="2"/>
  <c r="A142" i="2"/>
  <c r="A52" i="2"/>
  <c r="A139" i="2"/>
  <c r="A143" i="2"/>
  <c r="A55" i="2"/>
  <c r="A56" i="2"/>
  <c r="A38" i="34"/>
  <c r="A38" i="35"/>
  <c r="F7" i="36"/>
  <c r="A9" i="36"/>
  <c r="A8" i="36"/>
  <c r="A7" i="36"/>
  <c r="A4" i="36"/>
  <c r="A3" i="36"/>
  <c r="A2" i="36"/>
  <c r="A1" i="36"/>
  <c r="A9" i="34"/>
  <c r="A8" i="34"/>
  <c r="K7" i="34"/>
  <c r="A7" i="34"/>
  <c r="A4" i="34"/>
  <c r="A3" i="34"/>
  <c r="A2" i="34"/>
  <c r="A1" i="34"/>
  <c r="A9" i="35"/>
  <c r="A8" i="35"/>
  <c r="K7" i="35"/>
  <c r="A7" i="35"/>
  <c r="A4" i="35"/>
  <c r="A3" i="35"/>
  <c r="A2" i="35"/>
  <c r="A1" i="35"/>
  <c r="A9" i="31"/>
  <c r="A8" i="31"/>
  <c r="P7" i="31"/>
  <c r="A7" i="31"/>
  <c r="A4" i="31"/>
  <c r="A3" i="31"/>
  <c r="A2" i="31"/>
  <c r="A1" i="31"/>
  <c r="A41" i="31"/>
  <c r="E38" i="26"/>
  <c r="E37" i="26"/>
  <c r="E36" i="26"/>
  <c r="E34" i="26"/>
  <c r="E33" i="26"/>
  <c r="E32" i="26"/>
  <c r="E30" i="26"/>
  <c r="E29" i="26"/>
  <c r="E28" i="26"/>
  <c r="E26" i="26"/>
  <c r="E24" i="26"/>
  <c r="E22" i="26"/>
  <c r="E21" i="26"/>
  <c r="E20" i="26"/>
  <c r="A9" i="26"/>
  <c r="A8" i="26"/>
  <c r="P7" i="26"/>
  <c r="A7" i="26"/>
  <c r="A4" i="26"/>
  <c r="A3" i="26"/>
  <c r="A2" i="26"/>
  <c r="A1" i="26"/>
  <c r="A41" i="26"/>
  <c r="A41" i="19"/>
  <c r="E38" i="19"/>
  <c r="E37" i="19"/>
  <c r="E36" i="19"/>
  <c r="E34" i="19"/>
  <c r="E33" i="19"/>
  <c r="E32" i="19"/>
  <c r="E30" i="19"/>
  <c r="E29" i="19"/>
  <c r="E28" i="19"/>
  <c r="E26" i="19"/>
  <c r="E24" i="19"/>
  <c r="E22" i="19"/>
  <c r="E21" i="19"/>
  <c r="E20" i="19"/>
  <c r="A9" i="19"/>
  <c r="A8" i="19"/>
  <c r="P7" i="19"/>
  <c r="A7" i="19"/>
  <c r="A4" i="19"/>
  <c r="A3" i="19"/>
  <c r="A2" i="19"/>
  <c r="A1" i="19"/>
  <c r="F38" i="25"/>
  <c r="F37" i="25"/>
  <c r="F36" i="25"/>
  <c r="F34" i="25"/>
  <c r="F33" i="25"/>
  <c r="F32" i="25"/>
  <c r="F30" i="25"/>
  <c r="F29" i="25"/>
  <c r="F28" i="25"/>
  <c r="F26" i="25"/>
  <c r="F25" i="25"/>
  <c r="F24" i="25"/>
  <c r="F22" i="25"/>
  <c r="F21" i="25"/>
  <c r="A9" i="25"/>
  <c r="A8" i="25"/>
  <c r="Q7" i="25"/>
  <c r="A7" i="25"/>
  <c r="A4" i="25"/>
  <c r="A3" i="25"/>
  <c r="A2" i="25"/>
  <c r="A1" i="25"/>
  <c r="A41" i="25"/>
  <c r="E38" i="24"/>
  <c r="E37" i="24"/>
  <c r="E36" i="24"/>
  <c r="E34" i="24"/>
  <c r="E33" i="24"/>
  <c r="E32" i="24"/>
  <c r="E30" i="24"/>
  <c r="E29" i="24"/>
  <c r="E28" i="24"/>
  <c r="E26" i="24"/>
  <c r="E25" i="24"/>
  <c r="E24" i="24"/>
  <c r="E22" i="24"/>
  <c r="E21" i="24"/>
  <c r="E20" i="24"/>
  <c r="A9" i="24"/>
  <c r="A8" i="24"/>
  <c r="P7" i="24"/>
  <c r="A7" i="24"/>
  <c r="A4" i="24"/>
  <c r="A3" i="24"/>
  <c r="A2" i="24"/>
  <c r="A1" i="24"/>
  <c r="A41" i="24"/>
  <c r="E38" i="15"/>
  <c r="E37" i="15"/>
  <c r="E36" i="15"/>
  <c r="E34" i="15"/>
  <c r="E33" i="15"/>
  <c r="E32" i="15"/>
  <c r="E30" i="15"/>
  <c r="E29" i="15"/>
  <c r="E28" i="15"/>
  <c r="E26" i="15"/>
  <c r="E25" i="15"/>
  <c r="E24" i="15"/>
  <c r="E22" i="15"/>
  <c r="E21" i="15"/>
  <c r="E20" i="15"/>
  <c r="A9" i="15"/>
  <c r="A8" i="15"/>
  <c r="P7" i="15"/>
  <c r="A7" i="15"/>
  <c r="A4" i="15"/>
  <c r="A3" i="15"/>
  <c r="A2" i="15"/>
  <c r="A1" i="15"/>
  <c r="A41" i="15"/>
  <c r="A9" i="27"/>
  <c r="A8" i="27"/>
  <c r="L7" i="27"/>
  <c r="A7" i="27"/>
  <c r="A4" i="27"/>
  <c r="A3" i="27"/>
  <c r="A2" i="27"/>
  <c r="A1" i="27"/>
  <c r="A38" i="28"/>
  <c r="A9" i="28"/>
  <c r="A8" i="28"/>
  <c r="L7" i="28"/>
  <c r="A7" i="28"/>
  <c r="A4" i="28"/>
  <c r="A3" i="28"/>
  <c r="A2" i="28"/>
  <c r="A1" i="28"/>
  <c r="E26" i="32"/>
  <c r="A41" i="32"/>
  <c r="A9" i="32"/>
  <c r="A8" i="32"/>
  <c r="P7" i="32"/>
  <c r="A7" i="32"/>
  <c r="A4" i="32"/>
  <c r="A3" i="32"/>
  <c r="A2" i="32"/>
  <c r="A1" i="32"/>
  <c r="A9" i="33"/>
  <c r="A8" i="33"/>
  <c r="L7" i="33"/>
  <c r="A7" i="33"/>
  <c r="A4" i="33"/>
  <c r="A3" i="33"/>
  <c r="A2" i="33"/>
  <c r="A1" i="33"/>
  <c r="L7" i="4"/>
  <c r="A9" i="4"/>
  <c r="A8" i="4"/>
  <c r="A7" i="4"/>
  <c r="A4" i="4"/>
  <c r="A3" i="4"/>
  <c r="A2" i="4"/>
  <c r="A1" i="4"/>
  <c r="A38" i="4"/>
  <c r="J9" i="37"/>
  <c r="E25" i="39" l="1"/>
  <c r="F25" i="39" s="1"/>
  <c r="E29" i="39"/>
  <c r="F29" i="39" s="1"/>
  <c r="J10" i="37"/>
  <c r="J11" i="37" l="1"/>
  <c r="J12" i="37" l="1"/>
  <c r="J13" i="37" l="1"/>
  <c r="J14" i="37" l="1"/>
  <c r="J15" i="37" l="1"/>
  <c r="J16" i="37" l="1"/>
  <c r="J17" i="37" l="1"/>
  <c r="J18" i="37" l="1"/>
  <c r="J19" i="37" l="1"/>
  <c r="J20" i="37" l="1"/>
  <c r="J21" i="37" l="1"/>
  <c r="J22" i="37" l="1"/>
  <c r="W21" i="33"/>
  <c r="J23" i="37" l="1"/>
  <c r="J65" i="5" l="1"/>
  <c r="J25" i="37" l="1"/>
  <c r="N56" i="5"/>
  <c r="M56" i="5"/>
  <c r="N58" i="5"/>
  <c r="M58" i="5"/>
  <c r="J64" i="5"/>
  <c r="J63" i="5"/>
  <c r="J62" i="5"/>
  <c r="J61" i="5"/>
  <c r="J60" i="5"/>
  <c r="J59" i="5"/>
  <c r="J58" i="5"/>
  <c r="J57" i="5"/>
  <c r="J56" i="5"/>
  <c r="J55" i="5"/>
  <c r="J53" i="5"/>
  <c r="J26" i="37" l="1"/>
  <c r="R12" i="28"/>
  <c r="R12" i="40"/>
  <c r="G65" i="5"/>
  <c r="S37" i="2" l="1"/>
  <c r="S71" i="2"/>
  <c r="S42" i="2"/>
  <c r="S39" i="2"/>
  <c r="S73" i="2"/>
  <c r="S36" i="2"/>
  <c r="S44" i="2"/>
  <c r="S41" i="2"/>
  <c r="S70" i="2"/>
  <c r="S43" i="2"/>
  <c r="S72" i="2"/>
  <c r="S35" i="2"/>
  <c r="S40" i="2"/>
  <c r="S38" i="2"/>
  <c r="S25" i="2"/>
  <c r="S28" i="2"/>
  <c r="S30" i="2"/>
  <c r="S27" i="2"/>
  <c r="S24" i="2"/>
  <c r="S26" i="2"/>
  <c r="J27" i="37"/>
  <c r="G33" i="35"/>
  <c r="S31" i="2"/>
  <c r="S32" i="2"/>
  <c r="S23" i="2"/>
  <c r="S34" i="2"/>
  <c r="S33" i="2"/>
  <c r="S21" i="2"/>
  <c r="S22" i="2"/>
  <c r="S20" i="2"/>
  <c r="I21" i="40"/>
  <c r="I25" i="40"/>
  <c r="I35" i="40"/>
  <c r="I27" i="40"/>
  <c r="I31" i="40"/>
  <c r="I29" i="40"/>
  <c r="I33" i="40"/>
  <c r="I23" i="40"/>
  <c r="S190" i="2"/>
  <c r="S191" i="2"/>
  <c r="G33" i="34"/>
  <c r="N9" i="2"/>
  <c r="G35" i="35"/>
  <c r="G23" i="35"/>
  <c r="G27" i="35"/>
  <c r="G31" i="35"/>
  <c r="G21" i="35"/>
  <c r="G25" i="35"/>
  <c r="G29" i="35"/>
  <c r="G26" i="2" l="1"/>
  <c r="G28" i="2"/>
  <c r="G35" i="2"/>
  <c r="G41" i="2"/>
  <c r="G39" i="2"/>
  <c r="G24" i="2"/>
  <c r="G25" i="2"/>
  <c r="G44" i="2"/>
  <c r="G42" i="2"/>
  <c r="G27" i="2"/>
  <c r="G38" i="2"/>
  <c r="G43" i="2"/>
  <c r="G36" i="2"/>
  <c r="G30" i="2"/>
  <c r="G40" i="2"/>
  <c r="G37" i="2"/>
  <c r="J28" i="37"/>
  <c r="G22" i="2"/>
  <c r="G23" i="2"/>
  <c r="G21" i="2"/>
  <c r="G32" i="2"/>
  <c r="G33" i="2"/>
  <c r="G31" i="2"/>
  <c r="G20" i="2"/>
  <c r="G34" i="2"/>
  <c r="J23" i="40"/>
  <c r="K23" i="40"/>
  <c r="K35" i="40"/>
  <c r="J35" i="40"/>
  <c r="J29" i="40"/>
  <c r="K29" i="40"/>
  <c r="J25" i="40"/>
  <c r="K25" i="40"/>
  <c r="K27" i="40"/>
  <c r="J27" i="40"/>
  <c r="J33" i="40"/>
  <c r="K33" i="40"/>
  <c r="J31" i="40"/>
  <c r="K31" i="40"/>
  <c r="J21" i="40"/>
  <c r="K21" i="40"/>
  <c r="G29" i="34"/>
  <c r="G35" i="34"/>
  <c r="G31" i="34"/>
  <c r="G25" i="34"/>
  <c r="G27" i="34"/>
  <c r="G21" i="34"/>
  <c r="G23" i="34"/>
  <c r="H65" i="5"/>
  <c r="I65" i="5"/>
  <c r="B74" i="5"/>
  <c r="I64" i="5"/>
  <c r="H64" i="5"/>
  <c r="G64" i="5"/>
  <c r="I63" i="5"/>
  <c r="T12" i="26" s="1"/>
  <c r="H63" i="5"/>
  <c r="T11" i="26" s="1"/>
  <c r="G63" i="5"/>
  <c r="T10" i="26" s="1"/>
  <c r="I62" i="5"/>
  <c r="T12" i="19" s="1"/>
  <c r="H62" i="5"/>
  <c r="T11" i="19" s="1"/>
  <c r="G62" i="5"/>
  <c r="T10" i="19" s="1"/>
  <c r="I61" i="5"/>
  <c r="U12" i="25" s="1"/>
  <c r="H61" i="5"/>
  <c r="U11" i="25" s="1"/>
  <c r="G61" i="5"/>
  <c r="U10" i="25" s="1"/>
  <c r="L22" i="25" s="1"/>
  <c r="I60" i="5"/>
  <c r="T12" i="24" s="1"/>
  <c r="H60" i="5"/>
  <c r="T11" i="24" s="1"/>
  <c r="G60" i="5"/>
  <c r="T10" i="24" s="1"/>
  <c r="I59" i="5"/>
  <c r="T12" i="15" s="1"/>
  <c r="H59" i="5"/>
  <c r="T11" i="15" s="1"/>
  <c r="L22" i="15" s="1"/>
  <c r="G59" i="5"/>
  <c r="T10" i="15" s="1"/>
  <c r="K22" i="15" s="1"/>
  <c r="I58" i="5"/>
  <c r="H58" i="5"/>
  <c r="G58" i="5"/>
  <c r="I57" i="5"/>
  <c r="I31" i="28" s="1"/>
  <c r="H57" i="5"/>
  <c r="H35" i="28" s="1"/>
  <c r="G57" i="5"/>
  <c r="G33" i="28" s="1"/>
  <c r="I56" i="5"/>
  <c r="H56" i="5"/>
  <c r="G56" i="5"/>
  <c r="R10" i="39" s="1"/>
  <c r="I55" i="5"/>
  <c r="H55" i="5"/>
  <c r="G55" i="5"/>
  <c r="I74" i="5" l="1"/>
  <c r="G27" i="39"/>
  <c r="G31" i="39"/>
  <c r="G33" i="39"/>
  <c r="G21" i="39"/>
  <c r="G29" i="39"/>
  <c r="G23" i="39"/>
  <c r="G35" i="39"/>
  <c r="G25" i="39"/>
  <c r="R10" i="27"/>
  <c r="G25" i="27" s="1"/>
  <c r="R11" i="39"/>
  <c r="R11" i="27"/>
  <c r="H27" i="27" s="1"/>
  <c r="R12" i="27"/>
  <c r="R12" i="39"/>
  <c r="T36" i="2"/>
  <c r="T44" i="2"/>
  <c r="T39" i="2"/>
  <c r="T41" i="2"/>
  <c r="T73" i="2"/>
  <c r="T42" i="2"/>
  <c r="T37" i="2"/>
  <c r="T70" i="2"/>
  <c r="T40" i="2"/>
  <c r="T38" i="2"/>
  <c r="T43" i="2"/>
  <c r="T72" i="2"/>
  <c r="T35" i="2"/>
  <c r="T71" i="2"/>
  <c r="T27" i="2"/>
  <c r="T24" i="2"/>
  <c r="T26" i="2"/>
  <c r="T30" i="2"/>
  <c r="T28" i="2"/>
  <c r="T25" i="2"/>
  <c r="J29" i="37"/>
  <c r="T31" i="2"/>
  <c r="T21" i="2"/>
  <c r="T34" i="2"/>
  <c r="T22" i="2"/>
  <c r="T20" i="2"/>
  <c r="T33" i="2"/>
  <c r="T23" i="2"/>
  <c r="T32" i="2"/>
  <c r="L31" i="40"/>
  <c r="L29" i="40"/>
  <c r="L21" i="40"/>
  <c r="L33" i="40"/>
  <c r="L25" i="40"/>
  <c r="L23" i="40"/>
  <c r="L35" i="40"/>
  <c r="T12" i="31"/>
  <c r="T12" i="41"/>
  <c r="I31" i="33"/>
  <c r="T10" i="31"/>
  <c r="T10" i="41"/>
  <c r="T11" i="31"/>
  <c r="T11" i="41"/>
  <c r="L27" i="40"/>
  <c r="G75" i="5"/>
  <c r="G74" i="5"/>
  <c r="K38" i="15"/>
  <c r="K28" i="15"/>
  <c r="K32" i="15"/>
  <c r="K29" i="15"/>
  <c r="K26" i="15"/>
  <c r="K24" i="15"/>
  <c r="M37" i="24"/>
  <c r="M32" i="24"/>
  <c r="M26" i="24"/>
  <c r="M21" i="24"/>
  <c r="M38" i="24"/>
  <c r="M33" i="24"/>
  <c r="M28" i="24"/>
  <c r="M22" i="24"/>
  <c r="M34" i="24"/>
  <c r="M24" i="24"/>
  <c r="M36" i="24"/>
  <c r="M25" i="24"/>
  <c r="M30" i="24"/>
  <c r="M20" i="24"/>
  <c r="M29" i="24"/>
  <c r="L34" i="26"/>
  <c r="L29" i="26"/>
  <c r="L24" i="26"/>
  <c r="L36" i="26"/>
  <c r="L30" i="26"/>
  <c r="L25" i="26"/>
  <c r="L37" i="26"/>
  <c r="L32" i="26"/>
  <c r="L26" i="26"/>
  <c r="L21" i="26"/>
  <c r="L38" i="26"/>
  <c r="L33" i="26"/>
  <c r="L28" i="26"/>
  <c r="L22" i="26"/>
  <c r="L20" i="26"/>
  <c r="I29" i="33"/>
  <c r="H74" i="5"/>
  <c r="M34" i="15"/>
  <c r="M36" i="15"/>
  <c r="M32" i="15"/>
  <c r="M25" i="15"/>
  <c r="M21" i="15"/>
  <c r="M38" i="15"/>
  <c r="M28" i="15"/>
  <c r="M37" i="15"/>
  <c r="M30" i="15"/>
  <c r="M22" i="15"/>
  <c r="M26" i="15"/>
  <c r="M20" i="15"/>
  <c r="M33" i="15"/>
  <c r="L20" i="19"/>
  <c r="L37" i="19"/>
  <c r="L32" i="19"/>
  <c r="L26" i="19"/>
  <c r="L34" i="19"/>
  <c r="L38" i="19"/>
  <c r="L33" i="19"/>
  <c r="L28" i="19"/>
  <c r="L24" i="19"/>
  <c r="L21" i="19"/>
  <c r="L36" i="19"/>
  <c r="L30" i="19"/>
  <c r="L29" i="19"/>
  <c r="L22" i="19"/>
  <c r="L25" i="19"/>
  <c r="M36" i="26"/>
  <c r="M30" i="26"/>
  <c r="M25" i="26"/>
  <c r="M20" i="26"/>
  <c r="M37" i="26"/>
  <c r="M32" i="26"/>
  <c r="M26" i="26"/>
  <c r="M21" i="26"/>
  <c r="M38" i="26"/>
  <c r="M33" i="26"/>
  <c r="M28" i="26"/>
  <c r="M22" i="26"/>
  <c r="M34" i="26"/>
  <c r="M29" i="26"/>
  <c r="M24" i="26"/>
  <c r="T190" i="2"/>
  <c r="T191" i="2"/>
  <c r="M24" i="15"/>
  <c r="L34" i="15"/>
  <c r="L24" i="15"/>
  <c r="K34" i="24"/>
  <c r="K29" i="24"/>
  <c r="K24" i="24"/>
  <c r="K36" i="24"/>
  <c r="K30" i="24"/>
  <c r="K25" i="24"/>
  <c r="K20" i="24"/>
  <c r="K32" i="24"/>
  <c r="K21" i="24"/>
  <c r="K38" i="24"/>
  <c r="K28" i="24"/>
  <c r="K37" i="24"/>
  <c r="K26" i="24"/>
  <c r="K33" i="24"/>
  <c r="K22" i="24"/>
  <c r="M22" i="25"/>
  <c r="M37" i="25"/>
  <c r="M32" i="25"/>
  <c r="M26" i="25"/>
  <c r="M20" i="25"/>
  <c r="M38" i="25"/>
  <c r="M33" i="25"/>
  <c r="M28" i="25"/>
  <c r="M29" i="25"/>
  <c r="M21" i="25"/>
  <c r="M36" i="25"/>
  <c r="M25" i="25"/>
  <c r="M34" i="25"/>
  <c r="M24" i="25"/>
  <c r="M30" i="25"/>
  <c r="M21" i="19"/>
  <c r="M38" i="19"/>
  <c r="M33" i="19"/>
  <c r="M28" i="19"/>
  <c r="M22" i="19"/>
  <c r="M36" i="19"/>
  <c r="M34" i="19"/>
  <c r="M29" i="19"/>
  <c r="M24" i="19"/>
  <c r="M20" i="19"/>
  <c r="M37" i="19"/>
  <c r="M30" i="19"/>
  <c r="M32" i="19"/>
  <c r="M26" i="19"/>
  <c r="M25" i="19"/>
  <c r="H29" i="4"/>
  <c r="I25" i="33"/>
  <c r="I33" i="33"/>
  <c r="I29" i="28"/>
  <c r="M29" i="15"/>
  <c r="K33" i="15"/>
  <c r="L38" i="15"/>
  <c r="L36" i="15"/>
  <c r="L32" i="15"/>
  <c r="L25" i="15"/>
  <c r="L21" i="15"/>
  <c r="L26" i="15"/>
  <c r="L37" i="15"/>
  <c r="L30" i="15"/>
  <c r="L20" i="15"/>
  <c r="K22" i="19"/>
  <c r="K36" i="19"/>
  <c r="K30" i="19"/>
  <c r="K25" i="19"/>
  <c r="K20" i="19"/>
  <c r="K37" i="19"/>
  <c r="K32" i="19"/>
  <c r="K26" i="19"/>
  <c r="K38" i="19"/>
  <c r="K33" i="19"/>
  <c r="K28" i="19"/>
  <c r="K24" i="19"/>
  <c r="K34" i="19"/>
  <c r="K29" i="19"/>
  <c r="L33" i="15"/>
  <c r="I37" i="27"/>
  <c r="I33" i="27"/>
  <c r="I29" i="27"/>
  <c r="I25" i="27"/>
  <c r="I21" i="27"/>
  <c r="I23" i="27"/>
  <c r="I35" i="27"/>
  <c r="I27" i="27"/>
  <c r="I31" i="27"/>
  <c r="L21" i="25"/>
  <c r="L36" i="25"/>
  <c r="L30" i="25"/>
  <c r="L25" i="25"/>
  <c r="L37" i="25"/>
  <c r="L32" i="25"/>
  <c r="L26" i="25"/>
  <c r="L20" i="25"/>
  <c r="L33" i="25"/>
  <c r="L34" i="25"/>
  <c r="L24" i="25"/>
  <c r="L29" i="25"/>
  <c r="L38" i="25"/>
  <c r="L28" i="25"/>
  <c r="G35" i="4"/>
  <c r="I27" i="33"/>
  <c r="I35" i="33"/>
  <c r="G27" i="27"/>
  <c r="K37" i="15"/>
  <c r="K30" i="15"/>
  <c r="K20" i="15"/>
  <c r="K25" i="15"/>
  <c r="K36" i="15"/>
  <c r="L36" i="24"/>
  <c r="L30" i="24"/>
  <c r="L25" i="24"/>
  <c r="L20" i="24"/>
  <c r="L37" i="24"/>
  <c r="L32" i="24"/>
  <c r="L26" i="24"/>
  <c r="L21" i="24"/>
  <c r="L38" i="24"/>
  <c r="L28" i="24"/>
  <c r="L29" i="24"/>
  <c r="L34" i="24"/>
  <c r="L24" i="24"/>
  <c r="L33" i="24"/>
  <c r="L22" i="24"/>
  <c r="N38" i="25"/>
  <c r="N33" i="25"/>
  <c r="N28" i="25"/>
  <c r="N22" i="25"/>
  <c r="N34" i="25"/>
  <c r="N29" i="25"/>
  <c r="N24" i="25"/>
  <c r="N21" i="25"/>
  <c r="N36" i="25"/>
  <c r="N25" i="25"/>
  <c r="N32" i="25"/>
  <c r="N20" i="25"/>
  <c r="N30" i="25"/>
  <c r="N37" i="25"/>
  <c r="N26" i="25"/>
  <c r="K38" i="26"/>
  <c r="K33" i="26"/>
  <c r="K28" i="26"/>
  <c r="K22" i="26"/>
  <c r="K34" i="26"/>
  <c r="K29" i="26"/>
  <c r="K24" i="26"/>
  <c r="K36" i="26"/>
  <c r="K30" i="26"/>
  <c r="K25" i="26"/>
  <c r="K20" i="26"/>
  <c r="K37" i="26"/>
  <c r="K32" i="26"/>
  <c r="K26" i="26"/>
  <c r="K21" i="26"/>
  <c r="H75" i="5"/>
  <c r="I27" i="4"/>
  <c r="I23" i="33"/>
  <c r="G31" i="27"/>
  <c r="L28" i="15"/>
  <c r="K21" i="15"/>
  <c r="L29" i="15"/>
  <c r="K34" i="15"/>
  <c r="K21" i="19"/>
  <c r="G25" i="28"/>
  <c r="I21" i="28"/>
  <c r="I35" i="28"/>
  <c r="G23" i="28"/>
  <c r="H25" i="28"/>
  <c r="I27" i="28"/>
  <c r="G31" i="28"/>
  <c r="I33" i="28"/>
  <c r="G21" i="28"/>
  <c r="H23" i="28"/>
  <c r="I25" i="28"/>
  <c r="G29" i="28"/>
  <c r="H31" i="28"/>
  <c r="G35" i="28"/>
  <c r="H27" i="28"/>
  <c r="H33" i="28"/>
  <c r="H21" i="28"/>
  <c r="I23" i="28"/>
  <c r="G27" i="28"/>
  <c r="H29" i="28"/>
  <c r="I75" i="5"/>
  <c r="I77" i="5" s="1"/>
  <c r="H29" i="27" l="1"/>
  <c r="H31" i="27"/>
  <c r="G21" i="27"/>
  <c r="G35" i="27"/>
  <c r="G37" i="27"/>
  <c r="G33" i="27"/>
  <c r="G23" i="27"/>
  <c r="G29" i="27"/>
  <c r="H25" i="27"/>
  <c r="H37" i="27"/>
  <c r="H35" i="27"/>
  <c r="H33" i="27"/>
  <c r="H23" i="27"/>
  <c r="H21" i="27"/>
  <c r="H30" i="2"/>
  <c r="U30" i="2"/>
  <c r="V30" i="2"/>
  <c r="U71" i="2"/>
  <c r="V71" i="2"/>
  <c r="J71" i="2" s="1"/>
  <c r="H38" i="2"/>
  <c r="V38" i="2"/>
  <c r="U38" i="2"/>
  <c r="H42" i="2"/>
  <c r="V42" i="2"/>
  <c r="U42" i="2"/>
  <c r="H44" i="2"/>
  <c r="U44" i="2"/>
  <c r="V44" i="2"/>
  <c r="H26" i="2"/>
  <c r="V26" i="2"/>
  <c r="U26" i="2"/>
  <c r="H35" i="2"/>
  <c r="U35" i="2"/>
  <c r="V35" i="2"/>
  <c r="H40" i="2"/>
  <c r="V40" i="2"/>
  <c r="U40" i="2"/>
  <c r="V73" i="2"/>
  <c r="J73" i="2" s="1"/>
  <c r="U73" i="2"/>
  <c r="H36" i="2"/>
  <c r="U36" i="2"/>
  <c r="V36" i="2"/>
  <c r="H23" i="39"/>
  <c r="H27" i="39"/>
  <c r="H33" i="39"/>
  <c r="H35" i="39"/>
  <c r="H29" i="39"/>
  <c r="H25" i="39"/>
  <c r="H31" i="39"/>
  <c r="H21" i="39"/>
  <c r="H25" i="2"/>
  <c r="V25" i="2"/>
  <c r="U25" i="2"/>
  <c r="H24" i="2"/>
  <c r="V24" i="2"/>
  <c r="U24" i="2"/>
  <c r="U72" i="2"/>
  <c r="V72" i="2"/>
  <c r="J72" i="2" s="1"/>
  <c r="V70" i="2"/>
  <c r="J70" i="2" s="1"/>
  <c r="U70" i="2"/>
  <c r="H41" i="2"/>
  <c r="V41" i="2"/>
  <c r="U41" i="2"/>
  <c r="I31" i="39"/>
  <c r="I35" i="39"/>
  <c r="I27" i="39"/>
  <c r="I33" i="39"/>
  <c r="I23" i="39"/>
  <c r="J23" i="39" s="1"/>
  <c r="I29" i="39"/>
  <c r="I21" i="39"/>
  <c r="I25" i="39"/>
  <c r="K23" i="39"/>
  <c r="H28" i="2"/>
  <c r="V28" i="2"/>
  <c r="U28" i="2"/>
  <c r="H27" i="2"/>
  <c r="V27" i="2"/>
  <c r="U27" i="2"/>
  <c r="H43" i="2"/>
  <c r="U43" i="2"/>
  <c r="V43" i="2"/>
  <c r="H37" i="2"/>
  <c r="V37" i="2"/>
  <c r="U37" i="2"/>
  <c r="H39" i="2"/>
  <c r="U39" i="2"/>
  <c r="V39" i="2"/>
  <c r="J30" i="37"/>
  <c r="L28" i="45"/>
  <c r="L22" i="45"/>
  <c r="L33" i="45"/>
  <c r="L32" i="45"/>
  <c r="L25" i="45"/>
  <c r="L20" i="45"/>
  <c r="L26" i="45"/>
  <c r="L30" i="45"/>
  <c r="L21" i="45"/>
  <c r="L37" i="45"/>
  <c r="L29" i="45"/>
  <c r="L38" i="45"/>
  <c r="L34" i="45"/>
  <c r="L24" i="45"/>
  <c r="L36" i="45"/>
  <c r="M25" i="45"/>
  <c r="M30" i="45"/>
  <c r="M36" i="45"/>
  <c r="M20" i="45"/>
  <c r="M37" i="45"/>
  <c r="M21" i="45"/>
  <c r="M26" i="45"/>
  <c r="M34" i="45"/>
  <c r="M22" i="45"/>
  <c r="M28" i="45"/>
  <c r="M33" i="45"/>
  <c r="M32" i="45"/>
  <c r="M29" i="45"/>
  <c r="M38" i="45"/>
  <c r="M24" i="45"/>
  <c r="K33" i="45"/>
  <c r="K22" i="45"/>
  <c r="K38" i="45"/>
  <c r="K21" i="45"/>
  <c r="K20" i="45"/>
  <c r="K28" i="45"/>
  <c r="K37" i="45"/>
  <c r="K25" i="45"/>
  <c r="K30" i="45"/>
  <c r="K36" i="45"/>
  <c r="K32" i="45"/>
  <c r="K26" i="45"/>
  <c r="K24" i="45"/>
  <c r="K29" i="45"/>
  <c r="K34" i="45"/>
  <c r="H22" i="2"/>
  <c r="U22" i="2"/>
  <c r="V22" i="2"/>
  <c r="H23" i="2"/>
  <c r="V23" i="2"/>
  <c r="U23" i="2"/>
  <c r="H34" i="2"/>
  <c r="V34" i="2"/>
  <c r="U34" i="2"/>
  <c r="H33" i="2"/>
  <c r="U33" i="2"/>
  <c r="V33" i="2"/>
  <c r="H21" i="2"/>
  <c r="V21" i="2"/>
  <c r="U21" i="2"/>
  <c r="H32" i="2"/>
  <c r="U32" i="2"/>
  <c r="V32" i="2"/>
  <c r="H20" i="2"/>
  <c r="U20" i="2"/>
  <c r="V20" i="2"/>
  <c r="H31" i="2"/>
  <c r="U31" i="2"/>
  <c r="V31" i="2"/>
  <c r="G33" i="4"/>
  <c r="G21" i="4"/>
  <c r="G29" i="4"/>
  <c r="L38" i="41"/>
  <c r="L37" i="41"/>
  <c r="L36" i="41"/>
  <c r="L29" i="41"/>
  <c r="L20" i="41"/>
  <c r="L33" i="41"/>
  <c r="L32" i="41"/>
  <c r="L30" i="41"/>
  <c r="L24" i="41"/>
  <c r="L28" i="41"/>
  <c r="L26" i="41"/>
  <c r="L25" i="41"/>
  <c r="L22" i="41"/>
  <c r="L21" i="41"/>
  <c r="L34" i="41"/>
  <c r="K20" i="41"/>
  <c r="K36" i="41"/>
  <c r="K25" i="41"/>
  <c r="K30" i="41"/>
  <c r="K38" i="41"/>
  <c r="K26" i="41"/>
  <c r="K37" i="41"/>
  <c r="K28" i="41"/>
  <c r="K21" i="41"/>
  <c r="K34" i="41"/>
  <c r="K33" i="41"/>
  <c r="K29" i="41"/>
  <c r="K32" i="41"/>
  <c r="K24" i="41"/>
  <c r="K22" i="41"/>
  <c r="M34" i="41"/>
  <c r="M21" i="41"/>
  <c r="M38" i="41"/>
  <c r="M24" i="41"/>
  <c r="M30" i="41"/>
  <c r="M22" i="41"/>
  <c r="M37" i="41"/>
  <c r="M36" i="41"/>
  <c r="M33" i="41"/>
  <c r="M29" i="41"/>
  <c r="M32" i="41"/>
  <c r="M28" i="41"/>
  <c r="M20" i="41"/>
  <c r="M26" i="41"/>
  <c r="M25" i="41"/>
  <c r="H21" i="4"/>
  <c r="I35" i="4"/>
  <c r="H35" i="4"/>
  <c r="H27" i="4"/>
  <c r="H77" i="5"/>
  <c r="I29" i="4"/>
  <c r="H23" i="4"/>
  <c r="G23" i="4"/>
  <c r="G27" i="4"/>
  <c r="G25" i="4"/>
  <c r="I21" i="4"/>
  <c r="H21" i="33"/>
  <c r="H29" i="33"/>
  <c r="H27" i="33"/>
  <c r="H31" i="33"/>
  <c r="H23" i="33"/>
  <c r="H33" i="33"/>
  <c r="H25" i="33"/>
  <c r="H35" i="33"/>
  <c r="G35" i="33"/>
  <c r="G27" i="33"/>
  <c r="G31" i="33"/>
  <c r="G23" i="33"/>
  <c r="G33" i="33"/>
  <c r="G29" i="33"/>
  <c r="G25" i="33"/>
  <c r="H33" i="34"/>
  <c r="H23" i="34"/>
  <c r="H25" i="34"/>
  <c r="H27" i="34"/>
  <c r="H29" i="34"/>
  <c r="H31" i="34"/>
  <c r="H35" i="34"/>
  <c r="H21" i="34"/>
  <c r="H33" i="35"/>
  <c r="H31" i="35"/>
  <c r="H35" i="35"/>
  <c r="H21" i="35"/>
  <c r="H27" i="35"/>
  <c r="H23" i="35"/>
  <c r="H25" i="35"/>
  <c r="H29" i="35"/>
  <c r="G31" i="4"/>
  <c r="I25" i="4"/>
  <c r="I33" i="4"/>
  <c r="I31" i="4"/>
  <c r="I23" i="4"/>
  <c r="H31" i="4"/>
  <c r="H25" i="4"/>
  <c r="H33" i="4"/>
  <c r="H76" i="5"/>
  <c r="G77" i="5"/>
  <c r="K29" i="39" l="1"/>
  <c r="K31" i="39"/>
  <c r="J27" i="39"/>
  <c r="J29" i="39"/>
  <c r="J40" i="2"/>
  <c r="J44" i="2"/>
  <c r="J42" i="2"/>
  <c r="J30" i="2"/>
  <c r="K27" i="39"/>
  <c r="J26" i="2"/>
  <c r="J31" i="39"/>
  <c r="J33" i="39"/>
  <c r="J43" i="2"/>
  <c r="J25" i="39"/>
  <c r="J27" i="2"/>
  <c r="J41" i="2"/>
  <c r="K33" i="39"/>
  <c r="K21" i="39"/>
  <c r="J35" i="39"/>
  <c r="J36" i="2"/>
  <c r="J35" i="2"/>
  <c r="J39" i="2"/>
  <c r="J37" i="2"/>
  <c r="J25" i="2"/>
  <c r="J38" i="2"/>
  <c r="K25" i="39"/>
  <c r="J28" i="2"/>
  <c r="L29" i="39"/>
  <c r="L23" i="39"/>
  <c r="K35" i="39"/>
  <c r="J21" i="39"/>
  <c r="J24" i="2"/>
  <c r="E31" i="2"/>
  <c r="E33" i="2"/>
  <c r="E20" i="2"/>
  <c r="F20" i="2" s="1"/>
  <c r="E23" i="2"/>
  <c r="F23" i="2" s="1"/>
  <c r="E22" i="2"/>
  <c r="F22" i="2" s="1"/>
  <c r="E34" i="2"/>
  <c r="E32" i="2"/>
  <c r="E21" i="2"/>
  <c r="F21" i="2" s="1"/>
  <c r="J31" i="37"/>
  <c r="J23" i="2"/>
  <c r="I23" i="2"/>
  <c r="J21" i="2"/>
  <c r="I21" i="2"/>
  <c r="J22" i="2"/>
  <c r="I22" i="2"/>
  <c r="J20" i="2"/>
  <c r="I20" i="2"/>
  <c r="N28" i="45"/>
  <c r="O28" i="45"/>
  <c r="N34" i="45"/>
  <c r="O34" i="45"/>
  <c r="N32" i="45"/>
  <c r="O32" i="45"/>
  <c r="N37" i="45"/>
  <c r="O37" i="45"/>
  <c r="N38" i="45"/>
  <c r="O38" i="45"/>
  <c r="N36" i="45"/>
  <c r="O36" i="45"/>
  <c r="O22" i="45"/>
  <c r="N22" i="45"/>
  <c r="N24" i="45"/>
  <c r="O24" i="45"/>
  <c r="N30" i="45"/>
  <c r="O30" i="45"/>
  <c r="N20" i="45"/>
  <c r="O20" i="45"/>
  <c r="N33" i="45"/>
  <c r="O33" i="45"/>
  <c r="N29" i="45"/>
  <c r="O29" i="45"/>
  <c r="N26" i="45"/>
  <c r="O26" i="45"/>
  <c r="N25" i="45"/>
  <c r="O25" i="45"/>
  <c r="N21" i="45"/>
  <c r="O21" i="45"/>
  <c r="I32" i="2"/>
  <c r="J32" i="2"/>
  <c r="J34" i="2"/>
  <c r="I34" i="2"/>
  <c r="I31" i="2"/>
  <c r="J31" i="2"/>
  <c r="I33" i="2"/>
  <c r="J33" i="2"/>
  <c r="N29" i="41"/>
  <c r="O29" i="41"/>
  <c r="N30" i="41"/>
  <c r="O30" i="41"/>
  <c r="O22" i="41"/>
  <c r="N22" i="41"/>
  <c r="N37" i="41"/>
  <c r="O37" i="41"/>
  <c r="O24" i="41"/>
  <c r="N24" i="41"/>
  <c r="N34" i="41"/>
  <c r="O34" i="41"/>
  <c r="O26" i="41"/>
  <c r="N26" i="41"/>
  <c r="N36" i="41"/>
  <c r="O36" i="41"/>
  <c r="N28" i="41"/>
  <c r="O28" i="41"/>
  <c r="N33" i="41"/>
  <c r="O33" i="41"/>
  <c r="O25" i="41"/>
  <c r="N25" i="41"/>
  <c r="N32" i="41"/>
  <c r="O32" i="41"/>
  <c r="N21" i="41"/>
  <c r="O21" i="41"/>
  <c r="N38" i="41"/>
  <c r="O38" i="41"/>
  <c r="N20" i="41"/>
  <c r="O20" i="41"/>
  <c r="G76" i="5"/>
  <c r="I76" i="5"/>
  <c r="L31" i="39" l="1"/>
  <c r="L35" i="39"/>
  <c r="L33" i="39"/>
  <c r="L27" i="39"/>
  <c r="L25" i="39"/>
  <c r="L21" i="39"/>
  <c r="L8" i="4"/>
  <c r="L8" i="33"/>
  <c r="P8" i="32"/>
  <c r="L8" i="28"/>
  <c r="L8" i="40"/>
  <c r="L8" i="27"/>
  <c r="L8" i="39"/>
  <c r="P8" i="15"/>
  <c r="P8" i="24"/>
  <c r="Q8" i="25"/>
  <c r="P8" i="19"/>
  <c r="P8" i="26"/>
  <c r="P8" i="31"/>
  <c r="P8" i="41"/>
  <c r="K7" i="2"/>
  <c r="K55" i="2"/>
  <c r="K86" i="2"/>
  <c r="K141" i="2"/>
  <c r="K8" i="34"/>
  <c r="P8" i="45"/>
  <c r="K20" i="2"/>
  <c r="K21" i="2"/>
  <c r="K22" i="2"/>
  <c r="K23" i="2"/>
  <c r="P25" i="45"/>
  <c r="P29" i="45"/>
  <c r="P33" i="45"/>
  <c r="P30" i="45"/>
  <c r="P38" i="45"/>
  <c r="P21" i="45"/>
  <c r="P26" i="45"/>
  <c r="P20" i="45"/>
  <c r="P24" i="45"/>
  <c r="P36" i="45"/>
  <c r="P37" i="45"/>
  <c r="P34" i="45"/>
  <c r="P32" i="45"/>
  <c r="P28" i="45"/>
  <c r="P22" i="45"/>
  <c r="P25" i="41"/>
  <c r="P26" i="41"/>
  <c r="P24" i="41"/>
  <c r="P22" i="41"/>
  <c r="P38" i="41"/>
  <c r="P32" i="41"/>
  <c r="P33" i="41"/>
  <c r="P36" i="41"/>
  <c r="P34" i="41"/>
  <c r="P37" i="41"/>
  <c r="P30" i="41"/>
  <c r="P20" i="41"/>
  <c r="P21" i="41"/>
  <c r="P28" i="41"/>
  <c r="P29" i="41"/>
  <c r="O17" i="36"/>
  <c r="O34" i="36" s="1"/>
  <c r="Q34" i="36" s="1"/>
  <c r="D34" i="36" s="1"/>
  <c r="K17" i="36"/>
  <c r="K34" i="36" s="1"/>
  <c r="M34" i="36" s="1"/>
  <c r="C34" i="36" s="1"/>
  <c r="Y18" i="33"/>
  <c r="X18" i="33"/>
  <c r="S18" i="33"/>
  <c r="T21" i="35"/>
  <c r="T31" i="35" s="1"/>
  <c r="P21" i="35"/>
  <c r="P27" i="35" s="1"/>
  <c r="U18" i="35"/>
  <c r="U31" i="35" s="1"/>
  <c r="Q18" i="35"/>
  <c r="Q31" i="35" s="1"/>
  <c r="U18" i="34"/>
  <c r="U35" i="34" s="1"/>
  <c r="Q18" i="34"/>
  <c r="Q31" i="34" s="1"/>
  <c r="T21" i="34"/>
  <c r="P21" i="34"/>
  <c r="X33" i="33" l="1"/>
  <c r="X25" i="33"/>
  <c r="X31" i="33"/>
  <c r="X23" i="33"/>
  <c r="X29" i="33"/>
  <c r="X21" i="33"/>
  <c r="X35" i="33"/>
  <c r="X27" i="33"/>
  <c r="S33" i="33"/>
  <c r="S25" i="33"/>
  <c r="S21" i="33"/>
  <c r="S27" i="33"/>
  <c r="S31" i="33"/>
  <c r="S23" i="33"/>
  <c r="S29" i="33"/>
  <c r="S35" i="33"/>
  <c r="Q27" i="34"/>
  <c r="R33" i="33"/>
  <c r="R25" i="33"/>
  <c r="R21" i="33"/>
  <c r="R27" i="33"/>
  <c r="R31" i="33"/>
  <c r="R23" i="33"/>
  <c r="R29" i="33"/>
  <c r="R35" i="33"/>
  <c r="Y35" i="33"/>
  <c r="Y31" i="33"/>
  <c r="Y23" i="33"/>
  <c r="Y25" i="33"/>
  <c r="Y29" i="33"/>
  <c r="Y21" i="33"/>
  <c r="Y27" i="33"/>
  <c r="Y33" i="33"/>
  <c r="T33" i="35"/>
  <c r="T29" i="35"/>
  <c r="Q35" i="34"/>
  <c r="T23" i="35"/>
  <c r="U21" i="35"/>
  <c r="V21" i="35" s="1"/>
  <c r="D21" i="35" s="1"/>
  <c r="U35" i="35"/>
  <c r="U23" i="35"/>
  <c r="E34" i="36"/>
  <c r="F34" i="36" s="1"/>
  <c r="Q21" i="34"/>
  <c r="R21" i="34" s="1"/>
  <c r="C21" i="34" s="1"/>
  <c r="V31" i="35"/>
  <c r="D31" i="35" s="1"/>
  <c r="U29" i="34"/>
  <c r="K24" i="36"/>
  <c r="M24" i="36" s="1"/>
  <c r="C24" i="36" s="1"/>
  <c r="U25" i="34"/>
  <c r="P29" i="35"/>
  <c r="P33" i="35"/>
  <c r="K22" i="36"/>
  <c r="M22" i="36" s="1"/>
  <c r="C22" i="36" s="1"/>
  <c r="K32" i="36"/>
  <c r="M32" i="36" s="1"/>
  <c r="C32" i="36" s="1"/>
  <c r="O24" i="36"/>
  <c r="Q24" i="36" s="1"/>
  <c r="D24" i="36" s="1"/>
  <c r="O28" i="36"/>
  <c r="Q28" i="36" s="1"/>
  <c r="U21" i="34"/>
  <c r="V21" i="34" s="1"/>
  <c r="D21" i="34" s="1"/>
  <c r="U31" i="34"/>
  <c r="P23" i="35"/>
  <c r="P25" i="35"/>
  <c r="P31" i="35"/>
  <c r="R31" i="35" s="1"/>
  <c r="P35" i="35"/>
  <c r="K28" i="36"/>
  <c r="M28" i="36" s="1"/>
  <c r="C28" i="36" s="1"/>
  <c r="O20" i="36"/>
  <c r="Q20" i="36" s="1"/>
  <c r="O30" i="36"/>
  <c r="Q30" i="36" s="1"/>
  <c r="D30" i="36" s="1"/>
  <c r="U23" i="34"/>
  <c r="U33" i="34"/>
  <c r="K20" i="36"/>
  <c r="M20" i="36" s="1"/>
  <c r="C20" i="36" s="1"/>
  <c r="K30" i="36"/>
  <c r="M30" i="36" s="1"/>
  <c r="C30" i="36" s="1"/>
  <c r="O22" i="36"/>
  <c r="Q22" i="36" s="1"/>
  <c r="O32" i="36"/>
  <c r="Q32" i="36" s="1"/>
  <c r="D32" i="36" s="1"/>
  <c r="O26" i="36"/>
  <c r="Q26" i="36" s="1"/>
  <c r="D26" i="36" s="1"/>
  <c r="V34" i="36"/>
  <c r="T34" i="36"/>
  <c r="K26" i="36"/>
  <c r="M26" i="36" s="1"/>
  <c r="C26" i="36" s="1"/>
  <c r="Q25" i="35"/>
  <c r="Q27" i="35"/>
  <c r="R27" i="35" s="1"/>
  <c r="C27" i="35" s="1"/>
  <c r="T25" i="35"/>
  <c r="Q29" i="35"/>
  <c r="Q33" i="35"/>
  <c r="Q35" i="35"/>
  <c r="R35" i="35" s="1"/>
  <c r="C35" i="35" s="1"/>
  <c r="Q21" i="35"/>
  <c r="R21" i="35" s="1"/>
  <c r="C21" i="35" s="1"/>
  <c r="I21" i="35" s="1"/>
  <c r="U29" i="35"/>
  <c r="Q23" i="35"/>
  <c r="U25" i="35"/>
  <c r="T27" i="35"/>
  <c r="U33" i="35"/>
  <c r="T35" i="35"/>
  <c r="U27" i="35"/>
  <c r="Q25" i="34"/>
  <c r="Q33" i="34"/>
  <c r="T23" i="34"/>
  <c r="T31" i="34"/>
  <c r="T25" i="34"/>
  <c r="T33" i="34"/>
  <c r="T27" i="34"/>
  <c r="T35" i="34"/>
  <c r="V35" i="34" s="1"/>
  <c r="Q23" i="34"/>
  <c r="Q29" i="34"/>
  <c r="U27" i="34"/>
  <c r="T29" i="34"/>
  <c r="P33" i="34"/>
  <c r="P29" i="34"/>
  <c r="P23" i="34"/>
  <c r="P35" i="34"/>
  <c r="P31" i="34"/>
  <c r="R31" i="34" s="1"/>
  <c r="C31" i="34" s="1"/>
  <c r="P25" i="34"/>
  <c r="P27" i="34"/>
  <c r="S16" i="2"/>
  <c r="B191" i="2"/>
  <c r="B190" i="2"/>
  <c r="V23" i="35" l="1"/>
  <c r="D23" i="35" s="1"/>
  <c r="Z21" i="33"/>
  <c r="D21" i="33" s="1"/>
  <c r="V29" i="35"/>
  <c r="D29" i="35" s="1"/>
  <c r="R23" i="35"/>
  <c r="C23" i="35" s="1"/>
  <c r="I23" i="35" s="1"/>
  <c r="V25" i="34"/>
  <c r="D25" i="34" s="1"/>
  <c r="V23" i="34"/>
  <c r="D23" i="34" s="1"/>
  <c r="V35" i="35"/>
  <c r="Y35" i="35" s="1"/>
  <c r="R35" i="34"/>
  <c r="C35" i="34" s="1"/>
  <c r="V29" i="34"/>
  <c r="D29" i="34" s="1"/>
  <c r="T28" i="36"/>
  <c r="R27" i="34"/>
  <c r="C27" i="34" s="1"/>
  <c r="I27" i="34" s="1"/>
  <c r="V24" i="36"/>
  <c r="V33" i="35"/>
  <c r="D33" i="35" s="1"/>
  <c r="V28" i="36"/>
  <c r="T22" i="36"/>
  <c r="R25" i="35"/>
  <c r="C25" i="35" s="1"/>
  <c r="I25" i="35" s="1"/>
  <c r="D28" i="36"/>
  <c r="E28" i="36" s="1"/>
  <c r="F28" i="36" s="1"/>
  <c r="T30" i="36"/>
  <c r="R33" i="35"/>
  <c r="C33" i="35" s="1"/>
  <c r="I33" i="35" s="1"/>
  <c r="V22" i="36"/>
  <c r="D22" i="36"/>
  <c r="E22" i="36" s="1"/>
  <c r="F22" i="36" s="1"/>
  <c r="T24" i="36"/>
  <c r="E24" i="36"/>
  <c r="F24" i="36" s="1"/>
  <c r="V20" i="36"/>
  <c r="V31" i="34"/>
  <c r="D31" i="34" s="1"/>
  <c r="J31" i="34" s="1"/>
  <c r="R23" i="34"/>
  <c r="C23" i="34" s="1"/>
  <c r="I23" i="34" s="1"/>
  <c r="R29" i="34"/>
  <c r="C29" i="34" s="1"/>
  <c r="T20" i="36"/>
  <c r="C31" i="35"/>
  <c r="I31" i="35" s="1"/>
  <c r="AA31" i="35"/>
  <c r="V33" i="34"/>
  <c r="D33" i="34" s="1"/>
  <c r="R29" i="35"/>
  <c r="C29" i="35" s="1"/>
  <c r="I29" i="35" s="1"/>
  <c r="E26" i="36"/>
  <c r="F26" i="36" s="1"/>
  <c r="V32" i="36"/>
  <c r="D20" i="36"/>
  <c r="E20" i="36" s="1"/>
  <c r="F20" i="36" s="1"/>
  <c r="D35" i="34"/>
  <c r="J35" i="34" s="1"/>
  <c r="Y21" i="35"/>
  <c r="T32" i="36"/>
  <c r="V30" i="36"/>
  <c r="I27" i="35"/>
  <c r="E32" i="36"/>
  <c r="F32" i="36" s="1"/>
  <c r="Y21" i="34"/>
  <c r="E30" i="36"/>
  <c r="F30" i="36" s="1"/>
  <c r="AA21" i="34"/>
  <c r="J21" i="34"/>
  <c r="I35" i="35"/>
  <c r="T26" i="36"/>
  <c r="V26" i="36"/>
  <c r="Y31" i="35"/>
  <c r="AA21" i="35"/>
  <c r="V25" i="35"/>
  <c r="D25" i="35" s="1"/>
  <c r="V27" i="35"/>
  <c r="J21" i="35"/>
  <c r="K21" i="35" s="1"/>
  <c r="E21" i="35"/>
  <c r="F21" i="35" s="1"/>
  <c r="J31" i="35"/>
  <c r="R33" i="34"/>
  <c r="V27" i="34"/>
  <c r="R25" i="34"/>
  <c r="I21" i="34"/>
  <c r="E21" i="34"/>
  <c r="F21" i="34" s="1"/>
  <c r="I31" i="34"/>
  <c r="G191" i="2"/>
  <c r="AA31" i="34" l="1"/>
  <c r="AA23" i="35"/>
  <c r="Y23" i="35"/>
  <c r="AA35" i="34"/>
  <c r="E23" i="34"/>
  <c r="F23" i="34" s="1"/>
  <c r="AA35" i="35"/>
  <c r="Y35" i="34"/>
  <c r="D35" i="35"/>
  <c r="E35" i="35" s="1"/>
  <c r="F35" i="35" s="1"/>
  <c r="J23" i="34"/>
  <c r="K23" i="34" s="1"/>
  <c r="K31" i="35"/>
  <c r="K31" i="34"/>
  <c r="K21" i="34"/>
  <c r="Y29" i="34"/>
  <c r="Y33" i="35"/>
  <c r="Y25" i="35"/>
  <c r="AA33" i="35"/>
  <c r="AA29" i="34"/>
  <c r="E31" i="34"/>
  <c r="F31" i="34" s="1"/>
  <c r="E31" i="35"/>
  <c r="F31" i="35" s="1"/>
  <c r="AA23" i="34"/>
  <c r="B101" i="2"/>
  <c r="S101" i="2"/>
  <c r="G101" i="2" s="1"/>
  <c r="T101" i="2"/>
  <c r="B112" i="2"/>
  <c r="S112" i="2"/>
  <c r="G112" i="2" s="1"/>
  <c r="T112" i="2"/>
  <c r="B173" i="2"/>
  <c r="S173" i="2"/>
  <c r="G173" i="2" s="1"/>
  <c r="T173" i="2"/>
  <c r="B185" i="2"/>
  <c r="S185" i="2"/>
  <c r="G185" i="2" s="1"/>
  <c r="T185" i="2"/>
  <c r="B164" i="2"/>
  <c r="T164" i="2"/>
  <c r="S164" i="2"/>
  <c r="G164" i="2" s="1"/>
  <c r="T117" i="2"/>
  <c r="S117" i="2"/>
  <c r="G117" i="2" s="1"/>
  <c r="T129" i="2"/>
  <c r="S129" i="2"/>
  <c r="G129" i="2" s="1"/>
  <c r="T161" i="2"/>
  <c r="S161" i="2"/>
  <c r="G161" i="2" s="1"/>
  <c r="B102" i="2"/>
  <c r="S102" i="2"/>
  <c r="G102" i="2" s="1"/>
  <c r="T102" i="2"/>
  <c r="B106" i="2"/>
  <c r="S106" i="2"/>
  <c r="G106" i="2" s="1"/>
  <c r="T106" i="2"/>
  <c r="B119" i="2"/>
  <c r="S119" i="2"/>
  <c r="G119" i="2" s="1"/>
  <c r="T119" i="2"/>
  <c r="B68" i="2"/>
  <c r="S68" i="2"/>
  <c r="G68" i="2" s="1"/>
  <c r="T68" i="2"/>
  <c r="B188" i="2"/>
  <c r="S188" i="2"/>
  <c r="G188" i="2" s="1"/>
  <c r="T188" i="2"/>
  <c r="S99" i="2"/>
  <c r="G99" i="2" s="1"/>
  <c r="T99" i="2"/>
  <c r="S126" i="2"/>
  <c r="G126" i="2" s="1"/>
  <c r="T126" i="2"/>
  <c r="S178" i="2"/>
  <c r="G178" i="2" s="1"/>
  <c r="T178" i="2"/>
  <c r="E35" i="34"/>
  <c r="F35" i="34" s="1"/>
  <c r="E23" i="35"/>
  <c r="F23" i="35" s="1"/>
  <c r="B103" i="2"/>
  <c r="T103" i="2"/>
  <c r="S103" i="2"/>
  <c r="G103" i="2" s="1"/>
  <c r="B107" i="2"/>
  <c r="T107" i="2"/>
  <c r="S107" i="2"/>
  <c r="G107" i="2" s="1"/>
  <c r="B110" i="2"/>
  <c r="T110" i="2"/>
  <c r="S110" i="2"/>
  <c r="G110" i="2" s="1"/>
  <c r="B180" i="2"/>
  <c r="T180" i="2"/>
  <c r="S180" i="2"/>
  <c r="G180" i="2" s="1"/>
  <c r="B175" i="2"/>
  <c r="T175" i="2"/>
  <c r="S175" i="2"/>
  <c r="G175" i="2" s="1"/>
  <c r="B183" i="2"/>
  <c r="T183" i="2"/>
  <c r="S183" i="2"/>
  <c r="G183" i="2" s="1"/>
  <c r="B187" i="2"/>
  <c r="T187" i="2"/>
  <c r="S187" i="2"/>
  <c r="G187" i="2" s="1"/>
  <c r="B163" i="2"/>
  <c r="S163" i="2"/>
  <c r="G163" i="2" s="1"/>
  <c r="T163" i="2"/>
  <c r="B165" i="2"/>
  <c r="S165" i="2"/>
  <c r="G165" i="2" s="1"/>
  <c r="T165" i="2"/>
  <c r="S108" i="2"/>
  <c r="G108" i="2" s="1"/>
  <c r="T108" i="2"/>
  <c r="S120" i="2"/>
  <c r="G120" i="2" s="1"/>
  <c r="T120" i="2"/>
  <c r="S127" i="2"/>
  <c r="G127" i="2" s="1"/>
  <c r="T127" i="2"/>
  <c r="S153" i="2"/>
  <c r="G153" i="2" s="1"/>
  <c r="T153" i="2"/>
  <c r="S156" i="2"/>
  <c r="G156" i="2" s="1"/>
  <c r="T156" i="2"/>
  <c r="S171" i="2"/>
  <c r="G171" i="2" s="1"/>
  <c r="T171" i="2"/>
  <c r="S179" i="2"/>
  <c r="G179" i="2" s="1"/>
  <c r="T179" i="2"/>
  <c r="Y33" i="34"/>
  <c r="Y31" i="34"/>
  <c r="E29" i="35"/>
  <c r="F29" i="35" s="1"/>
  <c r="B105" i="2"/>
  <c r="S105" i="2"/>
  <c r="G105" i="2" s="1"/>
  <c r="T105" i="2"/>
  <c r="B121" i="2"/>
  <c r="S121" i="2"/>
  <c r="G121" i="2" s="1"/>
  <c r="T121" i="2"/>
  <c r="B67" i="2"/>
  <c r="S67" i="2"/>
  <c r="G67" i="2" s="1"/>
  <c r="T67" i="2"/>
  <c r="B189" i="2"/>
  <c r="S189" i="2"/>
  <c r="G189" i="2" s="1"/>
  <c r="T189" i="2"/>
  <c r="T98" i="2"/>
  <c r="S98" i="2"/>
  <c r="G98" i="2" s="1"/>
  <c r="T125" i="2"/>
  <c r="S125" i="2"/>
  <c r="G125" i="2" s="1"/>
  <c r="T155" i="2"/>
  <c r="S155" i="2"/>
  <c r="G155" i="2" s="1"/>
  <c r="T177" i="2"/>
  <c r="S177" i="2"/>
  <c r="G177" i="2" s="1"/>
  <c r="B113" i="2"/>
  <c r="S113" i="2"/>
  <c r="G113" i="2" s="1"/>
  <c r="T113" i="2"/>
  <c r="B174" i="2"/>
  <c r="S174" i="2"/>
  <c r="G174" i="2" s="1"/>
  <c r="T174" i="2"/>
  <c r="B184" i="2"/>
  <c r="S184" i="2"/>
  <c r="G184" i="2" s="1"/>
  <c r="T184" i="2"/>
  <c r="B167" i="2"/>
  <c r="S167" i="2"/>
  <c r="G167" i="2" s="1"/>
  <c r="T167" i="2"/>
  <c r="S118" i="2"/>
  <c r="G118" i="2" s="1"/>
  <c r="T118" i="2"/>
  <c r="S130" i="2"/>
  <c r="G130" i="2" s="1"/>
  <c r="T130" i="2"/>
  <c r="S162" i="2"/>
  <c r="G162" i="2" s="1"/>
  <c r="T162" i="2"/>
  <c r="Y29" i="35"/>
  <c r="B100" i="2"/>
  <c r="S100" i="2"/>
  <c r="G100" i="2" s="1"/>
  <c r="T100" i="2"/>
  <c r="B104" i="2"/>
  <c r="S104" i="2"/>
  <c r="G104" i="2" s="1"/>
  <c r="T104" i="2"/>
  <c r="B111" i="2"/>
  <c r="S111" i="2"/>
  <c r="G111" i="2" s="1"/>
  <c r="T111" i="2"/>
  <c r="B116" i="2"/>
  <c r="S116" i="2"/>
  <c r="G116" i="2" s="1"/>
  <c r="T116" i="2"/>
  <c r="B181" i="2"/>
  <c r="S181" i="2"/>
  <c r="G181" i="2" s="1"/>
  <c r="T181" i="2"/>
  <c r="B176" i="2"/>
  <c r="S176" i="2"/>
  <c r="G176" i="2" s="1"/>
  <c r="T176" i="2"/>
  <c r="B182" i="2"/>
  <c r="S182" i="2"/>
  <c r="G182" i="2" s="1"/>
  <c r="T182" i="2"/>
  <c r="B186" i="2"/>
  <c r="S186" i="2"/>
  <c r="G186" i="2" s="1"/>
  <c r="T186" i="2"/>
  <c r="B166" i="2"/>
  <c r="S166" i="2"/>
  <c r="G166" i="2" s="1"/>
  <c r="T166" i="2"/>
  <c r="B168" i="2"/>
  <c r="S168" i="2"/>
  <c r="G168" i="2" s="1"/>
  <c r="T168" i="2"/>
  <c r="S109" i="2"/>
  <c r="G109" i="2" s="1"/>
  <c r="T109" i="2"/>
  <c r="S124" i="2"/>
  <c r="G124" i="2" s="1"/>
  <c r="T124" i="2"/>
  <c r="H124" i="2" s="1"/>
  <c r="S128" i="2"/>
  <c r="G128" i="2" s="1"/>
  <c r="T128" i="2"/>
  <c r="S154" i="2"/>
  <c r="G154" i="2" s="1"/>
  <c r="T154" i="2"/>
  <c r="H154" i="2" s="1"/>
  <c r="S160" i="2"/>
  <c r="G160" i="2" s="1"/>
  <c r="T160" i="2"/>
  <c r="S172" i="2"/>
  <c r="G172" i="2" s="1"/>
  <c r="T172" i="2"/>
  <c r="AA33" i="34"/>
  <c r="I35" i="34"/>
  <c r="K35" i="34" s="1"/>
  <c r="AA29" i="35"/>
  <c r="Y23" i="34"/>
  <c r="J29" i="35"/>
  <c r="K29" i="35" s="1"/>
  <c r="J23" i="35"/>
  <c r="K23" i="35" s="1"/>
  <c r="AA25" i="35"/>
  <c r="E25" i="35"/>
  <c r="F25" i="35" s="1"/>
  <c r="J25" i="35"/>
  <c r="K25" i="35" s="1"/>
  <c r="D27" i="35"/>
  <c r="AA27" i="35"/>
  <c r="Y27" i="35"/>
  <c r="E33" i="35"/>
  <c r="F33" i="35" s="1"/>
  <c r="J33" i="35"/>
  <c r="K33" i="35" s="1"/>
  <c r="D27" i="34"/>
  <c r="AA27" i="34"/>
  <c r="Y27" i="34"/>
  <c r="C33" i="34"/>
  <c r="E33" i="34" s="1"/>
  <c r="F33" i="34" s="1"/>
  <c r="C25" i="34"/>
  <c r="Y25" i="34"/>
  <c r="AA25" i="34"/>
  <c r="J29" i="34"/>
  <c r="E29" i="34"/>
  <c r="F29" i="34" s="1"/>
  <c r="B118" i="2"/>
  <c r="B109" i="2"/>
  <c r="B124" i="2"/>
  <c r="B128" i="2"/>
  <c r="B154" i="2"/>
  <c r="B160" i="2"/>
  <c r="B172" i="2"/>
  <c r="B98" i="2"/>
  <c r="B117" i="2"/>
  <c r="B125" i="2"/>
  <c r="B129" i="2"/>
  <c r="B155" i="2"/>
  <c r="B161" i="2"/>
  <c r="B177" i="2"/>
  <c r="B99" i="2"/>
  <c r="B126" i="2"/>
  <c r="B130" i="2"/>
  <c r="B162" i="2"/>
  <c r="B178" i="2"/>
  <c r="B108" i="2"/>
  <c r="B120" i="2"/>
  <c r="B127" i="2"/>
  <c r="B153" i="2"/>
  <c r="B156" i="2"/>
  <c r="B171" i="2"/>
  <c r="B179" i="2"/>
  <c r="H190" i="2"/>
  <c r="G190" i="2"/>
  <c r="V191" i="2"/>
  <c r="V20" i="32"/>
  <c r="V21" i="32"/>
  <c r="V22" i="32"/>
  <c r="V24" i="32"/>
  <c r="V25" i="32"/>
  <c r="V26" i="32"/>
  <c r="V28" i="32"/>
  <c r="V29" i="32"/>
  <c r="V30" i="32"/>
  <c r="V32" i="32"/>
  <c r="V33" i="32"/>
  <c r="V34" i="32"/>
  <c r="V36" i="32"/>
  <c r="V37" i="32"/>
  <c r="V38" i="32"/>
  <c r="W17" i="32"/>
  <c r="W25" i="32" s="1"/>
  <c r="U17" i="32"/>
  <c r="AC20" i="32"/>
  <c r="AC37" i="32" s="1"/>
  <c r="AD17" i="32"/>
  <c r="AG17" i="32"/>
  <c r="AG37" i="32" s="1"/>
  <c r="AE17" i="32"/>
  <c r="AE36" i="32" s="1"/>
  <c r="E38" i="32"/>
  <c r="E37" i="32"/>
  <c r="E36" i="32"/>
  <c r="E34" i="32"/>
  <c r="E33" i="32"/>
  <c r="E32" i="32"/>
  <c r="E30" i="32"/>
  <c r="E29" i="32"/>
  <c r="E28" i="32"/>
  <c r="E25" i="32"/>
  <c r="E24" i="32"/>
  <c r="E22" i="32"/>
  <c r="E21" i="32"/>
  <c r="E20" i="32"/>
  <c r="AG33" i="31"/>
  <c r="AF17" i="31"/>
  <c r="AE17" i="31"/>
  <c r="AD17" i="31"/>
  <c r="W17" i="31"/>
  <c r="W34" i="31" s="1"/>
  <c r="V17" i="31"/>
  <c r="V34" i="31" s="1"/>
  <c r="U17" i="31"/>
  <c r="T17" i="31"/>
  <c r="E38" i="31"/>
  <c r="E37" i="31"/>
  <c r="E36" i="31"/>
  <c r="E34" i="31"/>
  <c r="E33" i="31"/>
  <c r="E32" i="31"/>
  <c r="E30" i="31"/>
  <c r="E29" i="31"/>
  <c r="E28" i="31"/>
  <c r="E26" i="31"/>
  <c r="E25" i="31"/>
  <c r="E24" i="31"/>
  <c r="E22" i="31"/>
  <c r="E21" i="31"/>
  <c r="AC21" i="31"/>
  <c r="S36" i="31"/>
  <c r="E20" i="31"/>
  <c r="T17" i="32"/>
  <c r="S20" i="32"/>
  <c r="Q21" i="33"/>
  <c r="T21" i="33" s="1"/>
  <c r="W38" i="31" l="1"/>
  <c r="AF22" i="31"/>
  <c r="AF20" i="31"/>
  <c r="K32" i="31"/>
  <c r="M32" i="31"/>
  <c r="L32" i="31"/>
  <c r="K33" i="31"/>
  <c r="L33" i="31"/>
  <c r="M33" i="31"/>
  <c r="M21" i="31"/>
  <c r="K21" i="31"/>
  <c r="L21" i="31"/>
  <c r="M37" i="31"/>
  <c r="K37" i="31"/>
  <c r="L37" i="31"/>
  <c r="M20" i="31"/>
  <c r="K20" i="31"/>
  <c r="L20" i="31"/>
  <c r="K28" i="31"/>
  <c r="M28" i="31"/>
  <c r="L28" i="31"/>
  <c r="M38" i="31"/>
  <c r="K38" i="31"/>
  <c r="L38" i="31"/>
  <c r="J35" i="35"/>
  <c r="K35" i="35" s="1"/>
  <c r="K24" i="31"/>
  <c r="L24" i="31"/>
  <c r="M24" i="31"/>
  <c r="L29" i="31"/>
  <c r="K29" i="31"/>
  <c r="M29" i="31"/>
  <c r="M34" i="31"/>
  <c r="K34" i="31"/>
  <c r="L34" i="31"/>
  <c r="K22" i="31"/>
  <c r="M22" i="31"/>
  <c r="L22" i="31"/>
  <c r="M25" i="31"/>
  <c r="K25" i="31"/>
  <c r="L25" i="31"/>
  <c r="M30" i="31"/>
  <c r="K30" i="31"/>
  <c r="L30" i="31"/>
  <c r="L36" i="31"/>
  <c r="M36" i="31"/>
  <c r="K36" i="31"/>
  <c r="T36" i="31"/>
  <c r="K26" i="31"/>
  <c r="L26" i="31"/>
  <c r="M26" i="31"/>
  <c r="L20" i="32"/>
  <c r="M20" i="32"/>
  <c r="K20" i="32"/>
  <c r="L30" i="32"/>
  <c r="K30" i="32"/>
  <c r="M30" i="32"/>
  <c r="L36" i="32"/>
  <c r="K36" i="32"/>
  <c r="M36" i="32"/>
  <c r="T36" i="32"/>
  <c r="L21" i="32"/>
  <c r="M21" i="32"/>
  <c r="K21" i="32"/>
  <c r="M26" i="32"/>
  <c r="K26" i="32"/>
  <c r="L26" i="32"/>
  <c r="L32" i="32"/>
  <c r="K32" i="32"/>
  <c r="M32" i="32"/>
  <c r="M37" i="32"/>
  <c r="L37" i="32"/>
  <c r="K37" i="32"/>
  <c r="AD25" i="32"/>
  <c r="M25" i="32"/>
  <c r="K25" i="32"/>
  <c r="L25" i="32"/>
  <c r="M22" i="32"/>
  <c r="K22" i="32"/>
  <c r="L22" i="32"/>
  <c r="M28" i="32"/>
  <c r="L28" i="32"/>
  <c r="K28" i="32"/>
  <c r="L33" i="32"/>
  <c r="K33" i="32"/>
  <c r="M33" i="32"/>
  <c r="M38" i="32"/>
  <c r="K38" i="32"/>
  <c r="L38" i="32"/>
  <c r="K24" i="32"/>
  <c r="M24" i="32"/>
  <c r="L24" i="32"/>
  <c r="L29" i="32"/>
  <c r="M29" i="32"/>
  <c r="K29" i="32"/>
  <c r="L34" i="32"/>
  <c r="M34" i="32"/>
  <c r="K34" i="32"/>
  <c r="W29" i="31"/>
  <c r="W33" i="31"/>
  <c r="AC29" i="32"/>
  <c r="U126" i="2"/>
  <c r="W24" i="31"/>
  <c r="W28" i="31"/>
  <c r="V125" i="2"/>
  <c r="AC38" i="32"/>
  <c r="U177" i="2"/>
  <c r="U127" i="2"/>
  <c r="I29" i="34"/>
  <c r="K29" i="34" s="1"/>
  <c r="J27" i="35"/>
  <c r="K27" i="35" s="1"/>
  <c r="E27" i="35"/>
  <c r="F27" i="35" s="1"/>
  <c r="V161" i="2"/>
  <c r="U124" i="2"/>
  <c r="I124" i="2" s="1"/>
  <c r="J27" i="34"/>
  <c r="K27" i="34" s="1"/>
  <c r="E27" i="34"/>
  <c r="F27" i="34" s="1"/>
  <c r="J33" i="34"/>
  <c r="J25" i="34"/>
  <c r="E25" i="34"/>
  <c r="F25" i="34" s="1"/>
  <c r="V155" i="2"/>
  <c r="V172" i="2"/>
  <c r="U179" i="2"/>
  <c r="U108" i="2"/>
  <c r="H156" i="2"/>
  <c r="U162" i="2"/>
  <c r="V117" i="2"/>
  <c r="V178" i="2"/>
  <c r="U118" i="2"/>
  <c r="U154" i="2"/>
  <c r="I154" i="2" s="1"/>
  <c r="H108" i="2"/>
  <c r="U129" i="2"/>
  <c r="U98" i="2"/>
  <c r="H98" i="2"/>
  <c r="V154" i="2"/>
  <c r="J154" i="2" s="1"/>
  <c r="V124" i="2"/>
  <c r="V171" i="2"/>
  <c r="V127" i="2"/>
  <c r="E127" i="2" s="1"/>
  <c r="F127" i="2" s="1"/>
  <c r="H127" i="2"/>
  <c r="V130" i="2"/>
  <c r="U125" i="2"/>
  <c r="H125" i="2"/>
  <c r="U128" i="2"/>
  <c r="V109" i="2"/>
  <c r="V156" i="2"/>
  <c r="V126" i="2"/>
  <c r="E126" i="2" s="1"/>
  <c r="F126" i="2" s="1"/>
  <c r="H126" i="2"/>
  <c r="J124" i="2"/>
  <c r="H161" i="2"/>
  <c r="V153" i="2"/>
  <c r="H153" i="2"/>
  <c r="U155" i="2"/>
  <c r="H155" i="2"/>
  <c r="U190" i="2"/>
  <c r="I190" i="2" s="1"/>
  <c r="V190" i="2"/>
  <c r="J190" i="2" s="1"/>
  <c r="U161" i="2"/>
  <c r="U153" i="2"/>
  <c r="U191" i="2"/>
  <c r="E191" i="2" s="1"/>
  <c r="F191" i="2" s="1"/>
  <c r="H191" i="2"/>
  <c r="H174" i="2"/>
  <c r="H189" i="2"/>
  <c r="H103" i="2"/>
  <c r="H113" i="2"/>
  <c r="H67" i="2"/>
  <c r="H166" i="2"/>
  <c r="V181" i="2"/>
  <c r="V98" i="2"/>
  <c r="U156" i="2"/>
  <c r="V118" i="2"/>
  <c r="H68" i="2"/>
  <c r="H173" i="2"/>
  <c r="H101" i="2"/>
  <c r="U186" i="2"/>
  <c r="H116" i="2"/>
  <c r="V160" i="2"/>
  <c r="H167" i="2"/>
  <c r="V183" i="2"/>
  <c r="H107" i="2"/>
  <c r="H119" i="2"/>
  <c r="H185" i="2"/>
  <c r="H168" i="2"/>
  <c r="AF21" i="31"/>
  <c r="V36" i="31"/>
  <c r="V38" i="31"/>
  <c r="V25" i="31"/>
  <c r="V30" i="31"/>
  <c r="W37" i="31"/>
  <c r="V21" i="31"/>
  <c r="V29" i="31"/>
  <c r="AG37" i="31"/>
  <c r="AC22" i="31"/>
  <c r="S32" i="31"/>
  <c r="AE38" i="31"/>
  <c r="AE33" i="31"/>
  <c r="AE28" i="31"/>
  <c r="AE22" i="31"/>
  <c r="AE30" i="31"/>
  <c r="AE25" i="31"/>
  <c r="AE24" i="31"/>
  <c r="AE37" i="31"/>
  <c r="AE32" i="31"/>
  <c r="AE26" i="31"/>
  <c r="AE21" i="31"/>
  <c r="AE36" i="31"/>
  <c r="AE20" i="31"/>
  <c r="AE34" i="31"/>
  <c r="AE29" i="31"/>
  <c r="AC24" i="32"/>
  <c r="S26" i="31"/>
  <c r="U37" i="31"/>
  <c r="U32" i="31"/>
  <c r="U26" i="31"/>
  <c r="U21" i="31"/>
  <c r="U34" i="31"/>
  <c r="U29" i="31"/>
  <c r="U28" i="31"/>
  <c r="U22" i="31"/>
  <c r="U36" i="31"/>
  <c r="U30" i="31"/>
  <c r="U25" i="31"/>
  <c r="U20" i="31"/>
  <c r="U24" i="31"/>
  <c r="U38" i="31"/>
  <c r="U33" i="31"/>
  <c r="S38" i="31"/>
  <c r="S28" i="31"/>
  <c r="S33" i="31"/>
  <c r="S37" i="31"/>
  <c r="AG24" i="32"/>
  <c r="T26" i="32"/>
  <c r="AG20" i="32"/>
  <c r="AG30" i="32"/>
  <c r="T37" i="32"/>
  <c r="AG36" i="32"/>
  <c r="AG22" i="32"/>
  <c r="T33" i="32"/>
  <c r="AD22" i="32"/>
  <c r="AD30" i="32"/>
  <c r="AD36" i="32"/>
  <c r="Q25" i="33"/>
  <c r="T25" i="33" s="1"/>
  <c r="C25" i="33" s="1"/>
  <c r="W35" i="33"/>
  <c r="Z35" i="33" s="1"/>
  <c r="W31" i="33"/>
  <c r="Z31" i="33" s="1"/>
  <c r="W29" i="33"/>
  <c r="Z29" i="33" s="1"/>
  <c r="W27" i="33"/>
  <c r="Z27" i="33" s="1"/>
  <c r="W23" i="33"/>
  <c r="Z23" i="33" s="1"/>
  <c r="W33" i="33"/>
  <c r="Z33" i="33" s="1"/>
  <c r="W25" i="33"/>
  <c r="Z25" i="33" s="1"/>
  <c r="Q35" i="33"/>
  <c r="T35" i="33" s="1"/>
  <c r="Q31" i="33"/>
  <c r="T31" i="33" s="1"/>
  <c r="Q29" i="33"/>
  <c r="T29" i="33" s="1"/>
  <c r="Q27" i="33"/>
  <c r="T27" i="33" s="1"/>
  <c r="Q23" i="33"/>
  <c r="T23" i="33" s="1"/>
  <c r="Q33" i="33"/>
  <c r="T33" i="33" s="1"/>
  <c r="AC28" i="32"/>
  <c r="AE22" i="32"/>
  <c r="AE32" i="32"/>
  <c r="AE21" i="32"/>
  <c r="AE24" i="32"/>
  <c r="AE25" i="32"/>
  <c r="AE26" i="32"/>
  <c r="AE30" i="32"/>
  <c r="AE34" i="32"/>
  <c r="AE29" i="32"/>
  <c r="AG25" i="32"/>
  <c r="AG33" i="32"/>
  <c r="AG34" i="32"/>
  <c r="AG38" i="32"/>
  <c r="AG21" i="32"/>
  <c r="AG28" i="32"/>
  <c r="AG29" i="32"/>
  <c r="T38" i="32"/>
  <c r="AD37" i="32"/>
  <c r="T32" i="32"/>
  <c r="AD32" i="32"/>
  <c r="AD28" i="32"/>
  <c r="T28" i="32"/>
  <c r="AD26" i="32"/>
  <c r="T20" i="32"/>
  <c r="AF38" i="32"/>
  <c r="AF37" i="32"/>
  <c r="AF36" i="32"/>
  <c r="AF34" i="32"/>
  <c r="AF33" i="32"/>
  <c r="AF32" i="32"/>
  <c r="AF30" i="32"/>
  <c r="AF29" i="32"/>
  <c r="AF28" i="32"/>
  <c r="AF26" i="32"/>
  <c r="AF25" i="32"/>
  <c r="AF24" i="32"/>
  <c r="AF22" i="32"/>
  <c r="AF21" i="32"/>
  <c r="AF20" i="32"/>
  <c r="S37" i="32"/>
  <c r="S32" i="32"/>
  <c r="S26" i="32"/>
  <c r="S36" i="32"/>
  <c r="W21" i="32"/>
  <c r="S28" i="32"/>
  <c r="W34" i="32"/>
  <c r="T24" i="32"/>
  <c r="W38" i="32"/>
  <c r="W33" i="32"/>
  <c r="W28" i="32"/>
  <c r="W37" i="32"/>
  <c r="S24" i="32"/>
  <c r="S25" i="32"/>
  <c r="S29" i="32"/>
  <c r="S30" i="32"/>
  <c r="AC36" i="32"/>
  <c r="AC30" i="32"/>
  <c r="AC25" i="32"/>
  <c r="AC34" i="32"/>
  <c r="S21" i="32"/>
  <c r="W22" i="32"/>
  <c r="T29" i="32"/>
  <c r="S38" i="32"/>
  <c r="U38" i="32"/>
  <c r="U37" i="32"/>
  <c r="U36" i="32"/>
  <c r="U34" i="32"/>
  <c r="U33" i="32"/>
  <c r="U32" i="32"/>
  <c r="U30" i="32"/>
  <c r="U29" i="32"/>
  <c r="U28" i="32"/>
  <c r="U26" i="32"/>
  <c r="U25" i="32"/>
  <c r="U24" i="32"/>
  <c r="U22" i="32"/>
  <c r="U21" i="32"/>
  <c r="U20" i="32"/>
  <c r="AD34" i="32"/>
  <c r="AD29" i="32"/>
  <c r="AD24" i="32"/>
  <c r="AD33" i="32"/>
  <c r="AD38" i="32"/>
  <c r="AD20" i="32"/>
  <c r="T21" i="32"/>
  <c r="AC21" i="32"/>
  <c r="S22" i="32"/>
  <c r="W24" i="32"/>
  <c r="W26" i="32"/>
  <c r="W29" i="32"/>
  <c r="W30" i="32"/>
  <c r="W32" i="32"/>
  <c r="AC33" i="32"/>
  <c r="T34" i="32"/>
  <c r="AE38" i="32"/>
  <c r="AE33" i="32"/>
  <c r="AE28" i="32"/>
  <c r="AE37" i="32"/>
  <c r="W20" i="32"/>
  <c r="AE20" i="32"/>
  <c r="AD21" i="32"/>
  <c r="T22" i="32"/>
  <c r="AC22" i="32"/>
  <c r="AC26" i="32"/>
  <c r="AC32" i="32"/>
  <c r="S33" i="32"/>
  <c r="S34" i="32"/>
  <c r="W36" i="32"/>
  <c r="T25" i="32"/>
  <c r="AG26" i="32"/>
  <c r="T30" i="32"/>
  <c r="AG32" i="32"/>
  <c r="T30" i="31"/>
  <c r="T32" i="31"/>
  <c r="V20" i="31"/>
  <c r="V22" i="31"/>
  <c r="V24" i="31"/>
  <c r="T25" i="31"/>
  <c r="T26" i="31"/>
  <c r="AD38" i="31"/>
  <c r="AD33" i="31"/>
  <c r="AD28" i="31"/>
  <c r="AD37" i="31"/>
  <c r="AD32" i="31"/>
  <c r="AD26" i="31"/>
  <c r="AD22" i="31"/>
  <c r="AD21" i="31"/>
  <c r="AD20" i="31"/>
  <c r="AC34" i="31"/>
  <c r="AC29" i="31"/>
  <c r="AC24" i="31"/>
  <c r="AC38" i="31"/>
  <c r="AC33" i="31"/>
  <c r="AC28" i="31"/>
  <c r="AC37" i="31"/>
  <c r="AG22" i="31"/>
  <c r="AC25" i="31"/>
  <c r="AC26" i="31"/>
  <c r="AG28" i="31"/>
  <c r="AC30" i="31"/>
  <c r="AC32" i="31"/>
  <c r="AC36" i="31"/>
  <c r="T34" i="31"/>
  <c r="T29" i="31"/>
  <c r="T24" i="31"/>
  <c r="T22" i="31"/>
  <c r="T21" i="31"/>
  <c r="T20" i="31"/>
  <c r="T37" i="31"/>
  <c r="T38" i="31"/>
  <c r="T33" i="31"/>
  <c r="T28" i="31"/>
  <c r="AG36" i="31"/>
  <c r="AG30" i="31"/>
  <c r="AG25" i="31"/>
  <c r="AG34" i="31"/>
  <c r="AG29" i="31"/>
  <c r="AG24" i="31"/>
  <c r="AG38" i="31"/>
  <c r="AG21" i="31"/>
  <c r="AD24" i="31"/>
  <c r="AD25" i="31"/>
  <c r="AG26" i="31"/>
  <c r="AD29" i="31"/>
  <c r="AD30" i="31"/>
  <c r="AG32" i="31"/>
  <c r="AD34" i="31"/>
  <c r="AD36" i="31"/>
  <c r="W20" i="31"/>
  <c r="S21" i="31"/>
  <c r="W21" i="31"/>
  <c r="S22" i="31"/>
  <c r="W22" i="31"/>
  <c r="S24" i="31"/>
  <c r="W25" i="31"/>
  <c r="V26" i="31"/>
  <c r="S29" i="31"/>
  <c r="W30" i="31"/>
  <c r="V32" i="31"/>
  <c r="S34" i="31"/>
  <c r="W36" i="31"/>
  <c r="V37" i="31"/>
  <c r="AF38" i="31"/>
  <c r="AF37" i="31"/>
  <c r="AF36" i="31"/>
  <c r="AF34" i="31"/>
  <c r="AF33" i="31"/>
  <c r="AF32" i="31"/>
  <c r="AF30" i="31"/>
  <c r="AF29" i="31"/>
  <c r="AF28" i="31"/>
  <c r="AF26" i="31"/>
  <c r="AF25" i="31"/>
  <c r="AF24" i="31"/>
  <c r="S25" i="31"/>
  <c r="W26" i="31"/>
  <c r="V28" i="31"/>
  <c r="S30" i="31"/>
  <c r="W32" i="31"/>
  <c r="V33" i="31"/>
  <c r="V21" i="27"/>
  <c r="V33" i="27" s="1"/>
  <c r="V21" i="28"/>
  <c r="V29" i="28" s="1"/>
  <c r="Q21" i="28"/>
  <c r="Q35" i="28" s="1"/>
  <c r="Q21" i="27"/>
  <c r="Q35" i="27" s="1"/>
  <c r="W18" i="28"/>
  <c r="R18" i="28"/>
  <c r="R21" i="28" s="1"/>
  <c r="W18" i="27"/>
  <c r="W31" i="27" s="1"/>
  <c r="R18" i="27"/>
  <c r="U27" i="4"/>
  <c r="AG17" i="26"/>
  <c r="AG34" i="26" s="1"/>
  <c r="AF17" i="26"/>
  <c r="AF36" i="26" s="1"/>
  <c r="AE17" i="26"/>
  <c r="AD17" i="26"/>
  <c r="W17" i="26"/>
  <c r="W22" i="26" s="1"/>
  <c r="V17" i="26"/>
  <c r="U17" i="26"/>
  <c r="T17" i="26"/>
  <c r="AC37" i="26"/>
  <c r="S22" i="26"/>
  <c r="V18" i="4"/>
  <c r="Q21" i="4"/>
  <c r="Q25" i="4" s="1"/>
  <c r="R18" i="4"/>
  <c r="R35" i="4" s="1"/>
  <c r="U21" i="4"/>
  <c r="U23" i="4"/>
  <c r="U25" i="4"/>
  <c r="U29" i="4"/>
  <c r="U31" i="4"/>
  <c r="U33" i="4"/>
  <c r="U35" i="4"/>
  <c r="AH17" i="25"/>
  <c r="AG17" i="25"/>
  <c r="AG32" i="25" s="1"/>
  <c r="AF17" i="25"/>
  <c r="AE17" i="25"/>
  <c r="X17" i="25"/>
  <c r="W17" i="25"/>
  <c r="V17" i="25"/>
  <c r="U17" i="25"/>
  <c r="U20" i="25" s="1"/>
  <c r="AF20" i="25" l="1"/>
  <c r="AF28" i="25"/>
  <c r="AF32" i="25"/>
  <c r="W38" i="25"/>
  <c r="W37" i="25"/>
  <c r="AE20" i="25"/>
  <c r="AE32" i="25"/>
  <c r="V20" i="25"/>
  <c r="V30" i="25"/>
  <c r="AH20" i="25"/>
  <c r="AH32" i="25"/>
  <c r="W24" i="25"/>
  <c r="W30" i="25"/>
  <c r="W25" i="25"/>
  <c r="W22" i="25"/>
  <c r="W29" i="25"/>
  <c r="W26" i="25"/>
  <c r="W21" i="25"/>
  <c r="W20" i="25"/>
  <c r="W28" i="25"/>
  <c r="X20" i="25"/>
  <c r="X38" i="25"/>
  <c r="X33" i="25"/>
  <c r="X30" i="25"/>
  <c r="X25" i="25"/>
  <c r="X22" i="25"/>
  <c r="X26" i="25"/>
  <c r="X32" i="25"/>
  <c r="X36" i="25"/>
  <c r="X28" i="25"/>
  <c r="X37" i="25"/>
  <c r="X34" i="25"/>
  <c r="X29" i="25"/>
  <c r="X21" i="25"/>
  <c r="X24" i="25"/>
  <c r="V36" i="25"/>
  <c r="V28" i="25"/>
  <c r="V26" i="25"/>
  <c r="V37" i="25"/>
  <c r="V22" i="25"/>
  <c r="V33" i="25"/>
  <c r="V29" i="25"/>
  <c r="V24" i="25"/>
  <c r="V34" i="25"/>
  <c r="V21" i="25"/>
  <c r="V38" i="25"/>
  <c r="V25" i="25"/>
  <c r="AF21" i="25"/>
  <c r="E118" i="2"/>
  <c r="F118" i="2" s="1"/>
  <c r="I125" i="2"/>
  <c r="J98" i="2"/>
  <c r="I153" i="2"/>
  <c r="E124" i="2"/>
  <c r="F124" i="2" s="1"/>
  <c r="E190" i="2"/>
  <c r="F190" i="2" s="1"/>
  <c r="E98" i="2"/>
  <c r="F98" i="2" s="1"/>
  <c r="I155" i="2"/>
  <c r="I161" i="2"/>
  <c r="I108" i="2"/>
  <c r="E161" i="2"/>
  <c r="F161" i="2" s="1"/>
  <c r="J126" i="2"/>
  <c r="J127" i="2"/>
  <c r="E154" i="2"/>
  <c r="F154" i="2" s="1"/>
  <c r="E125" i="2"/>
  <c r="F125" i="2" s="1"/>
  <c r="E153" i="2"/>
  <c r="F153" i="2" s="1"/>
  <c r="E156" i="2"/>
  <c r="F156" i="2" s="1"/>
  <c r="E155" i="2"/>
  <c r="F155" i="2" s="1"/>
  <c r="V23" i="4"/>
  <c r="W23" i="4" s="1"/>
  <c r="D23" i="4" s="1"/>
  <c r="V21" i="4"/>
  <c r="W21" i="4" s="1"/>
  <c r="D21" i="4" s="1"/>
  <c r="J153" i="2"/>
  <c r="H177" i="2"/>
  <c r="V177" i="2"/>
  <c r="E177" i="2" s="1"/>
  <c r="F177" i="2" s="1"/>
  <c r="H118" i="2"/>
  <c r="J118" i="2" s="1"/>
  <c r="V35" i="4"/>
  <c r="W35" i="4" s="1"/>
  <c r="D35" i="4" s="1"/>
  <c r="V27" i="4"/>
  <c r="W27" i="4" s="1"/>
  <c r="D27" i="4" s="1"/>
  <c r="K27" i="4" s="1"/>
  <c r="V33" i="4"/>
  <c r="W33" i="4" s="1"/>
  <c r="D33" i="4" s="1"/>
  <c r="V25" i="4"/>
  <c r="W25" i="4" s="1"/>
  <c r="D25" i="4" s="1"/>
  <c r="V31" i="4"/>
  <c r="W31" i="4" s="1"/>
  <c r="D31" i="4" s="1"/>
  <c r="V29" i="4"/>
  <c r="W29" i="4" s="1"/>
  <c r="D29" i="4" s="1"/>
  <c r="V113" i="2"/>
  <c r="J113" i="2" s="1"/>
  <c r="U189" i="2"/>
  <c r="I189" i="2" s="1"/>
  <c r="H179" i="2"/>
  <c r="H162" i="2"/>
  <c r="I162" i="2" s="1"/>
  <c r="V162" i="2"/>
  <c r="E162" i="2" s="1"/>
  <c r="F162" i="2" s="1"/>
  <c r="U117" i="2"/>
  <c r="E117" i="2" s="1"/>
  <c r="F117" i="2" s="1"/>
  <c r="J155" i="2"/>
  <c r="I25" i="34"/>
  <c r="K25" i="34" s="1"/>
  <c r="I33" i="34"/>
  <c r="K33" i="34" s="1"/>
  <c r="I156" i="2"/>
  <c r="J156" i="2"/>
  <c r="V108" i="2"/>
  <c r="E108" i="2" s="1"/>
  <c r="F108" i="2" s="1"/>
  <c r="J161" i="2"/>
  <c r="V179" i="2"/>
  <c r="E179" i="2" s="1"/>
  <c r="F179" i="2" s="1"/>
  <c r="I127" i="2"/>
  <c r="H178" i="2"/>
  <c r="J178" i="2" s="1"/>
  <c r="H172" i="2"/>
  <c r="U172" i="2"/>
  <c r="E172" i="2" s="1"/>
  <c r="F172" i="2" s="1"/>
  <c r="H117" i="2"/>
  <c r="U178" i="2"/>
  <c r="E178" i="2" s="1"/>
  <c r="F178" i="2" s="1"/>
  <c r="J125" i="2"/>
  <c r="I126" i="2"/>
  <c r="I98" i="2"/>
  <c r="U101" i="2"/>
  <c r="I101" i="2" s="1"/>
  <c r="V67" i="2"/>
  <c r="V119" i="2"/>
  <c r="J119" i="2" s="1"/>
  <c r="V107" i="2"/>
  <c r="J107" i="2" s="1"/>
  <c r="U99" i="2"/>
  <c r="H99" i="2"/>
  <c r="U120" i="2"/>
  <c r="H120" i="2"/>
  <c r="V128" i="2"/>
  <c r="E128" i="2" s="1"/>
  <c r="F128" i="2" s="1"/>
  <c r="H128" i="2"/>
  <c r="V168" i="2"/>
  <c r="U119" i="2"/>
  <c r="I119" i="2" s="1"/>
  <c r="U116" i="2"/>
  <c r="I116" i="2" s="1"/>
  <c r="U67" i="2"/>
  <c r="I67" i="2" s="1"/>
  <c r="V189" i="2"/>
  <c r="J189" i="2" s="1"/>
  <c r="V120" i="2"/>
  <c r="K190" i="2"/>
  <c r="K124" i="2"/>
  <c r="U160" i="2"/>
  <c r="E160" i="2" s="1"/>
  <c r="F160" i="2" s="1"/>
  <c r="H160" i="2"/>
  <c r="V129" i="2"/>
  <c r="E129" i="2" s="1"/>
  <c r="F129" i="2" s="1"/>
  <c r="H129" i="2"/>
  <c r="U168" i="2"/>
  <c r="I168" i="2" s="1"/>
  <c r="V116" i="2"/>
  <c r="U68" i="2"/>
  <c r="I68" i="2" s="1"/>
  <c r="V174" i="2"/>
  <c r="K154" i="2"/>
  <c r="V99" i="2"/>
  <c r="U109" i="2"/>
  <c r="E109" i="2" s="1"/>
  <c r="F109" i="2" s="1"/>
  <c r="H109" i="2"/>
  <c r="U130" i="2"/>
  <c r="E130" i="2" s="1"/>
  <c r="F130" i="2" s="1"/>
  <c r="H130" i="2"/>
  <c r="U171" i="2"/>
  <c r="E171" i="2" s="1"/>
  <c r="F171" i="2" s="1"/>
  <c r="H171" i="2"/>
  <c r="V180" i="2"/>
  <c r="H180" i="2"/>
  <c r="U176" i="2"/>
  <c r="H176" i="2"/>
  <c r="V185" i="2"/>
  <c r="J185" i="2" s="1"/>
  <c r="V188" i="2"/>
  <c r="H188" i="2"/>
  <c r="V121" i="2"/>
  <c r="H121" i="2"/>
  <c r="V167" i="2"/>
  <c r="J167" i="2" s="1"/>
  <c r="V173" i="2"/>
  <c r="V163" i="2"/>
  <c r="H163" i="2"/>
  <c r="V105" i="2"/>
  <c r="H105" i="2"/>
  <c r="U103" i="2"/>
  <c r="I103" i="2" s="1"/>
  <c r="U175" i="2"/>
  <c r="H175" i="2"/>
  <c r="V111" i="2"/>
  <c r="H111" i="2"/>
  <c r="V110" i="2"/>
  <c r="H110" i="2"/>
  <c r="V176" i="2"/>
  <c r="U112" i="2"/>
  <c r="H112" i="2"/>
  <c r="U107" i="2"/>
  <c r="I107" i="2" s="1"/>
  <c r="U183" i="2"/>
  <c r="E183" i="2" s="1"/>
  <c r="F183" i="2" s="1"/>
  <c r="H183" i="2"/>
  <c r="U102" i="2"/>
  <c r="H102" i="2"/>
  <c r="V187" i="2"/>
  <c r="H187" i="2"/>
  <c r="V101" i="2"/>
  <c r="V164" i="2"/>
  <c r="H164" i="2"/>
  <c r="V68" i="2"/>
  <c r="U166" i="2"/>
  <c r="I166" i="2" s="1"/>
  <c r="U113" i="2"/>
  <c r="I113" i="2" s="1"/>
  <c r="V103" i="2"/>
  <c r="V165" i="2"/>
  <c r="H165" i="2"/>
  <c r="U174" i="2"/>
  <c r="I174" i="2" s="1"/>
  <c r="U182" i="2"/>
  <c r="H182" i="2"/>
  <c r="V186" i="2"/>
  <c r="E186" i="2" s="1"/>
  <c r="F186" i="2" s="1"/>
  <c r="H186" i="2"/>
  <c r="V106" i="2"/>
  <c r="H106" i="2"/>
  <c r="V100" i="2"/>
  <c r="H100" i="2"/>
  <c r="U104" i="2"/>
  <c r="H104" i="2"/>
  <c r="U185" i="2"/>
  <c r="I185" i="2" s="1"/>
  <c r="V182" i="2"/>
  <c r="U167" i="2"/>
  <c r="I167" i="2" s="1"/>
  <c r="U173" i="2"/>
  <c r="I173" i="2" s="1"/>
  <c r="U163" i="2"/>
  <c r="U181" i="2"/>
  <c r="E181" i="2" s="1"/>
  <c r="F181" i="2" s="1"/>
  <c r="H181" i="2"/>
  <c r="V166" i="2"/>
  <c r="V184" i="2"/>
  <c r="H184" i="2"/>
  <c r="V175" i="2"/>
  <c r="U111" i="2"/>
  <c r="U110" i="2"/>
  <c r="I191" i="2"/>
  <c r="J191" i="2"/>
  <c r="U106" i="2"/>
  <c r="U105" i="2"/>
  <c r="V112" i="2"/>
  <c r="U188" i="2"/>
  <c r="U121" i="2"/>
  <c r="V102" i="2"/>
  <c r="U187" i="2"/>
  <c r="U164" i="2"/>
  <c r="U180" i="2"/>
  <c r="U184" i="2"/>
  <c r="U165" i="2"/>
  <c r="U100" i="2"/>
  <c r="V104" i="2"/>
  <c r="X36" i="31"/>
  <c r="X38" i="31"/>
  <c r="G38" i="31" s="1"/>
  <c r="AH20" i="31"/>
  <c r="Q29" i="28"/>
  <c r="U38" i="26"/>
  <c r="U22" i="26"/>
  <c r="U28" i="26"/>
  <c r="U33" i="26"/>
  <c r="U20" i="26"/>
  <c r="U36" i="26"/>
  <c r="U21" i="26"/>
  <c r="U32" i="26"/>
  <c r="U24" i="26"/>
  <c r="U29" i="26"/>
  <c r="U34" i="26"/>
  <c r="U25" i="26"/>
  <c r="U30" i="26"/>
  <c r="U26" i="26"/>
  <c r="V29" i="27"/>
  <c r="AH37" i="31"/>
  <c r="H37" i="31" s="1"/>
  <c r="AH21" i="31"/>
  <c r="H21" i="31" s="1"/>
  <c r="AD36" i="26"/>
  <c r="AH28" i="32"/>
  <c r="H28" i="32" s="1"/>
  <c r="AH36" i="32"/>
  <c r="H36" i="32" s="1"/>
  <c r="D27" i="33"/>
  <c r="D29" i="33"/>
  <c r="D31" i="33"/>
  <c r="D23" i="33"/>
  <c r="D35" i="33"/>
  <c r="C27" i="33"/>
  <c r="C29" i="33"/>
  <c r="C21" i="33"/>
  <c r="C23" i="33"/>
  <c r="AH30" i="32"/>
  <c r="H30" i="32" s="1"/>
  <c r="X33" i="32"/>
  <c r="G33" i="32" s="1"/>
  <c r="X37" i="32"/>
  <c r="G37" i="32" s="1"/>
  <c r="AH38" i="32"/>
  <c r="H38" i="32" s="1"/>
  <c r="AH24" i="32"/>
  <c r="H24" i="32" s="1"/>
  <c r="AH37" i="32"/>
  <c r="H37" i="32" s="1"/>
  <c r="AH29" i="32"/>
  <c r="X29" i="32"/>
  <c r="AH25" i="32"/>
  <c r="H25" i="32" s="1"/>
  <c r="X26" i="32"/>
  <c r="X20" i="32"/>
  <c r="AH20" i="32"/>
  <c r="AH26" i="32"/>
  <c r="X22" i="32"/>
  <c r="AH32" i="32"/>
  <c r="AH21" i="32"/>
  <c r="X21" i="32"/>
  <c r="X24" i="32"/>
  <c r="X38" i="32"/>
  <c r="X25" i="32"/>
  <c r="X32" i="32"/>
  <c r="X34" i="32"/>
  <c r="AH22" i="32"/>
  <c r="AH33" i="32"/>
  <c r="AH34" i="32"/>
  <c r="X30" i="32"/>
  <c r="X28" i="32"/>
  <c r="X36" i="32"/>
  <c r="AH38" i="31"/>
  <c r="AH22" i="31"/>
  <c r="H22" i="31" s="1"/>
  <c r="X34" i="31"/>
  <c r="G34" i="31" s="1"/>
  <c r="X22" i="31"/>
  <c r="X33" i="31"/>
  <c r="X29" i="31"/>
  <c r="G29" i="31" s="1"/>
  <c r="X20" i="31"/>
  <c r="G20" i="31" s="1"/>
  <c r="X26" i="31"/>
  <c r="G26" i="31" s="1"/>
  <c r="X32" i="31"/>
  <c r="G32" i="31" s="1"/>
  <c r="X24" i="31"/>
  <c r="G24" i="31" s="1"/>
  <c r="AH36" i="31"/>
  <c r="AH24" i="31"/>
  <c r="X30" i="31"/>
  <c r="X21" i="31"/>
  <c r="X37" i="31"/>
  <c r="AH32" i="31"/>
  <c r="AH26" i="31"/>
  <c r="AH28" i="31"/>
  <c r="AH29" i="31"/>
  <c r="X25" i="31"/>
  <c r="X28" i="31"/>
  <c r="AH30" i="31"/>
  <c r="AH25" i="31"/>
  <c r="AH33" i="31"/>
  <c r="AH34" i="31"/>
  <c r="Q33" i="28"/>
  <c r="Q23" i="28"/>
  <c r="W21" i="26"/>
  <c r="AC24" i="26"/>
  <c r="V31" i="27"/>
  <c r="X31" i="27" s="1"/>
  <c r="R27" i="4"/>
  <c r="V25" i="27"/>
  <c r="V35" i="27"/>
  <c r="U37" i="26"/>
  <c r="V23" i="27"/>
  <c r="AF37" i="26"/>
  <c r="R31" i="28"/>
  <c r="R33" i="4"/>
  <c r="V27" i="27"/>
  <c r="V37" i="27"/>
  <c r="AF21" i="26"/>
  <c r="AF22" i="26"/>
  <c r="W27" i="27"/>
  <c r="V27" i="28"/>
  <c r="AF20" i="26"/>
  <c r="AF30" i="26"/>
  <c r="W33" i="27"/>
  <c r="X33" i="27" s="1"/>
  <c r="AF25" i="26"/>
  <c r="Q27" i="4"/>
  <c r="Q29" i="27"/>
  <c r="W21" i="27"/>
  <c r="W35" i="27"/>
  <c r="R33" i="27"/>
  <c r="R31" i="27"/>
  <c r="R25" i="27"/>
  <c r="R21" i="27"/>
  <c r="S21" i="27" s="1"/>
  <c r="AC36" i="26"/>
  <c r="AC38" i="26"/>
  <c r="W20" i="26"/>
  <c r="W30" i="26"/>
  <c r="R23" i="27"/>
  <c r="AC33" i="26"/>
  <c r="AC34" i="26"/>
  <c r="R27" i="27"/>
  <c r="V31" i="28"/>
  <c r="V25" i="28"/>
  <c r="V33" i="28"/>
  <c r="R35" i="27"/>
  <c r="S35" i="27" s="1"/>
  <c r="C35" i="27" s="1"/>
  <c r="AC30" i="26"/>
  <c r="R37" i="27"/>
  <c r="R31" i="4"/>
  <c r="R23" i="4"/>
  <c r="R29" i="4"/>
  <c r="R21" i="4"/>
  <c r="S21" i="4" s="1"/>
  <c r="C21" i="4" s="1"/>
  <c r="AC25" i="26"/>
  <c r="AC28" i="26"/>
  <c r="AC29" i="26"/>
  <c r="R29" i="27"/>
  <c r="R25" i="4"/>
  <c r="S25" i="4" s="1"/>
  <c r="C25" i="4" s="1"/>
  <c r="V23" i="28"/>
  <c r="V35" i="28"/>
  <c r="AD20" i="26"/>
  <c r="AD29" i="26"/>
  <c r="AD37" i="26"/>
  <c r="W23" i="27"/>
  <c r="W29" i="27"/>
  <c r="W37" i="27"/>
  <c r="AD26" i="26"/>
  <c r="W25" i="27"/>
  <c r="W35" i="28"/>
  <c r="W29" i="28"/>
  <c r="X29" i="28" s="1"/>
  <c r="W23" i="28"/>
  <c r="W33" i="28"/>
  <c r="W27" i="28"/>
  <c r="W21" i="28"/>
  <c r="X21" i="28" s="1"/>
  <c r="R35" i="28"/>
  <c r="S35" i="28" s="1"/>
  <c r="R29" i="28"/>
  <c r="R23" i="28"/>
  <c r="R33" i="28"/>
  <c r="R27" i="28"/>
  <c r="W25" i="28"/>
  <c r="W31" i="28"/>
  <c r="R25" i="28"/>
  <c r="S21" i="28"/>
  <c r="Q25" i="28"/>
  <c r="Q31" i="28"/>
  <c r="Q27" i="28"/>
  <c r="Q33" i="27"/>
  <c r="Q27" i="27"/>
  <c r="Q37" i="27"/>
  <c r="Q25" i="27"/>
  <c r="Q31" i="27"/>
  <c r="Q23" i="27"/>
  <c r="AG29" i="26"/>
  <c r="W37" i="26"/>
  <c r="AG36" i="26"/>
  <c r="AD21" i="26"/>
  <c r="AG24" i="26"/>
  <c r="W25" i="26"/>
  <c r="W36" i="26"/>
  <c r="AD32" i="26"/>
  <c r="AD34" i="26"/>
  <c r="AD24" i="26"/>
  <c r="S36" i="26"/>
  <c r="S30" i="26"/>
  <c r="S25" i="26"/>
  <c r="S38" i="26"/>
  <c r="S33" i="26"/>
  <c r="S28" i="26"/>
  <c r="S37" i="26"/>
  <c r="S32" i="26"/>
  <c r="S26" i="26"/>
  <c r="S24" i="26"/>
  <c r="V38" i="26"/>
  <c r="V33" i="26"/>
  <c r="V28" i="26"/>
  <c r="V37" i="26"/>
  <c r="V36" i="26"/>
  <c r="V30" i="26"/>
  <c r="V25" i="26"/>
  <c r="V22" i="26"/>
  <c r="V21" i="26"/>
  <c r="V20" i="26"/>
  <c r="V34" i="26"/>
  <c r="V29" i="26"/>
  <c r="V24" i="26"/>
  <c r="AE38" i="26"/>
  <c r="AE37" i="26"/>
  <c r="AE36" i="26"/>
  <c r="AE34" i="26"/>
  <c r="AE33" i="26"/>
  <c r="AE32" i="26"/>
  <c r="AE30" i="26"/>
  <c r="AE29" i="26"/>
  <c r="AE28" i="26"/>
  <c r="AE26" i="26"/>
  <c r="AE25" i="26"/>
  <c r="AE24" i="26"/>
  <c r="AE22" i="26"/>
  <c r="AE21" i="26"/>
  <c r="AE20" i="26"/>
  <c r="V26" i="26"/>
  <c r="S29" i="26"/>
  <c r="S21" i="26"/>
  <c r="AD22" i="26"/>
  <c r="V32" i="26"/>
  <c r="S34" i="26"/>
  <c r="T38" i="26"/>
  <c r="T37" i="26"/>
  <c r="T36" i="26"/>
  <c r="T34" i="26"/>
  <c r="T33" i="26"/>
  <c r="T32" i="26"/>
  <c r="T30" i="26"/>
  <c r="T29" i="26"/>
  <c r="T28" i="26"/>
  <c r="T26" i="26"/>
  <c r="T25" i="26"/>
  <c r="T24" i="26"/>
  <c r="AG26" i="26"/>
  <c r="W28" i="26"/>
  <c r="AF28" i="26"/>
  <c r="AG32" i="26"/>
  <c r="W33" i="26"/>
  <c r="AF33" i="26"/>
  <c r="AG37" i="26"/>
  <c r="W38" i="26"/>
  <c r="AF38" i="26"/>
  <c r="AG20" i="26"/>
  <c r="AC21" i="26"/>
  <c r="AG21" i="26"/>
  <c r="AC22" i="26"/>
  <c r="AG22" i="26"/>
  <c r="W24" i="26"/>
  <c r="AF24" i="26"/>
  <c r="AD25" i="26"/>
  <c r="AC26" i="26"/>
  <c r="AG28" i="26"/>
  <c r="W29" i="26"/>
  <c r="AF29" i="26"/>
  <c r="AD30" i="26"/>
  <c r="AC32" i="26"/>
  <c r="AG33" i="26"/>
  <c r="W34" i="26"/>
  <c r="AF34" i="26"/>
  <c r="AG38" i="26"/>
  <c r="T20" i="26"/>
  <c r="T21" i="26"/>
  <c r="T22" i="26"/>
  <c r="AG25" i="26"/>
  <c r="W26" i="26"/>
  <c r="AF26" i="26"/>
  <c r="AD28" i="26"/>
  <c r="AG30" i="26"/>
  <c r="W32" i="26"/>
  <c r="AF32" i="26"/>
  <c r="AD33" i="26"/>
  <c r="AD38" i="26"/>
  <c r="Q35" i="4"/>
  <c r="Q33" i="4"/>
  <c r="Q31" i="4"/>
  <c r="Q29" i="4"/>
  <c r="Q23" i="4"/>
  <c r="Y20" i="25" l="1"/>
  <c r="K98" i="2"/>
  <c r="K125" i="2"/>
  <c r="K153" i="2"/>
  <c r="E103" i="2"/>
  <c r="F103" i="2" s="1"/>
  <c r="E166" i="2"/>
  <c r="F166" i="2" s="1"/>
  <c r="E116" i="2"/>
  <c r="F116" i="2" s="1"/>
  <c r="E120" i="2"/>
  <c r="F120" i="2" s="1"/>
  <c r="J166" i="2"/>
  <c r="K166" i="2" s="1"/>
  <c r="E102" i="2"/>
  <c r="F102" i="2" s="1"/>
  <c r="J108" i="2"/>
  <c r="K108" i="2" s="1"/>
  <c r="K189" i="2"/>
  <c r="E99" i="2"/>
  <c r="F99" i="2" s="1"/>
  <c r="E175" i="2"/>
  <c r="F175" i="2" s="1"/>
  <c r="E106" i="2"/>
  <c r="F106" i="2" s="1"/>
  <c r="E165" i="2"/>
  <c r="F165" i="2" s="1"/>
  <c r="E68" i="2"/>
  <c r="F68" i="2" s="1"/>
  <c r="E189" i="2"/>
  <c r="F189" i="2" s="1"/>
  <c r="K126" i="2"/>
  <c r="I117" i="2"/>
  <c r="K155" i="2"/>
  <c r="K161" i="2"/>
  <c r="E101" i="2"/>
  <c r="F101" i="2" s="1"/>
  <c r="E111" i="2"/>
  <c r="F111" i="2" s="1"/>
  <c r="E173" i="2"/>
  <c r="F173" i="2" s="1"/>
  <c r="J101" i="2"/>
  <c r="K101" i="2" s="1"/>
  <c r="J162" i="2"/>
  <c r="K162" i="2" s="1"/>
  <c r="K119" i="2"/>
  <c r="J116" i="2"/>
  <c r="K116" i="2" s="1"/>
  <c r="E112" i="2"/>
  <c r="F112" i="2" s="1"/>
  <c r="E182" i="2"/>
  <c r="F182" i="2" s="1"/>
  <c r="E187" i="2"/>
  <c r="F187" i="2" s="1"/>
  <c r="E176" i="2"/>
  <c r="F176" i="2" s="1"/>
  <c r="E105" i="2"/>
  <c r="F105" i="2" s="1"/>
  <c r="E167" i="2"/>
  <c r="F167" i="2" s="1"/>
  <c r="E188" i="2"/>
  <c r="F188" i="2" s="1"/>
  <c r="K185" i="2"/>
  <c r="K107" i="2"/>
  <c r="K113" i="2"/>
  <c r="K127" i="2"/>
  <c r="J179" i="2"/>
  <c r="J177" i="2"/>
  <c r="J173" i="2"/>
  <c r="K173" i="2" s="1"/>
  <c r="E184" i="2"/>
  <c r="F184" i="2" s="1"/>
  <c r="E100" i="2"/>
  <c r="F100" i="2" s="1"/>
  <c r="E164" i="2"/>
  <c r="F164" i="2" s="1"/>
  <c r="E110" i="2"/>
  <c r="F110" i="2" s="1"/>
  <c r="E185" i="2"/>
  <c r="F185" i="2" s="1"/>
  <c r="E174" i="2"/>
  <c r="F174" i="2" s="1"/>
  <c r="E107" i="2"/>
  <c r="F107" i="2" s="1"/>
  <c r="E67" i="2"/>
  <c r="F67" i="2" s="1"/>
  <c r="J103" i="2"/>
  <c r="K103" i="2" s="1"/>
  <c r="K167" i="2"/>
  <c r="J68" i="2"/>
  <c r="K68" i="2" s="1"/>
  <c r="E104" i="2"/>
  <c r="F104" i="2" s="1"/>
  <c r="E163" i="2"/>
  <c r="F163" i="2" s="1"/>
  <c r="E121" i="2"/>
  <c r="F121" i="2" s="1"/>
  <c r="E180" i="2"/>
  <c r="F180" i="2" s="1"/>
  <c r="J174" i="2"/>
  <c r="K174" i="2" s="1"/>
  <c r="E168" i="2"/>
  <c r="F168" i="2" s="1"/>
  <c r="E119" i="2"/>
  <c r="F119" i="2" s="1"/>
  <c r="E113" i="2"/>
  <c r="F113" i="2" s="1"/>
  <c r="J67" i="2"/>
  <c r="K67" i="2" s="1"/>
  <c r="J168" i="2"/>
  <c r="K168" i="2" s="1"/>
  <c r="I177" i="2"/>
  <c r="H20" i="31"/>
  <c r="I20" i="31" s="1"/>
  <c r="J20" i="31" s="1"/>
  <c r="AM20" i="31"/>
  <c r="AK38" i="31"/>
  <c r="AG21" i="33"/>
  <c r="AE21" i="33"/>
  <c r="I179" i="2"/>
  <c r="G36" i="31"/>
  <c r="N36" i="31" s="1"/>
  <c r="I118" i="2"/>
  <c r="K118" i="2" s="1"/>
  <c r="K156" i="2"/>
  <c r="AE23" i="33"/>
  <c r="I178" i="2"/>
  <c r="K178" i="2" s="1"/>
  <c r="I172" i="2"/>
  <c r="J172" i="2"/>
  <c r="J117" i="2"/>
  <c r="J129" i="2"/>
  <c r="I129" i="2"/>
  <c r="I171" i="2"/>
  <c r="J171" i="2"/>
  <c r="J109" i="2"/>
  <c r="I109" i="2"/>
  <c r="I160" i="2"/>
  <c r="J160" i="2"/>
  <c r="J128" i="2"/>
  <c r="I128" i="2"/>
  <c r="J130" i="2"/>
  <c r="I130" i="2"/>
  <c r="J120" i="2"/>
  <c r="I120" i="2"/>
  <c r="I99" i="2"/>
  <c r="J99" i="2"/>
  <c r="I184" i="2"/>
  <c r="J184" i="2"/>
  <c r="J106" i="2"/>
  <c r="I106" i="2"/>
  <c r="J182" i="2"/>
  <c r="I182" i="2"/>
  <c r="J165" i="2"/>
  <c r="I165" i="2"/>
  <c r="I112" i="2"/>
  <c r="J112" i="2"/>
  <c r="J111" i="2"/>
  <c r="I111" i="2"/>
  <c r="I176" i="2"/>
  <c r="J176" i="2"/>
  <c r="I187" i="2"/>
  <c r="J187" i="2"/>
  <c r="J183" i="2"/>
  <c r="I183" i="2"/>
  <c r="J105" i="2"/>
  <c r="I105" i="2"/>
  <c r="I188" i="2"/>
  <c r="J188" i="2"/>
  <c r="I104" i="2"/>
  <c r="J104" i="2"/>
  <c r="J100" i="2"/>
  <c r="I100" i="2"/>
  <c r="I186" i="2"/>
  <c r="J186" i="2"/>
  <c r="I164" i="2"/>
  <c r="J164" i="2"/>
  <c r="I110" i="2"/>
  <c r="J110" i="2"/>
  <c r="J175" i="2"/>
  <c r="I175" i="2"/>
  <c r="K191" i="2"/>
  <c r="I181" i="2"/>
  <c r="J181" i="2"/>
  <c r="I102" i="2"/>
  <c r="J102" i="2"/>
  <c r="I163" i="2"/>
  <c r="J163" i="2"/>
  <c r="I121" i="2"/>
  <c r="J121" i="2"/>
  <c r="J180" i="2"/>
  <c r="I180" i="2"/>
  <c r="N34" i="31"/>
  <c r="S29" i="28"/>
  <c r="AC29" i="28" s="1"/>
  <c r="N24" i="31"/>
  <c r="AK36" i="32"/>
  <c r="X29" i="27"/>
  <c r="D29" i="27" s="1"/>
  <c r="S33" i="28"/>
  <c r="C33" i="28" s="1"/>
  <c r="J33" i="28" s="1"/>
  <c r="AK28" i="32"/>
  <c r="AM24" i="32"/>
  <c r="AM37" i="31"/>
  <c r="AK20" i="31"/>
  <c r="AG29" i="33"/>
  <c r="AE27" i="33"/>
  <c r="AK25" i="32"/>
  <c r="AK22" i="31"/>
  <c r="AM38" i="31"/>
  <c r="N29" i="31"/>
  <c r="AK21" i="31"/>
  <c r="N32" i="31"/>
  <c r="H38" i="31"/>
  <c r="O38" i="31" s="1"/>
  <c r="AM22" i="31"/>
  <c r="O22" i="31"/>
  <c r="N26" i="31"/>
  <c r="G22" i="31"/>
  <c r="AE29" i="33"/>
  <c r="AG23" i="33"/>
  <c r="AG27" i="33"/>
  <c r="K29" i="33"/>
  <c r="O37" i="32"/>
  <c r="K27" i="33"/>
  <c r="K21" i="33"/>
  <c r="K23" i="33"/>
  <c r="AG31" i="33"/>
  <c r="AG35" i="33"/>
  <c r="C31" i="33"/>
  <c r="AE31" i="33"/>
  <c r="C35" i="33"/>
  <c r="AE35" i="33"/>
  <c r="D33" i="33"/>
  <c r="J23" i="33"/>
  <c r="E21" i="33"/>
  <c r="F21" i="33" s="1"/>
  <c r="E29" i="33"/>
  <c r="F29" i="33" s="1"/>
  <c r="AG25" i="33"/>
  <c r="D25" i="33"/>
  <c r="K25" i="33" s="1"/>
  <c r="AE25" i="33"/>
  <c r="E27" i="33"/>
  <c r="F27" i="33" s="1"/>
  <c r="J21" i="33"/>
  <c r="E23" i="33"/>
  <c r="F23" i="33" s="1"/>
  <c r="C33" i="33"/>
  <c r="J29" i="33"/>
  <c r="J25" i="33"/>
  <c r="G29" i="32"/>
  <c r="H20" i="32"/>
  <c r="AK20" i="32"/>
  <c r="G26" i="32"/>
  <c r="H29" i="32"/>
  <c r="AM37" i="32"/>
  <c r="AM25" i="32"/>
  <c r="G20" i="32"/>
  <c r="AM29" i="32"/>
  <c r="AK37" i="32"/>
  <c r="AK29" i="32"/>
  <c r="AM20" i="32"/>
  <c r="G30" i="32"/>
  <c r="G34" i="32"/>
  <c r="I37" i="32"/>
  <c r="J37" i="32" s="1"/>
  <c r="AK34" i="32"/>
  <c r="H34" i="32"/>
  <c r="AM34" i="32"/>
  <c r="G32" i="32"/>
  <c r="G38" i="32"/>
  <c r="G21" i="32"/>
  <c r="AK26" i="32"/>
  <c r="H26" i="32"/>
  <c r="AM26" i="32"/>
  <c r="AK38" i="32"/>
  <c r="N33" i="32"/>
  <c r="AK24" i="32"/>
  <c r="G36" i="32"/>
  <c r="AK33" i="32"/>
  <c r="H33" i="32"/>
  <c r="O33" i="32" s="1"/>
  <c r="AM33" i="32"/>
  <c r="G25" i="32"/>
  <c r="AK30" i="32"/>
  <c r="N37" i="32"/>
  <c r="AM36" i="32"/>
  <c r="AK21" i="32"/>
  <c r="H21" i="32"/>
  <c r="AM21" i="32"/>
  <c r="G24" i="32"/>
  <c r="O24" i="32" s="1"/>
  <c r="G22" i="32"/>
  <c r="G28" i="32"/>
  <c r="O28" i="32" s="1"/>
  <c r="AK22" i="32"/>
  <c r="AM22" i="32"/>
  <c r="H22" i="32"/>
  <c r="AM30" i="32"/>
  <c r="AK32" i="32"/>
  <c r="H32" i="32"/>
  <c r="O32" i="32" s="1"/>
  <c r="AM32" i="32"/>
  <c r="AM38" i="32"/>
  <c r="AM28" i="32"/>
  <c r="G33" i="31"/>
  <c r="N33" i="31" s="1"/>
  <c r="AK37" i="31"/>
  <c r="AK30" i="31"/>
  <c r="H30" i="31"/>
  <c r="AM30" i="31"/>
  <c r="AK32" i="31"/>
  <c r="H32" i="31"/>
  <c r="O32" i="31" s="1"/>
  <c r="AM32" i="31"/>
  <c r="AK29" i="31"/>
  <c r="H29" i="31"/>
  <c r="AM29" i="31"/>
  <c r="G30" i="31"/>
  <c r="AK33" i="31"/>
  <c r="H33" i="31"/>
  <c r="O33" i="31" s="1"/>
  <c r="AM33" i="31"/>
  <c r="G25" i="31"/>
  <c r="AK28" i="31"/>
  <c r="H28" i="31"/>
  <c r="AM28" i="31"/>
  <c r="G21" i="31"/>
  <c r="I21" i="31" s="1"/>
  <c r="J21" i="31" s="1"/>
  <c r="O21" i="31"/>
  <c r="AK24" i="31"/>
  <c r="H24" i="31"/>
  <c r="AM24" i="31"/>
  <c r="AK34" i="31"/>
  <c r="H34" i="31"/>
  <c r="AM34" i="31"/>
  <c r="G28" i="31"/>
  <c r="G37" i="31"/>
  <c r="O37" i="31"/>
  <c r="AK36" i="31"/>
  <c r="H36" i="31"/>
  <c r="O36" i="31" s="1"/>
  <c r="AM36" i="31"/>
  <c r="AK25" i="31"/>
  <c r="H25" i="31"/>
  <c r="AM25" i="31"/>
  <c r="N38" i="31"/>
  <c r="AM21" i="31"/>
  <c r="AK26" i="31"/>
  <c r="H26" i="31"/>
  <c r="AM26" i="31"/>
  <c r="N20" i="31"/>
  <c r="S23" i="28"/>
  <c r="C23" i="28" s="1"/>
  <c r="J23" i="28" s="1"/>
  <c r="S23" i="4"/>
  <c r="Z23" i="4" s="1"/>
  <c r="X20" i="26"/>
  <c r="G20" i="26" s="1"/>
  <c r="S37" i="27"/>
  <c r="C37" i="27" s="1"/>
  <c r="X23" i="27"/>
  <c r="D23" i="27" s="1"/>
  <c r="X37" i="27"/>
  <c r="D37" i="27" s="1"/>
  <c r="S33" i="4"/>
  <c r="C33" i="4" s="1"/>
  <c r="E33" i="4" s="1"/>
  <c r="F33" i="4" s="1"/>
  <c r="X25" i="27"/>
  <c r="D25" i="27" s="1"/>
  <c r="S31" i="28"/>
  <c r="C31" i="28" s="1"/>
  <c r="J31" i="28" s="1"/>
  <c r="X35" i="27"/>
  <c r="D35" i="27" s="1"/>
  <c r="S33" i="27"/>
  <c r="C33" i="27" s="1"/>
  <c r="X31" i="28"/>
  <c r="D31" i="28" s="1"/>
  <c r="X27" i="27"/>
  <c r="D27" i="27" s="1"/>
  <c r="S27" i="4"/>
  <c r="C27" i="4" s="1"/>
  <c r="J27" i="4" s="1"/>
  <c r="M27" i="4" s="1"/>
  <c r="X23" i="28"/>
  <c r="X35" i="28"/>
  <c r="AC35" i="28" s="1"/>
  <c r="S29" i="27"/>
  <c r="J35" i="27"/>
  <c r="X27" i="28"/>
  <c r="D27" i="28" s="1"/>
  <c r="X29" i="26"/>
  <c r="AH24" i="26"/>
  <c r="H24" i="26" s="1"/>
  <c r="AH29" i="26"/>
  <c r="X25" i="28"/>
  <c r="D25" i="28" s="1"/>
  <c r="S25" i="28"/>
  <c r="C25" i="28" s="1"/>
  <c r="AH20" i="26"/>
  <c r="AH36" i="26"/>
  <c r="X33" i="28"/>
  <c r="D33" i="28" s="1"/>
  <c r="S27" i="28"/>
  <c r="C35" i="28"/>
  <c r="J35" i="28" s="1"/>
  <c r="AC21" i="28"/>
  <c r="D21" i="28"/>
  <c r="AE21" i="28"/>
  <c r="D29" i="28"/>
  <c r="C21" i="28"/>
  <c r="J21" i="28" s="1"/>
  <c r="D31" i="27"/>
  <c r="S23" i="27"/>
  <c r="C23" i="27" s="1"/>
  <c r="S31" i="27"/>
  <c r="C31" i="27" s="1"/>
  <c r="D33" i="27"/>
  <c r="S27" i="27"/>
  <c r="C27" i="27" s="1"/>
  <c r="C21" i="27"/>
  <c r="S25" i="27"/>
  <c r="AB25" i="4"/>
  <c r="J21" i="4"/>
  <c r="E25" i="4"/>
  <c r="F25" i="4" s="1"/>
  <c r="J25" i="4"/>
  <c r="E21" i="4"/>
  <c r="F21" i="4" s="1"/>
  <c r="AH33" i="26"/>
  <c r="X22" i="26"/>
  <c r="G22" i="26" s="1"/>
  <c r="AH25" i="26"/>
  <c r="AH21" i="26"/>
  <c r="AH37" i="26"/>
  <c r="AH38" i="26"/>
  <c r="AH30" i="26"/>
  <c r="AH28" i="26"/>
  <c r="AH34" i="26"/>
  <c r="X21" i="26"/>
  <c r="AH32" i="26"/>
  <c r="X37" i="26"/>
  <c r="AH26" i="26"/>
  <c r="AH22" i="26"/>
  <c r="X28" i="26"/>
  <c r="X25" i="26"/>
  <c r="X34" i="26"/>
  <c r="X24" i="26"/>
  <c r="X26" i="26"/>
  <c r="X33" i="26"/>
  <c r="X30" i="26"/>
  <c r="X32" i="26"/>
  <c r="X38" i="26"/>
  <c r="X36" i="26"/>
  <c r="S29" i="4"/>
  <c r="Z29" i="4" s="1"/>
  <c r="Z21" i="4"/>
  <c r="AB21" i="4"/>
  <c r="S31" i="4"/>
  <c r="C31" i="4" s="1"/>
  <c r="J31" i="4" s="1"/>
  <c r="S35" i="4"/>
  <c r="Z25" i="4"/>
  <c r="K117" i="2" l="1"/>
  <c r="K179" i="2"/>
  <c r="K177" i="2"/>
  <c r="P33" i="32"/>
  <c r="O20" i="31"/>
  <c r="P20" i="31" s="1"/>
  <c r="P32" i="31"/>
  <c r="L29" i="33"/>
  <c r="P36" i="31"/>
  <c r="L21" i="33"/>
  <c r="L23" i="33"/>
  <c r="P38" i="31"/>
  <c r="L25" i="33"/>
  <c r="P33" i="31"/>
  <c r="P37" i="32"/>
  <c r="AE29" i="28"/>
  <c r="C29" i="28"/>
  <c r="J29" i="28" s="1"/>
  <c r="I38" i="31"/>
  <c r="J38" i="31" s="1"/>
  <c r="AE29" i="27"/>
  <c r="AB23" i="4"/>
  <c r="O21" i="32"/>
  <c r="O34" i="31"/>
  <c r="P34" i="31" s="1"/>
  <c r="K160" i="2"/>
  <c r="K171" i="2"/>
  <c r="K172" i="2"/>
  <c r="K31" i="28"/>
  <c r="L31" i="28" s="1"/>
  <c r="E31" i="33"/>
  <c r="F31" i="33" s="1"/>
  <c r="K31" i="33"/>
  <c r="K35" i="33"/>
  <c r="J27" i="33"/>
  <c r="L27" i="33" s="1"/>
  <c r="K110" i="2"/>
  <c r="K186" i="2"/>
  <c r="K104" i="2"/>
  <c r="K187" i="2"/>
  <c r="K99" i="2"/>
  <c r="K180" i="2"/>
  <c r="K121" i="2"/>
  <c r="K102" i="2"/>
  <c r="K128" i="2"/>
  <c r="K109" i="2"/>
  <c r="K175" i="2"/>
  <c r="K100" i="2"/>
  <c r="K183" i="2"/>
  <c r="K182" i="2"/>
  <c r="K120" i="2"/>
  <c r="K130" i="2"/>
  <c r="K129" i="2"/>
  <c r="K105" i="2"/>
  <c r="K111" i="2"/>
  <c r="K165" i="2"/>
  <c r="K106" i="2"/>
  <c r="K164" i="2"/>
  <c r="K188" i="2"/>
  <c r="K176" i="2"/>
  <c r="K112" i="2"/>
  <c r="K184" i="2"/>
  <c r="K163" i="2"/>
  <c r="K181" i="2"/>
  <c r="K31" i="4"/>
  <c r="L31" i="4" s="1"/>
  <c r="C23" i="4"/>
  <c r="E23" i="4" s="1"/>
  <c r="F23" i="4" s="1"/>
  <c r="G29" i="26"/>
  <c r="N29" i="26" s="1"/>
  <c r="O24" i="31"/>
  <c r="P24" i="31" s="1"/>
  <c r="J37" i="27"/>
  <c r="K25" i="27"/>
  <c r="N22" i="31"/>
  <c r="P22" i="31" s="1"/>
  <c r="K29" i="28"/>
  <c r="O29" i="31"/>
  <c r="P29" i="31" s="1"/>
  <c r="O26" i="31"/>
  <c r="P26" i="31" s="1"/>
  <c r="I22" i="31"/>
  <c r="J22" i="31" s="1"/>
  <c r="O25" i="31"/>
  <c r="O30" i="31"/>
  <c r="O28" i="31"/>
  <c r="K35" i="27"/>
  <c r="L35" i="27" s="1"/>
  <c r="K21" i="28"/>
  <c r="L21" i="28" s="1"/>
  <c r="K33" i="28"/>
  <c r="L33" i="28" s="1"/>
  <c r="I25" i="32"/>
  <c r="J25" i="32" s="1"/>
  <c r="O25" i="32"/>
  <c r="I36" i="32"/>
  <c r="J36" i="32" s="1"/>
  <c r="O36" i="32"/>
  <c r="I38" i="32"/>
  <c r="J38" i="32" s="1"/>
  <c r="O38" i="32"/>
  <c r="I20" i="32"/>
  <c r="J20" i="32" s="1"/>
  <c r="O20" i="32"/>
  <c r="O22" i="32"/>
  <c r="O26" i="32"/>
  <c r="O34" i="32"/>
  <c r="I30" i="32"/>
  <c r="J30" i="32" s="1"/>
  <c r="O30" i="32"/>
  <c r="O29" i="32"/>
  <c r="K33" i="33"/>
  <c r="K25" i="4"/>
  <c r="L25" i="4" s="1"/>
  <c r="K21" i="4"/>
  <c r="L21" i="4" s="1"/>
  <c r="E35" i="33"/>
  <c r="F35" i="33" s="1"/>
  <c r="J33" i="33"/>
  <c r="E25" i="33"/>
  <c r="F25" i="33" s="1"/>
  <c r="E33" i="33"/>
  <c r="F33" i="33" s="1"/>
  <c r="I29" i="32"/>
  <c r="J29" i="32" s="1"/>
  <c r="N28" i="32"/>
  <c r="P28" i="32" s="1"/>
  <c r="N24" i="32"/>
  <c r="P24" i="32" s="1"/>
  <c r="I33" i="32"/>
  <c r="J33" i="32" s="1"/>
  <c r="N34" i="32"/>
  <c r="I24" i="32"/>
  <c r="J24" i="32" s="1"/>
  <c r="N22" i="32"/>
  <c r="I26" i="32"/>
  <c r="J26" i="32" s="1"/>
  <c r="N32" i="32"/>
  <c r="P32" i="32" s="1"/>
  <c r="I34" i="32"/>
  <c r="J34" i="32" s="1"/>
  <c r="I28" i="32"/>
  <c r="J28" i="32" s="1"/>
  <c r="I21" i="32"/>
  <c r="J21" i="32" s="1"/>
  <c r="I22" i="32"/>
  <c r="J22" i="32" s="1"/>
  <c r="N21" i="32"/>
  <c r="I32" i="32"/>
  <c r="J32" i="32" s="1"/>
  <c r="I26" i="31"/>
  <c r="J26" i="31" s="1"/>
  <c r="I25" i="31"/>
  <c r="J25" i="31" s="1"/>
  <c r="N37" i="31"/>
  <c r="P37" i="31" s="1"/>
  <c r="I28" i="31"/>
  <c r="J28" i="31" s="1"/>
  <c r="I36" i="31"/>
  <c r="J36" i="31" s="1"/>
  <c r="N21" i="31"/>
  <c r="P21" i="31" s="1"/>
  <c r="N30" i="31"/>
  <c r="I29" i="31"/>
  <c r="J29" i="31" s="1"/>
  <c r="I32" i="31"/>
  <c r="J32" i="31" s="1"/>
  <c r="I30" i="31"/>
  <c r="J30" i="31" s="1"/>
  <c r="I34" i="31"/>
  <c r="J34" i="31" s="1"/>
  <c r="N28" i="31"/>
  <c r="I37" i="31"/>
  <c r="J37" i="31" s="1"/>
  <c r="I24" i="31"/>
  <c r="J24" i="31" s="1"/>
  <c r="N25" i="31"/>
  <c r="I33" i="31"/>
  <c r="J33" i="31" s="1"/>
  <c r="AE23" i="28"/>
  <c r="AB33" i="4"/>
  <c r="N20" i="26"/>
  <c r="AM20" i="26"/>
  <c r="Z33" i="4"/>
  <c r="H29" i="26"/>
  <c r="H25" i="26"/>
  <c r="AE35" i="28"/>
  <c r="K29" i="27"/>
  <c r="E37" i="27"/>
  <c r="F37" i="27" s="1"/>
  <c r="C29" i="27"/>
  <c r="AE33" i="27"/>
  <c r="AE37" i="27"/>
  <c r="AC37" i="27"/>
  <c r="D23" i="28"/>
  <c r="E27" i="4"/>
  <c r="F27" i="4" s="1"/>
  <c r="AE31" i="27"/>
  <c r="AC23" i="28"/>
  <c r="Z27" i="4"/>
  <c r="J33" i="27"/>
  <c r="AC25" i="28"/>
  <c r="AB27" i="4"/>
  <c r="AE31" i="28"/>
  <c r="H37" i="26"/>
  <c r="E27" i="27"/>
  <c r="F27" i="27" s="1"/>
  <c r="AC29" i="27"/>
  <c r="D35" i="28"/>
  <c r="K35" i="28" s="1"/>
  <c r="L35" i="28" s="1"/>
  <c r="AE25" i="28"/>
  <c r="AC31" i="28"/>
  <c r="N22" i="26"/>
  <c r="H34" i="26"/>
  <c r="AC33" i="27"/>
  <c r="H21" i="26"/>
  <c r="AM21" i="26"/>
  <c r="AK38" i="26"/>
  <c r="H20" i="26"/>
  <c r="AC27" i="28"/>
  <c r="AK29" i="26"/>
  <c r="H36" i="26"/>
  <c r="H30" i="26"/>
  <c r="AM29" i="26"/>
  <c r="AK20" i="26"/>
  <c r="J27" i="27"/>
  <c r="AK36" i="26"/>
  <c r="AK24" i="26"/>
  <c r="AK30" i="26"/>
  <c r="AC31" i="27"/>
  <c r="J25" i="28"/>
  <c r="AE27" i="28"/>
  <c r="J23" i="27"/>
  <c r="J31" i="27"/>
  <c r="C27" i="28"/>
  <c r="J27" i="28" s="1"/>
  <c r="E25" i="28"/>
  <c r="F25" i="28" s="1"/>
  <c r="E31" i="28"/>
  <c r="F31" i="28" s="1"/>
  <c r="E21" i="28"/>
  <c r="F21" i="28" s="1"/>
  <c r="E33" i="28"/>
  <c r="F33" i="28" s="1"/>
  <c r="E35" i="27"/>
  <c r="F35" i="27" s="1"/>
  <c r="E23" i="27"/>
  <c r="F23" i="27" s="1"/>
  <c r="AE23" i="27"/>
  <c r="AC23" i="27"/>
  <c r="E31" i="27"/>
  <c r="F31" i="27" s="1"/>
  <c r="E33" i="27"/>
  <c r="F33" i="27" s="1"/>
  <c r="J21" i="27"/>
  <c r="AC27" i="27"/>
  <c r="AE27" i="27"/>
  <c r="C25" i="27"/>
  <c r="AE25" i="27"/>
  <c r="AC25" i="27"/>
  <c r="E31" i="4"/>
  <c r="F31" i="4" s="1"/>
  <c r="AB35" i="4"/>
  <c r="C35" i="4"/>
  <c r="AB29" i="4"/>
  <c r="C29" i="4"/>
  <c r="AM34" i="26"/>
  <c r="H33" i="26"/>
  <c r="AM28" i="26"/>
  <c r="H28" i="26"/>
  <c r="AK21" i="26"/>
  <c r="G21" i="26"/>
  <c r="AM30" i="26"/>
  <c r="H38" i="26"/>
  <c r="AK34" i="26"/>
  <c r="G32" i="26"/>
  <c r="G33" i="26"/>
  <c r="G25" i="26"/>
  <c r="G37" i="26"/>
  <c r="AM25" i="26"/>
  <c r="AM33" i="26"/>
  <c r="G26" i="26"/>
  <c r="G28" i="26"/>
  <c r="AK37" i="26"/>
  <c r="AM32" i="26"/>
  <c r="H32" i="26"/>
  <c r="AK32" i="26"/>
  <c r="AK25" i="26"/>
  <c r="G36" i="26"/>
  <c r="G24" i="26"/>
  <c r="O24" i="26"/>
  <c r="AK22" i="26"/>
  <c r="AM22" i="26"/>
  <c r="H22" i="26"/>
  <c r="AM37" i="26"/>
  <c r="AM36" i="26"/>
  <c r="AK28" i="26"/>
  <c r="AK33" i="26"/>
  <c r="AM24" i="26"/>
  <c r="G38" i="26"/>
  <c r="G30" i="26"/>
  <c r="G34" i="26"/>
  <c r="AM26" i="26"/>
  <c r="H26" i="26"/>
  <c r="AK26" i="26"/>
  <c r="AM38" i="26"/>
  <c r="Z35" i="4"/>
  <c r="AB31" i="4"/>
  <c r="Z31" i="4"/>
  <c r="E29" i="28" l="1"/>
  <c r="F29" i="28" s="1"/>
  <c r="L29" i="28"/>
  <c r="L27" i="4"/>
  <c r="N27" i="4"/>
  <c r="L33" i="33"/>
  <c r="P21" i="32"/>
  <c r="P22" i="32"/>
  <c r="P30" i="31"/>
  <c r="P34" i="32"/>
  <c r="P25" i="31"/>
  <c r="P28" i="31"/>
  <c r="N25" i="32"/>
  <c r="P25" i="32" s="1"/>
  <c r="J31" i="33"/>
  <c r="L31" i="33" s="1"/>
  <c r="J35" i="33"/>
  <c r="L35" i="33" s="1"/>
  <c r="K37" i="27"/>
  <c r="L37" i="27" s="1"/>
  <c r="N26" i="32"/>
  <c r="P26" i="32" s="1"/>
  <c r="N38" i="32"/>
  <c r="P38" i="32" s="1"/>
  <c r="K27" i="27"/>
  <c r="L27" i="27" s="1"/>
  <c r="K27" i="28"/>
  <c r="L27" i="28" s="1"/>
  <c r="O22" i="26"/>
  <c r="P22" i="26" s="1"/>
  <c r="O34" i="26"/>
  <c r="O26" i="26"/>
  <c r="O36" i="26"/>
  <c r="O38" i="26"/>
  <c r="O33" i="26"/>
  <c r="O28" i="26"/>
  <c r="I20" i="26"/>
  <c r="J20" i="26" s="1"/>
  <c r="O20" i="26"/>
  <c r="P20" i="26" s="1"/>
  <c r="O32" i="26"/>
  <c r="O30" i="26"/>
  <c r="O21" i="26"/>
  <c r="O37" i="26"/>
  <c r="O25" i="26"/>
  <c r="I29" i="26"/>
  <c r="J29" i="26" s="1"/>
  <c r="O29" i="26"/>
  <c r="P29" i="26" s="1"/>
  <c r="K23" i="27"/>
  <c r="L23" i="27" s="1"/>
  <c r="K33" i="27"/>
  <c r="L33" i="27" s="1"/>
  <c r="K31" i="27"/>
  <c r="L31" i="27" s="1"/>
  <c r="K23" i="28"/>
  <c r="L23" i="28" s="1"/>
  <c r="K25" i="28"/>
  <c r="L25" i="28" s="1"/>
  <c r="N20" i="32"/>
  <c r="P20" i="32" s="1"/>
  <c r="N36" i="32"/>
  <c r="P36" i="32" s="1"/>
  <c r="N30" i="32"/>
  <c r="P30" i="32" s="1"/>
  <c r="N29" i="32"/>
  <c r="P29" i="32" s="1"/>
  <c r="J23" i="4"/>
  <c r="K23" i="4"/>
  <c r="J33" i="4"/>
  <c r="K33" i="4"/>
  <c r="J29" i="27"/>
  <c r="L29" i="27" s="1"/>
  <c r="I37" i="26"/>
  <c r="J37" i="26" s="1"/>
  <c r="I25" i="26"/>
  <c r="J25" i="26" s="1"/>
  <c r="E23" i="28"/>
  <c r="F23" i="28" s="1"/>
  <c r="E29" i="27"/>
  <c r="F29" i="27" s="1"/>
  <c r="E35" i="28"/>
  <c r="F35" i="28" s="1"/>
  <c r="I21" i="26"/>
  <c r="J21" i="26" s="1"/>
  <c r="I28" i="26"/>
  <c r="J28" i="26" s="1"/>
  <c r="I34" i="26"/>
  <c r="J34" i="26" s="1"/>
  <c r="N21" i="26"/>
  <c r="N30" i="26"/>
  <c r="N38" i="26"/>
  <c r="E27" i="28"/>
  <c r="F27" i="28" s="1"/>
  <c r="J25" i="27"/>
  <c r="L25" i="27" s="1"/>
  <c r="E25" i="27"/>
  <c r="F25" i="27" s="1"/>
  <c r="E35" i="4"/>
  <c r="F35" i="4" s="1"/>
  <c r="E29" i="4"/>
  <c r="F29" i="4" s="1"/>
  <c r="I38" i="26"/>
  <c r="J38" i="26" s="1"/>
  <c r="N34" i="26"/>
  <c r="I22" i="26"/>
  <c r="J22" i="26" s="1"/>
  <c r="I30" i="26"/>
  <c r="J30" i="26" s="1"/>
  <c r="N26" i="26"/>
  <c r="N33" i="26"/>
  <c r="I26" i="26"/>
  <c r="J26" i="26" s="1"/>
  <c r="N36" i="26"/>
  <c r="I32" i="26"/>
  <c r="J32" i="26" s="1"/>
  <c r="I36" i="26"/>
  <c r="J36" i="26" s="1"/>
  <c r="N24" i="26"/>
  <c r="P24" i="26" s="1"/>
  <c r="I33" i="26"/>
  <c r="J33" i="26" s="1"/>
  <c r="N28" i="26"/>
  <c r="I24" i="26"/>
  <c r="J24" i="26" s="1"/>
  <c r="N37" i="26"/>
  <c r="N25" i="26"/>
  <c r="N32" i="26"/>
  <c r="AE29" i="25"/>
  <c r="AH21" i="25"/>
  <c r="AG20" i="25"/>
  <c r="AD28" i="25"/>
  <c r="T22" i="25"/>
  <c r="AH38" i="25"/>
  <c r="AF30" i="25"/>
  <c r="U30" i="25"/>
  <c r="AD18" i="24"/>
  <c r="U18" i="24"/>
  <c r="AD17" i="24"/>
  <c r="AC17" i="24"/>
  <c r="U17" i="24"/>
  <c r="T17" i="24"/>
  <c r="S38" i="24"/>
  <c r="P38" i="26" l="1"/>
  <c r="P32" i="26"/>
  <c r="P33" i="26"/>
  <c r="P34" i="26"/>
  <c r="L33" i="4"/>
  <c r="P37" i="26"/>
  <c r="L23" i="4"/>
  <c r="P21" i="26"/>
  <c r="P36" i="26"/>
  <c r="P25" i="26"/>
  <c r="P30" i="26"/>
  <c r="P28" i="26"/>
  <c r="P26" i="26"/>
  <c r="AC25" i="24"/>
  <c r="AC26" i="24"/>
  <c r="J35" i="4"/>
  <c r="K35" i="4"/>
  <c r="J29" i="4"/>
  <c r="K29" i="4"/>
  <c r="U29" i="24"/>
  <c r="AC32" i="24"/>
  <c r="AC21" i="24"/>
  <c r="AC34" i="24"/>
  <c r="T25" i="24"/>
  <c r="AD36" i="24"/>
  <c r="T24" i="25"/>
  <c r="S34" i="24"/>
  <c r="S32" i="24"/>
  <c r="S21" i="24"/>
  <c r="S26" i="24"/>
  <c r="S28" i="24"/>
  <c r="T33" i="24"/>
  <c r="U24" i="24"/>
  <c r="S22" i="24"/>
  <c r="S24" i="24"/>
  <c r="S29" i="24"/>
  <c r="S37" i="24"/>
  <c r="AD38" i="25"/>
  <c r="AD21" i="25"/>
  <c r="T34" i="25"/>
  <c r="AE36" i="25"/>
  <c r="AE30" i="25"/>
  <c r="AE25" i="25"/>
  <c r="AE37" i="25"/>
  <c r="AE26" i="25"/>
  <c r="AE38" i="25"/>
  <c r="AE33" i="25"/>
  <c r="AE28" i="25"/>
  <c r="AG21" i="25"/>
  <c r="AH22" i="25"/>
  <c r="U25" i="25"/>
  <c r="AH33" i="25"/>
  <c r="U36" i="25"/>
  <c r="AF37" i="25"/>
  <c r="AF26" i="25"/>
  <c r="AF38" i="25"/>
  <c r="AF33" i="25"/>
  <c r="AF22" i="25"/>
  <c r="AF34" i="25"/>
  <c r="AF29" i="25"/>
  <c r="AF24" i="25"/>
  <c r="AG38" i="25"/>
  <c r="AG33" i="25"/>
  <c r="AG28" i="25"/>
  <c r="AG22" i="25"/>
  <c r="AG34" i="25"/>
  <c r="AG29" i="25"/>
  <c r="AG24" i="25"/>
  <c r="AG36" i="25"/>
  <c r="AG30" i="25"/>
  <c r="AG25" i="25"/>
  <c r="AD34" i="25"/>
  <c r="AD29" i="25"/>
  <c r="AD24" i="25"/>
  <c r="AD36" i="25"/>
  <c r="AD30" i="25"/>
  <c r="AD25" i="25"/>
  <c r="AD37" i="25"/>
  <c r="AD32" i="25"/>
  <c r="AI32" i="25" s="1"/>
  <c r="AD26" i="25"/>
  <c r="T21" i="25"/>
  <c r="AE21" i="25"/>
  <c r="AD22" i="25"/>
  <c r="AF25" i="25"/>
  <c r="AG26" i="25"/>
  <c r="AH28" i="25"/>
  <c r="AF36" i="25"/>
  <c r="AG37" i="25"/>
  <c r="U37" i="25"/>
  <c r="U32" i="25"/>
  <c r="U26" i="25"/>
  <c r="U38" i="25"/>
  <c r="U33" i="25"/>
  <c r="U28" i="25"/>
  <c r="U34" i="25"/>
  <c r="U29" i="25"/>
  <c r="U24" i="25"/>
  <c r="AH34" i="25"/>
  <c r="AH29" i="25"/>
  <c r="AH24" i="25"/>
  <c r="AH36" i="25"/>
  <c r="AH30" i="25"/>
  <c r="AH25" i="25"/>
  <c r="AH37" i="25"/>
  <c r="AH26" i="25"/>
  <c r="T36" i="25"/>
  <c r="T30" i="25"/>
  <c r="T25" i="25"/>
  <c r="T37" i="25"/>
  <c r="T32" i="25"/>
  <c r="T26" i="25"/>
  <c r="T38" i="25"/>
  <c r="T33" i="25"/>
  <c r="T28" i="25"/>
  <c r="AI20" i="25"/>
  <c r="I20" i="25" s="1"/>
  <c r="U21" i="25"/>
  <c r="U22" i="25"/>
  <c r="AE22" i="25"/>
  <c r="AE24" i="25"/>
  <c r="T29" i="25"/>
  <c r="AD33" i="25"/>
  <c r="AE34" i="25"/>
  <c r="AC20" i="24"/>
  <c r="AD37" i="24"/>
  <c r="AD32" i="24"/>
  <c r="AD26" i="24"/>
  <c r="AD34" i="24"/>
  <c r="AD29" i="24"/>
  <c r="AD24" i="24"/>
  <c r="AD38" i="24"/>
  <c r="AD30" i="24"/>
  <c r="AD28" i="24"/>
  <c r="AD22" i="24"/>
  <c r="AD20" i="24"/>
  <c r="T30" i="24"/>
  <c r="U36" i="24"/>
  <c r="U30" i="24"/>
  <c r="U38" i="24"/>
  <c r="U33" i="24"/>
  <c r="U28" i="24"/>
  <c r="U22" i="24"/>
  <c r="U37" i="24"/>
  <c r="U34" i="24"/>
  <c r="U26" i="24"/>
  <c r="U20" i="24"/>
  <c r="T20" i="24"/>
  <c r="U21" i="24"/>
  <c r="AD25" i="24"/>
  <c r="U32" i="24"/>
  <c r="AD33" i="24"/>
  <c r="AD21" i="24"/>
  <c r="U25" i="24"/>
  <c r="T34" i="24"/>
  <c r="T29" i="24"/>
  <c r="T37" i="24"/>
  <c r="T32" i="24"/>
  <c r="T26" i="24"/>
  <c r="T21" i="24"/>
  <c r="T38" i="24"/>
  <c r="T28" i="24"/>
  <c r="T24" i="24"/>
  <c r="T36" i="24"/>
  <c r="T22" i="24"/>
  <c r="AC36" i="24"/>
  <c r="AC30" i="24"/>
  <c r="AC38" i="24"/>
  <c r="AC33" i="24"/>
  <c r="AC28" i="24"/>
  <c r="AC22" i="24"/>
  <c r="AC24" i="24"/>
  <c r="AC29" i="24"/>
  <c r="AC37" i="24"/>
  <c r="S25" i="24"/>
  <c r="S30" i="24"/>
  <c r="S36" i="24"/>
  <c r="S33" i="24"/>
  <c r="H20" i="25" l="1"/>
  <c r="O20" i="25" s="1"/>
  <c r="L29" i="4"/>
  <c r="AF21" i="24"/>
  <c r="H21" i="24" s="1"/>
  <c r="O21" i="24" s="1"/>
  <c r="L35" i="4"/>
  <c r="AF25" i="24"/>
  <c r="H25" i="24" s="1"/>
  <c r="AF24" i="24"/>
  <c r="H24" i="24" s="1"/>
  <c r="AF26" i="24"/>
  <c r="H26" i="24" s="1"/>
  <c r="W29" i="24"/>
  <c r="G29" i="24" s="1"/>
  <c r="AF36" i="24"/>
  <c r="AF20" i="24"/>
  <c r="H20" i="24" s="1"/>
  <c r="W21" i="24"/>
  <c r="AF32" i="24"/>
  <c r="H32" i="24" s="1"/>
  <c r="AI38" i="25"/>
  <c r="I38" i="25" s="1"/>
  <c r="Y34" i="25"/>
  <c r="AF34" i="24"/>
  <c r="W36" i="24"/>
  <c r="G36" i="24" s="1"/>
  <c r="W25" i="24"/>
  <c r="W24" i="24"/>
  <c r="W34" i="24"/>
  <c r="G34" i="24" s="1"/>
  <c r="W22" i="24"/>
  <c r="G22" i="24" s="1"/>
  <c r="AF38" i="24"/>
  <c r="Y33" i="25"/>
  <c r="H33" i="25" s="1"/>
  <c r="Y37" i="25"/>
  <c r="AI28" i="25"/>
  <c r="AI29" i="25"/>
  <c r="Y22" i="25"/>
  <c r="Y24" i="25"/>
  <c r="H24" i="25" s="1"/>
  <c r="AI36" i="25"/>
  <c r="AI25" i="25"/>
  <c r="AI21" i="25"/>
  <c r="Y26" i="25"/>
  <c r="Y30" i="25"/>
  <c r="Y29" i="25"/>
  <c r="Y38" i="25"/>
  <c r="Y25" i="25"/>
  <c r="AI22" i="25"/>
  <c r="AI26" i="25"/>
  <c r="AI30" i="25"/>
  <c r="AI34" i="25"/>
  <c r="AI33" i="25"/>
  <c r="Y28" i="25"/>
  <c r="Y32" i="25"/>
  <c r="Y36" i="25"/>
  <c r="Y21" i="25"/>
  <c r="AI37" i="25"/>
  <c r="AI24" i="25"/>
  <c r="W33" i="24"/>
  <c r="AF22" i="24"/>
  <c r="H22" i="24" s="1"/>
  <c r="AF30" i="24"/>
  <c r="W20" i="24"/>
  <c r="AF29" i="24"/>
  <c r="AF37" i="24"/>
  <c r="AF28" i="24"/>
  <c r="W32" i="24"/>
  <c r="W26" i="24"/>
  <c r="W38" i="24"/>
  <c r="W37" i="24"/>
  <c r="AF33" i="24"/>
  <c r="W30" i="24"/>
  <c r="W28" i="24"/>
  <c r="AJ25" i="24" l="1"/>
  <c r="AI24" i="24"/>
  <c r="O26" i="24"/>
  <c r="O22" i="24"/>
  <c r="H26" i="25"/>
  <c r="O26" i="25" s="1"/>
  <c r="H38" i="24"/>
  <c r="O38" i="24" s="1"/>
  <c r="AI21" i="24"/>
  <c r="AJ20" i="24"/>
  <c r="H34" i="25"/>
  <c r="O34" i="25" s="1"/>
  <c r="I28" i="25"/>
  <c r="G24" i="24"/>
  <c r="I24" i="24" s="1"/>
  <c r="J24" i="24" s="1"/>
  <c r="AJ24" i="24"/>
  <c r="O24" i="24"/>
  <c r="AJ36" i="24"/>
  <c r="H36" i="24"/>
  <c r="O36" i="24" s="1"/>
  <c r="AI36" i="24"/>
  <c r="AL38" i="25"/>
  <c r="G21" i="24"/>
  <c r="N21" i="24" s="1"/>
  <c r="P21" i="24" s="1"/>
  <c r="O20" i="24"/>
  <c r="AL28" i="25"/>
  <c r="AJ34" i="24"/>
  <c r="AL29" i="25"/>
  <c r="AN29" i="25"/>
  <c r="AJ21" i="24"/>
  <c r="AI25" i="24"/>
  <c r="I29" i="25"/>
  <c r="AI37" i="24"/>
  <c r="P20" i="25"/>
  <c r="G25" i="24"/>
  <c r="I25" i="24" s="1"/>
  <c r="J25" i="24" s="1"/>
  <c r="AJ32" i="24"/>
  <c r="H34" i="24"/>
  <c r="I25" i="25"/>
  <c r="AI34" i="24"/>
  <c r="H30" i="24"/>
  <c r="H30" i="25"/>
  <c r="O30" i="25" s="1"/>
  <c r="AN20" i="25"/>
  <c r="O25" i="24"/>
  <c r="N34" i="24"/>
  <c r="AI30" i="24"/>
  <c r="I21" i="25"/>
  <c r="AJ33" i="24"/>
  <c r="H33" i="24"/>
  <c r="O33" i="24" s="1"/>
  <c r="AL20" i="25"/>
  <c r="H28" i="24"/>
  <c r="I36" i="25"/>
  <c r="H29" i="24"/>
  <c r="AJ29" i="24"/>
  <c r="H37" i="24"/>
  <c r="O37" i="24" s="1"/>
  <c r="AJ22" i="24"/>
  <c r="AN25" i="25"/>
  <c r="AI32" i="24"/>
  <c r="G20" i="24"/>
  <c r="I20" i="24" s="1"/>
  <c r="J20" i="24" s="1"/>
  <c r="AI20" i="24"/>
  <c r="O32" i="24"/>
  <c r="G32" i="24"/>
  <c r="I32" i="24" s="1"/>
  <c r="J32" i="24" s="1"/>
  <c r="H37" i="25"/>
  <c r="O37" i="25" s="1"/>
  <c r="O33" i="25"/>
  <c r="O24" i="25"/>
  <c r="H22" i="25"/>
  <c r="O22" i="25" s="1"/>
  <c r="AN32" i="25"/>
  <c r="AN28" i="25"/>
  <c r="AL21" i="25"/>
  <c r="I32" i="25"/>
  <c r="AL33" i="25"/>
  <c r="I33" i="25"/>
  <c r="AN33" i="25"/>
  <c r="H25" i="25"/>
  <c r="H38" i="25"/>
  <c r="J38" i="25" s="1"/>
  <c r="K38" i="25" s="1"/>
  <c r="P38" i="25"/>
  <c r="AN24" i="25"/>
  <c r="I24" i="25"/>
  <c r="AL24" i="25"/>
  <c r="AL25" i="25"/>
  <c r="AN26" i="25"/>
  <c r="I26" i="25"/>
  <c r="P26" i="25" s="1"/>
  <c r="AL26" i="25"/>
  <c r="H29" i="25"/>
  <c r="H21" i="25"/>
  <c r="AN34" i="25"/>
  <c r="I34" i="25"/>
  <c r="P34" i="25" s="1"/>
  <c r="AL34" i="25"/>
  <c r="H36" i="25"/>
  <c r="AL36" i="25"/>
  <c r="AN30" i="25"/>
  <c r="I30" i="25"/>
  <c r="P30" i="25" s="1"/>
  <c r="AL30" i="25"/>
  <c r="H32" i="25"/>
  <c r="AN37" i="25"/>
  <c r="I37" i="25"/>
  <c r="P37" i="25" s="1"/>
  <c r="AL37" i="25"/>
  <c r="H28" i="25"/>
  <c r="AN36" i="25"/>
  <c r="AL32" i="25"/>
  <c r="AN38" i="25"/>
  <c r="AL22" i="25"/>
  <c r="I22" i="25"/>
  <c r="P22" i="25" s="1"/>
  <c r="AN22" i="25"/>
  <c r="AN21" i="25"/>
  <c r="AI22" i="24"/>
  <c r="AI29" i="24"/>
  <c r="G33" i="24"/>
  <c r="N33" i="24" s="1"/>
  <c r="AI33" i="24"/>
  <c r="AJ37" i="24"/>
  <c r="AI28" i="24"/>
  <c r="G37" i="24"/>
  <c r="N37" i="24" s="1"/>
  <c r="AJ38" i="24"/>
  <c r="AI38" i="24"/>
  <c r="AI26" i="24"/>
  <c r="G38" i="24"/>
  <c r="N38" i="24" s="1"/>
  <c r="G26" i="24"/>
  <c r="N26" i="24" s="1"/>
  <c r="AJ26" i="24"/>
  <c r="G28" i="24"/>
  <c r="G30" i="24"/>
  <c r="N22" i="24"/>
  <c r="N36" i="24"/>
  <c r="AJ28" i="24"/>
  <c r="AJ30" i="24"/>
  <c r="I22" i="24"/>
  <c r="J22" i="24" s="1"/>
  <c r="N29" i="24"/>
  <c r="Q34" i="25" l="1"/>
  <c r="P22" i="24"/>
  <c r="Q26" i="25"/>
  <c r="P36" i="24"/>
  <c r="P26" i="24"/>
  <c r="Q37" i="25"/>
  <c r="Q30" i="25"/>
  <c r="Q22" i="25"/>
  <c r="P37" i="24"/>
  <c r="P33" i="24"/>
  <c r="P38" i="24"/>
  <c r="P24" i="25"/>
  <c r="Q24" i="25" s="1"/>
  <c r="P21" i="25"/>
  <c r="P33" i="25"/>
  <c r="Q33" i="25" s="1"/>
  <c r="O29" i="24"/>
  <c r="P29" i="24" s="1"/>
  <c r="P25" i="25"/>
  <c r="P36" i="25"/>
  <c r="P29" i="25"/>
  <c r="P28" i="25"/>
  <c r="P32" i="25"/>
  <c r="O30" i="24"/>
  <c r="O34" i="24"/>
  <c r="P34" i="24" s="1"/>
  <c r="O28" i="24"/>
  <c r="N25" i="24"/>
  <c r="P25" i="24" s="1"/>
  <c r="J28" i="25"/>
  <c r="K28" i="25" s="1"/>
  <c r="N24" i="24"/>
  <c r="P24" i="24" s="1"/>
  <c r="I21" i="24"/>
  <c r="J21" i="24" s="1"/>
  <c r="J20" i="25"/>
  <c r="K20" i="25" s="1"/>
  <c r="I36" i="24"/>
  <c r="J36" i="24" s="1"/>
  <c r="J29" i="25"/>
  <c r="K29" i="25" s="1"/>
  <c r="I34" i="24"/>
  <c r="J34" i="24" s="1"/>
  <c r="N20" i="24"/>
  <c r="P20" i="24" s="1"/>
  <c r="J21" i="25"/>
  <c r="K21" i="25" s="1"/>
  <c r="I30" i="24"/>
  <c r="J30" i="24" s="1"/>
  <c r="J25" i="25"/>
  <c r="K25" i="25" s="1"/>
  <c r="I38" i="24"/>
  <c r="J38" i="24" s="1"/>
  <c r="Q20" i="25"/>
  <c r="I29" i="24"/>
  <c r="J29" i="24" s="1"/>
  <c r="O36" i="25"/>
  <c r="I37" i="24"/>
  <c r="J37" i="24" s="1"/>
  <c r="I33" i="24"/>
  <c r="J33" i="24" s="1"/>
  <c r="O32" i="25"/>
  <c r="N32" i="24"/>
  <c r="P32" i="24" s="1"/>
  <c r="O21" i="25"/>
  <c r="J32" i="25"/>
  <c r="K32" i="25" s="1"/>
  <c r="J34" i="25"/>
  <c r="K34" i="25" s="1"/>
  <c r="J22" i="25"/>
  <c r="K22" i="25" s="1"/>
  <c r="J26" i="25"/>
  <c r="K26" i="25" s="1"/>
  <c r="J24" i="25"/>
  <c r="K24" i="25" s="1"/>
  <c r="J37" i="25"/>
  <c r="K37" i="25" s="1"/>
  <c r="O28" i="25"/>
  <c r="J30" i="25"/>
  <c r="K30" i="25" s="1"/>
  <c r="O38" i="25"/>
  <c r="Q38" i="25" s="1"/>
  <c r="J33" i="25"/>
  <c r="K33" i="25" s="1"/>
  <c r="O29" i="25"/>
  <c r="J36" i="25"/>
  <c r="K36" i="25" s="1"/>
  <c r="O25" i="25"/>
  <c r="N28" i="24"/>
  <c r="I26" i="24"/>
  <c r="J26" i="24" s="1"/>
  <c r="I28" i="24"/>
  <c r="J28" i="24" s="1"/>
  <c r="N30" i="24"/>
  <c r="Q36" i="25" l="1"/>
  <c r="Q21" i="25"/>
  <c r="Q32" i="25"/>
  <c r="P30" i="24"/>
  <c r="Q25" i="25"/>
  <c r="Q28" i="25"/>
  <c r="Q29" i="25"/>
  <c r="P28" i="24"/>
  <c r="AH17" i="15" l="1"/>
  <c r="U18" i="15" l="1"/>
  <c r="U17" i="15"/>
  <c r="AD18" i="15"/>
  <c r="AD17" i="15"/>
  <c r="S20" i="15"/>
  <c r="T17" i="15"/>
  <c r="AC17" i="15"/>
  <c r="AD37" i="15" l="1"/>
  <c r="AD32" i="15"/>
  <c r="AD26" i="15"/>
  <c r="AD21" i="15"/>
  <c r="AD28" i="15"/>
  <c r="AD36" i="15"/>
  <c r="AD30" i="15"/>
  <c r="AD25" i="15"/>
  <c r="AD20" i="15"/>
  <c r="AD33" i="15"/>
  <c r="AD34" i="15"/>
  <c r="AD29" i="15"/>
  <c r="AD24" i="15"/>
  <c r="AD38" i="15"/>
  <c r="AD22" i="15"/>
  <c r="AC20" i="19" l="1"/>
  <c r="S20" i="19"/>
  <c r="AG17" i="19"/>
  <c r="AF17" i="19"/>
  <c r="AE17" i="19"/>
  <c r="AD17" i="19"/>
  <c r="W17" i="19"/>
  <c r="W20" i="19" s="1"/>
  <c r="V17" i="19"/>
  <c r="V38" i="19" s="1"/>
  <c r="U17" i="19"/>
  <c r="U36" i="19" s="1"/>
  <c r="T17" i="19"/>
  <c r="T20" i="19" s="1"/>
  <c r="W21" i="19" l="1"/>
  <c r="W24" i="19"/>
  <c r="W26" i="19"/>
  <c r="W29" i="19"/>
  <c r="W32" i="19"/>
  <c r="W34" i="19"/>
  <c r="W37" i="19"/>
  <c r="AF37" i="19"/>
  <c r="AF32" i="19"/>
  <c r="AF26" i="19"/>
  <c r="AF21" i="19"/>
  <c r="AF33" i="19"/>
  <c r="AF22" i="19"/>
  <c r="AF36" i="19"/>
  <c r="AF30" i="19"/>
  <c r="AF25" i="19"/>
  <c r="AF20" i="19"/>
  <c r="AF34" i="19"/>
  <c r="AF29" i="19"/>
  <c r="AF24" i="19"/>
  <c r="AF38" i="19"/>
  <c r="AF28" i="19"/>
  <c r="AG38" i="19"/>
  <c r="AG33" i="19"/>
  <c r="AG28" i="19"/>
  <c r="AG22" i="19"/>
  <c r="AG34" i="19"/>
  <c r="AG24" i="19"/>
  <c r="AG37" i="19"/>
  <c r="AG32" i="19"/>
  <c r="AG26" i="19"/>
  <c r="AG21" i="19"/>
  <c r="AG36" i="19"/>
  <c r="AG30" i="19"/>
  <c r="AG25" i="19"/>
  <c r="AG20" i="19"/>
  <c r="AG29" i="19"/>
  <c r="W22" i="19"/>
  <c r="W25" i="19"/>
  <c r="W28" i="19"/>
  <c r="W30" i="19"/>
  <c r="W33" i="19"/>
  <c r="W36" i="19"/>
  <c r="W38" i="19"/>
  <c r="AD34" i="19"/>
  <c r="AD29" i="19"/>
  <c r="AD24" i="19"/>
  <c r="AD36" i="19"/>
  <c r="AD25" i="19"/>
  <c r="AD38" i="19"/>
  <c r="AD33" i="19"/>
  <c r="AD28" i="19"/>
  <c r="AD22" i="19"/>
  <c r="AD37" i="19"/>
  <c r="AD32" i="19"/>
  <c r="AD26" i="19"/>
  <c r="AD21" i="19"/>
  <c r="AD30" i="19"/>
  <c r="AD20" i="19"/>
  <c r="AE36" i="19"/>
  <c r="AE30" i="19"/>
  <c r="AE25" i="19"/>
  <c r="AE20" i="19"/>
  <c r="AE32" i="19"/>
  <c r="AE21" i="19"/>
  <c r="AE34" i="19"/>
  <c r="AE29" i="19"/>
  <c r="AE24" i="19"/>
  <c r="AE38" i="19"/>
  <c r="AE33" i="19"/>
  <c r="AE28" i="19"/>
  <c r="AE22" i="19"/>
  <c r="AE37" i="19"/>
  <c r="AE26" i="19"/>
  <c r="S38" i="19"/>
  <c r="AC37" i="19"/>
  <c r="AC29" i="19"/>
  <c r="AC22" i="19"/>
  <c r="AC33" i="19"/>
  <c r="AC24" i="19"/>
  <c r="AC34" i="19"/>
  <c r="AC28" i="19"/>
  <c r="AC38" i="19"/>
  <c r="U26" i="19"/>
  <c r="U37" i="19"/>
  <c r="U28" i="19"/>
  <c r="U24" i="19"/>
  <c r="U29" i="19"/>
  <c r="U34" i="19"/>
  <c r="AC25" i="19"/>
  <c r="AC30" i="19"/>
  <c r="AC36" i="19"/>
  <c r="U21" i="19"/>
  <c r="U32" i="19"/>
  <c r="U22" i="19"/>
  <c r="U33" i="19"/>
  <c r="U38" i="19"/>
  <c r="U20" i="19"/>
  <c r="U25" i="19"/>
  <c r="U30" i="19"/>
  <c r="AC21" i="19"/>
  <c r="AC26" i="19"/>
  <c r="AC32" i="19"/>
  <c r="T21" i="19"/>
  <c r="T22" i="19"/>
  <c r="T24" i="19"/>
  <c r="T25" i="19"/>
  <c r="T26" i="19"/>
  <c r="T28" i="19"/>
  <c r="T29" i="19"/>
  <c r="T30" i="19"/>
  <c r="T32" i="19"/>
  <c r="T33" i="19"/>
  <c r="T34" i="19"/>
  <c r="T36" i="19"/>
  <c r="T37" i="19"/>
  <c r="T38" i="19"/>
  <c r="V20" i="19"/>
  <c r="S21" i="19"/>
  <c r="V21" i="19"/>
  <c r="S22" i="19"/>
  <c r="V22" i="19"/>
  <c r="S24" i="19"/>
  <c r="V24" i="19"/>
  <c r="S25" i="19"/>
  <c r="V25" i="19"/>
  <c r="S26" i="19"/>
  <c r="V26" i="19"/>
  <c r="S28" i="19"/>
  <c r="V28" i="19"/>
  <c r="S29" i="19"/>
  <c r="V29" i="19"/>
  <c r="S30" i="19"/>
  <c r="V30" i="19"/>
  <c r="S32" i="19"/>
  <c r="V32" i="19"/>
  <c r="S33" i="19"/>
  <c r="V33" i="19"/>
  <c r="S34" i="19"/>
  <c r="V34" i="19"/>
  <c r="S36" i="19"/>
  <c r="V36" i="19"/>
  <c r="S37" i="19"/>
  <c r="V37" i="19"/>
  <c r="AH20" i="19" l="1"/>
  <c r="X20" i="19"/>
  <c r="AH36" i="19"/>
  <c r="AH38" i="19"/>
  <c r="X36" i="19"/>
  <c r="X28" i="19"/>
  <c r="X22" i="19"/>
  <c r="X33" i="19"/>
  <c r="X25" i="19"/>
  <c r="X30" i="19"/>
  <c r="X34" i="19"/>
  <c r="X24" i="19"/>
  <c r="AH21" i="19"/>
  <c r="AH33" i="19"/>
  <c r="X38" i="19"/>
  <c r="AH30" i="19"/>
  <c r="AH28" i="19"/>
  <c r="AH22" i="19"/>
  <c r="X37" i="19"/>
  <c r="X32" i="19"/>
  <c r="X26" i="19"/>
  <c r="X21" i="19"/>
  <c r="AH32" i="19"/>
  <c r="AH25" i="19"/>
  <c r="AH34" i="19"/>
  <c r="AH29" i="19"/>
  <c r="X29" i="19"/>
  <c r="AH26" i="19"/>
  <c r="AH24" i="19"/>
  <c r="AH37" i="19"/>
  <c r="AK38" i="19" l="1"/>
  <c r="H30" i="19"/>
  <c r="H32" i="19"/>
  <c r="H38" i="19"/>
  <c r="O38" i="19" s="1"/>
  <c r="H37" i="19"/>
  <c r="H33" i="19"/>
  <c r="H36" i="19"/>
  <c r="O36" i="19" s="1"/>
  <c r="H26" i="19"/>
  <c r="H29" i="19"/>
  <c r="H24" i="19"/>
  <c r="H34" i="19"/>
  <c r="H28" i="19"/>
  <c r="H21" i="19"/>
  <c r="H20" i="19"/>
  <c r="G32" i="19"/>
  <c r="G25" i="19"/>
  <c r="G24" i="19"/>
  <c r="G33" i="19"/>
  <c r="G29" i="19"/>
  <c r="G37" i="19"/>
  <c r="G34" i="19"/>
  <c r="G26" i="19"/>
  <c r="G30" i="19"/>
  <c r="G28" i="19"/>
  <c r="AM25" i="19"/>
  <c r="H25" i="19"/>
  <c r="O25" i="19" s="1"/>
  <c r="G20" i="19"/>
  <c r="AM36" i="19"/>
  <c r="G36" i="19"/>
  <c r="N36" i="19" s="1"/>
  <c r="AM38" i="19"/>
  <c r="G38" i="19"/>
  <c r="N38" i="19" s="1"/>
  <c r="G21" i="19"/>
  <c r="AK22" i="19"/>
  <c r="H22" i="19"/>
  <c r="G22" i="19"/>
  <c r="AK32" i="19"/>
  <c r="AM33" i="19"/>
  <c r="AM26" i="19"/>
  <c r="AK33" i="19"/>
  <c r="AM37" i="19"/>
  <c r="AM29" i="19"/>
  <c r="AK25" i="19"/>
  <c r="AM20" i="19"/>
  <c r="AK24" i="19"/>
  <c r="AM30" i="19"/>
  <c r="AK20" i="19"/>
  <c r="AM22" i="19"/>
  <c r="AM28" i="19"/>
  <c r="AM21" i="19"/>
  <c r="AK34" i="19"/>
  <c r="AK28" i="19"/>
  <c r="AK30" i="19"/>
  <c r="AK36" i="19"/>
  <c r="AK26" i="19"/>
  <c r="AK29" i="19"/>
  <c r="AK37" i="19"/>
  <c r="AK21" i="19"/>
  <c r="AM24" i="19"/>
  <c r="AM34" i="19"/>
  <c r="AM32" i="19"/>
  <c r="U38" i="15"/>
  <c r="U37" i="15"/>
  <c r="U36" i="15"/>
  <c r="U34" i="15"/>
  <c r="U33" i="15"/>
  <c r="U32" i="15"/>
  <c r="U30" i="15"/>
  <c r="U29" i="15"/>
  <c r="U28" i="15"/>
  <c r="U26" i="15"/>
  <c r="U25" i="15"/>
  <c r="U24" i="15"/>
  <c r="U22" i="15"/>
  <c r="U21" i="15"/>
  <c r="U20" i="15"/>
  <c r="S38" i="15"/>
  <c r="S37" i="15"/>
  <c r="S36" i="15"/>
  <c r="S34" i="15"/>
  <c r="S33" i="15"/>
  <c r="S32" i="15"/>
  <c r="S30" i="15"/>
  <c r="S29" i="15"/>
  <c r="S28" i="15"/>
  <c r="S26" i="15"/>
  <c r="S25" i="15"/>
  <c r="S24" i="15"/>
  <c r="S22" i="15"/>
  <c r="S21" i="15"/>
  <c r="AB38" i="15"/>
  <c r="AB37" i="15"/>
  <c r="AB36" i="15"/>
  <c r="AB34" i="15"/>
  <c r="AB33" i="15"/>
  <c r="AB32" i="15"/>
  <c r="AB30" i="15"/>
  <c r="AB29" i="15"/>
  <c r="AB28" i="15"/>
  <c r="AB26" i="15"/>
  <c r="AB25" i="15"/>
  <c r="AB24" i="15"/>
  <c r="AB22" i="15"/>
  <c r="AB21" i="15"/>
  <c r="AB20" i="15"/>
  <c r="P36" i="19" l="1"/>
  <c r="P38" i="19"/>
  <c r="O29" i="19"/>
  <c r="O20" i="19"/>
  <c r="O24" i="19"/>
  <c r="I29" i="19"/>
  <c r="J29" i="19" s="1"/>
  <c r="O34" i="19"/>
  <c r="O32" i="19"/>
  <c r="I33" i="19"/>
  <c r="J33" i="19" s="1"/>
  <c r="O37" i="19"/>
  <c r="O21" i="19"/>
  <c r="O22" i="19"/>
  <c r="O28" i="19"/>
  <c r="O26" i="19"/>
  <c r="O33" i="19"/>
  <c r="O30" i="19"/>
  <c r="I20" i="19"/>
  <c r="J20" i="19" s="1"/>
  <c r="I24" i="19"/>
  <c r="J24" i="19" s="1"/>
  <c r="I38" i="19"/>
  <c r="J38" i="19" s="1"/>
  <c r="I37" i="19"/>
  <c r="J37" i="19" s="1"/>
  <c r="I21" i="19"/>
  <c r="J21" i="19" s="1"/>
  <c r="I32" i="19"/>
  <c r="J32" i="19" s="1"/>
  <c r="N22" i="19"/>
  <c r="N34" i="19"/>
  <c r="I36" i="19"/>
  <c r="J36" i="19" s="1"/>
  <c r="N30" i="19"/>
  <c r="I34" i="19"/>
  <c r="J34" i="19" s="1"/>
  <c r="N21" i="19"/>
  <c r="N20" i="19"/>
  <c r="N26" i="19"/>
  <c r="N24" i="19"/>
  <c r="I25" i="19"/>
  <c r="J25" i="19" s="1"/>
  <c r="N28" i="19"/>
  <c r="N37" i="19"/>
  <c r="I30" i="19"/>
  <c r="J30" i="19" s="1"/>
  <c r="I28" i="19"/>
  <c r="J28" i="19" s="1"/>
  <c r="I26" i="19"/>
  <c r="J26" i="19" s="1"/>
  <c r="N33" i="19"/>
  <c r="N29" i="19"/>
  <c r="N25" i="19"/>
  <c r="P25" i="19" s="1"/>
  <c r="N32" i="19"/>
  <c r="I22" i="19"/>
  <c r="J22" i="19" s="1"/>
  <c r="AC36" i="15"/>
  <c r="AF36" i="15" s="1"/>
  <c r="AC30" i="15"/>
  <c r="AF30" i="15" s="1"/>
  <c r="AC25" i="15"/>
  <c r="AF25" i="15" s="1"/>
  <c r="AC20" i="15"/>
  <c r="AC34" i="15"/>
  <c r="AF34" i="15" s="1"/>
  <c r="AC29" i="15"/>
  <c r="AF29" i="15" s="1"/>
  <c r="AC24" i="15"/>
  <c r="AF24" i="15" s="1"/>
  <c r="AC38" i="15"/>
  <c r="AF38" i="15" s="1"/>
  <c r="AC33" i="15"/>
  <c r="AF33" i="15" s="1"/>
  <c r="AC28" i="15"/>
  <c r="AF28" i="15" s="1"/>
  <c r="AC22" i="15"/>
  <c r="AF22" i="15" s="1"/>
  <c r="AC37" i="15"/>
  <c r="AF37" i="15" s="1"/>
  <c r="AC32" i="15"/>
  <c r="AF32" i="15" s="1"/>
  <c r="AC26" i="15"/>
  <c r="AF26" i="15" s="1"/>
  <c r="AC21" i="15"/>
  <c r="AF21" i="15" s="1"/>
  <c r="T38" i="15"/>
  <c r="W38" i="15" s="1"/>
  <c r="T28" i="15"/>
  <c r="W28" i="15" s="1"/>
  <c r="T25" i="15"/>
  <c r="W25" i="15" s="1"/>
  <c r="T20" i="15"/>
  <c r="W20" i="15" s="1"/>
  <c r="AF20" i="15"/>
  <c r="T29" i="15"/>
  <c r="W29" i="15" s="1"/>
  <c r="T22" i="15"/>
  <c r="W22" i="15" s="1"/>
  <c r="T37" i="15"/>
  <c r="W37" i="15" s="1"/>
  <c r="T21" i="15"/>
  <c r="W21" i="15" s="1"/>
  <c r="T24" i="15"/>
  <c r="W24" i="15" s="1"/>
  <c r="T34" i="15"/>
  <c r="W34" i="15" s="1"/>
  <c r="T30" i="15"/>
  <c r="W30" i="15" s="1"/>
  <c r="T26" i="15"/>
  <c r="W26" i="15" s="1"/>
  <c r="T36" i="15"/>
  <c r="W36" i="15" s="1"/>
  <c r="T33" i="15"/>
  <c r="W33" i="15" s="1"/>
  <c r="T32" i="15"/>
  <c r="W32" i="15" s="1"/>
  <c r="P22" i="19" l="1"/>
  <c r="P20" i="19"/>
  <c r="P21" i="19"/>
  <c r="P24" i="19"/>
  <c r="P26" i="19"/>
  <c r="P37" i="19"/>
  <c r="P28" i="19"/>
  <c r="P30" i="19"/>
  <c r="P32" i="19"/>
  <c r="P33" i="19"/>
  <c r="P34" i="19"/>
  <c r="P29" i="19"/>
  <c r="H33" i="15"/>
  <c r="O33" i="15" s="1"/>
  <c r="H21" i="15"/>
  <c r="H37" i="15"/>
  <c r="H28" i="15"/>
  <c r="H34" i="15"/>
  <c r="H25" i="15"/>
  <c r="H24" i="15"/>
  <c r="H38" i="15"/>
  <c r="H32" i="15"/>
  <c r="O32" i="15" s="1"/>
  <c r="H36" i="15"/>
  <c r="H29" i="15"/>
  <c r="H26" i="15"/>
  <c r="H20" i="15"/>
  <c r="H30" i="15"/>
  <c r="H22" i="15"/>
  <c r="G20" i="15"/>
  <c r="G30" i="15"/>
  <c r="G24" i="15"/>
  <c r="G29" i="15"/>
  <c r="G26" i="15"/>
  <c r="G33" i="15"/>
  <c r="G34" i="15"/>
  <c r="G38" i="15"/>
  <c r="G37" i="15"/>
  <c r="G25" i="15"/>
  <c r="G21" i="15"/>
  <c r="G28" i="15"/>
  <c r="G32" i="15"/>
  <c r="G36" i="15"/>
  <c r="G22" i="15"/>
  <c r="AI21" i="15"/>
  <c r="AJ29" i="15"/>
  <c r="AI32" i="15"/>
  <c r="AJ24" i="15"/>
  <c r="AJ37" i="15"/>
  <c r="AJ28" i="15"/>
  <c r="AJ26" i="15"/>
  <c r="AJ20" i="15"/>
  <c r="AI30" i="15"/>
  <c r="AJ22" i="15"/>
  <c r="AI25" i="15"/>
  <c r="AJ34" i="15"/>
  <c r="AI24" i="15"/>
  <c r="AJ36" i="15"/>
  <c r="AJ38" i="15"/>
  <c r="AI33" i="15"/>
  <c r="AJ33" i="15"/>
  <c r="AI20" i="15"/>
  <c r="AI36" i="15"/>
  <c r="AJ30" i="15"/>
  <c r="AI26" i="15"/>
  <c r="AI34" i="15"/>
  <c r="AI28" i="15"/>
  <c r="AJ25" i="15"/>
  <c r="AI22" i="15"/>
  <c r="AI38" i="15"/>
  <c r="O21" i="15" l="1"/>
  <c r="O24" i="15"/>
  <c r="I25" i="15"/>
  <c r="J25" i="15" s="1"/>
  <c r="O26" i="15"/>
  <c r="O22" i="15"/>
  <c r="O20" i="15"/>
  <c r="O38" i="15"/>
  <c r="O28" i="15"/>
  <c r="O37" i="15"/>
  <c r="O30" i="15"/>
  <c r="O36" i="15"/>
  <c r="O25" i="15"/>
  <c r="O29" i="15"/>
  <c r="O34" i="15"/>
  <c r="N30" i="15"/>
  <c r="N20" i="15"/>
  <c r="N24" i="15"/>
  <c r="I24" i="15"/>
  <c r="J24" i="15" s="1"/>
  <c r="I20" i="15"/>
  <c r="J20" i="15" s="1"/>
  <c r="I32" i="15"/>
  <c r="J32" i="15" s="1"/>
  <c r="N32" i="15"/>
  <c r="P32" i="15" s="1"/>
  <c r="I37" i="15"/>
  <c r="J37" i="15" s="1"/>
  <c r="N37" i="15"/>
  <c r="I26" i="15"/>
  <c r="J26" i="15" s="1"/>
  <c r="N26" i="15"/>
  <c r="I30" i="15"/>
  <c r="J30" i="15" s="1"/>
  <c r="I38" i="15"/>
  <c r="J38" i="15" s="1"/>
  <c r="N38" i="15"/>
  <c r="I29" i="15"/>
  <c r="J29" i="15" s="1"/>
  <c r="N29" i="15"/>
  <c r="I22" i="15"/>
  <c r="J22" i="15" s="1"/>
  <c r="N22" i="15"/>
  <c r="I28" i="15"/>
  <c r="J28" i="15" s="1"/>
  <c r="N28" i="15"/>
  <c r="N25" i="15"/>
  <c r="I34" i="15"/>
  <c r="J34" i="15" s="1"/>
  <c r="N34" i="15"/>
  <c r="I36" i="15"/>
  <c r="J36" i="15" s="1"/>
  <c r="N36" i="15"/>
  <c r="I21" i="15"/>
  <c r="J21" i="15" s="1"/>
  <c r="N21" i="15"/>
  <c r="I33" i="15"/>
  <c r="J33" i="15" s="1"/>
  <c r="N33" i="15"/>
  <c r="P33" i="15" s="1"/>
  <c r="AJ21" i="15"/>
  <c r="AJ32" i="15"/>
  <c r="AI37" i="15"/>
  <c r="AI29" i="15"/>
  <c r="X21" i="27"/>
  <c r="P25" i="15" l="1"/>
  <c r="P28" i="15"/>
  <c r="P26" i="15"/>
  <c r="P20" i="15"/>
  <c r="P22" i="15"/>
  <c r="P21" i="15"/>
  <c r="P36" i="15"/>
  <c r="P34" i="15"/>
  <c r="P30" i="15"/>
  <c r="P24" i="15"/>
  <c r="P38" i="15"/>
  <c r="P29" i="15"/>
  <c r="P37" i="15"/>
  <c r="D21" i="27"/>
  <c r="K21" i="27" s="1"/>
  <c r="L21" i="27" s="1"/>
  <c r="AC21" i="27"/>
  <c r="AE21" i="27"/>
  <c r="E21" i="27" l="1"/>
  <c r="F21" i="27" s="1"/>
</calcChain>
</file>

<file path=xl/sharedStrings.xml><?xml version="1.0" encoding="utf-8"?>
<sst xmlns="http://schemas.openxmlformats.org/spreadsheetml/2006/main" count="2708" uniqueCount="509">
  <si>
    <t>kWh</t>
  </si>
  <si>
    <t>Current</t>
  </si>
  <si>
    <t>Customer</t>
  </si>
  <si>
    <t>Charge</t>
  </si>
  <si>
    <t>Bill</t>
  </si>
  <si>
    <t>Total</t>
  </si>
  <si>
    <t>$</t>
  </si>
  <si>
    <t>Difference</t>
  </si>
  <si>
    <t>%</t>
  </si>
  <si>
    <t>Proposed</t>
  </si>
  <si>
    <t>Rate GS</t>
  </si>
  <si>
    <t>Customer Charge</t>
  </si>
  <si>
    <t>Energy Charge</t>
  </si>
  <si>
    <t>Demand Charge</t>
  </si>
  <si>
    <t>per kWh</t>
  </si>
  <si>
    <t>Rate PS</t>
  </si>
  <si>
    <t>Primary</t>
  </si>
  <si>
    <t>Secondary</t>
  </si>
  <si>
    <t xml:space="preserve">Demand </t>
  </si>
  <si>
    <t>per kW</t>
  </si>
  <si>
    <t>kW</t>
  </si>
  <si>
    <t>Rate RTS</t>
  </si>
  <si>
    <t>Base</t>
  </si>
  <si>
    <t>Load</t>
  </si>
  <si>
    <t>Factor</t>
  </si>
  <si>
    <t>Demand</t>
  </si>
  <si>
    <t>kVA</t>
  </si>
  <si>
    <t xml:space="preserve">Load </t>
  </si>
  <si>
    <t xml:space="preserve"> Demand </t>
  </si>
  <si>
    <t>Rate TOD</t>
  </si>
  <si>
    <t>Intermediate</t>
  </si>
  <si>
    <t xml:space="preserve">    Intermediate</t>
  </si>
  <si>
    <t xml:space="preserve">    Peak</t>
  </si>
  <si>
    <t xml:space="preserve">    Base</t>
  </si>
  <si>
    <t>Peak</t>
  </si>
  <si>
    <t>Single Phase</t>
  </si>
  <si>
    <t>Three Phase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</si>
  <si>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</si>
  <si>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</si>
  <si>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</si>
  <si>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</si>
  <si>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</si>
  <si>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</si>
  <si>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</si>
  <si>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</si>
  <si>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</si>
  <si>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</si>
  <si>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</si>
  <si>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</si>
  <si>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   kWh</t>
  </si>
  <si>
    <t xml:space="preserve">      kWh</t>
  </si>
  <si>
    <t xml:space="preserve"> kW</t>
  </si>
  <si>
    <t xml:space="preserve">    Summer</t>
  </si>
  <si>
    <t xml:space="preserve">    Winter</t>
  </si>
  <si>
    <t>Charge **</t>
  </si>
  <si>
    <t>Basic Service</t>
  </si>
  <si>
    <t>Energy</t>
  </si>
  <si>
    <t>Charge**</t>
  </si>
  <si>
    <t>per kVA</t>
  </si>
  <si>
    <t>CURRENT</t>
  </si>
  <si>
    <t>PROPOSED</t>
  </si>
  <si>
    <t>Service</t>
  </si>
  <si>
    <t>Basic</t>
  </si>
  <si>
    <t>Rate AES</t>
  </si>
  <si>
    <t>Rate FLS</t>
  </si>
  <si>
    <t>Transmission</t>
  </si>
  <si>
    <t>CURRENT RATES</t>
  </si>
  <si>
    <t>per kW (Summer)</t>
  </si>
  <si>
    <t>per kW (Winter)</t>
  </si>
  <si>
    <t>($)</t>
  </si>
  <si>
    <t>(%)</t>
  </si>
  <si>
    <t>FAC</t>
  </si>
  <si>
    <t>ECR</t>
  </si>
  <si>
    <t>DSM</t>
  </si>
  <si>
    <t xml:space="preserve">Proposed </t>
  </si>
  <si>
    <t xml:space="preserve">Increase </t>
  </si>
  <si>
    <t>Base Fuel</t>
  </si>
  <si>
    <t>General Service - Single Phase</t>
  </si>
  <si>
    <t>All Electric Schools - Single Phase</t>
  </si>
  <si>
    <t>General Service - Three Phase</t>
  </si>
  <si>
    <t>All Electric Schools - Three Phase</t>
  </si>
  <si>
    <t>Rate RTOD-E</t>
  </si>
  <si>
    <t>Rate RTOD-D</t>
  </si>
  <si>
    <t xml:space="preserve">    Base / Off Peak</t>
  </si>
  <si>
    <t>(Rate RS)</t>
  </si>
  <si>
    <t>On-Peak</t>
  </si>
  <si>
    <t>Off-Peak</t>
  </si>
  <si>
    <t>LIGHTING</t>
  </si>
  <si>
    <t>Rate Per Light Per Month</t>
  </si>
  <si>
    <t>OVERHEAD SERVICE</t>
  </si>
  <si>
    <r>
      <t xml:space="preserve">  </t>
    </r>
    <r>
      <rPr>
        <b/>
        <i/>
        <sz val="11"/>
        <rFont val="Times New Roman"/>
        <family val="1"/>
      </rPr>
      <t>High Pressure Sodium</t>
    </r>
  </si>
  <si>
    <t>462 Cobra Head –    5,800 Lumen – Fixture Only</t>
  </si>
  <si>
    <t>472 Cobra Head –    5,800 Lumen – Ornamental</t>
  </si>
  <si>
    <t>463 Cobra Head –    9,500 Lumen – Fixture Only</t>
  </si>
  <si>
    <t>473 Cobra Head –    9,500 Lumen – Ornamental</t>
  </si>
  <si>
    <t>464 Cobra Head –  22,000 Lumen – Fixture Only</t>
  </si>
  <si>
    <t>474 Cobra Head –  22,000 Lumen – Ornamental</t>
  </si>
  <si>
    <t>465 Cobra Head –  50,000 Lumen – Fixture Only</t>
  </si>
  <si>
    <t>475 Cobra Head –  50,000 Lumen – Ornamental</t>
  </si>
  <si>
    <t>487 Directional  –    9,500 Lumen – Fixture Only</t>
  </si>
  <si>
    <t>488 Directional  –  22,000 Lumen – Fixture Only</t>
  </si>
  <si>
    <t>489 Directional  –  50,000 Lumen – Fixture Only</t>
  </si>
  <si>
    <t>428 Open Bottom – 9,500 Lumen – Fixture Only</t>
  </si>
  <si>
    <r>
      <t xml:space="preserve">  </t>
    </r>
    <r>
      <rPr>
        <b/>
        <i/>
        <sz val="11"/>
        <rFont val="Times New Roman"/>
        <family val="1"/>
      </rPr>
      <t>Metal Halide</t>
    </r>
  </si>
  <si>
    <t>450 Directional –   12,000 Lumen – Fixture Only</t>
  </si>
  <si>
    <t>451 Directional –   32,000 Lumen – Fixture Only</t>
  </si>
  <si>
    <t>452 Directional – 107,800 Lumen – Fixture Only</t>
  </si>
  <si>
    <t>UNDERGROUND SERVICE</t>
  </si>
  <si>
    <t xml:space="preserve"> 467 Colonial – 5,800 Lumen – Decorative</t>
  </si>
  <si>
    <t xml:space="preserve"> 468 Colonial – 9,500 Lumen – Decorative</t>
  </si>
  <si>
    <t xml:space="preserve"> 401 Acorn  –    5,800 Lumen – Smooth Pole</t>
  </si>
  <si>
    <t xml:space="preserve"> 411 Acorn  –    5,800 Lumen – Fluted Pole</t>
  </si>
  <si>
    <t xml:space="preserve"> 420 Acorn  –    9,500 Lumen – Smooth Pole</t>
  </si>
  <si>
    <t xml:space="preserve"> 430 Acorn  –    9,500 Lumen – Fluted Pole</t>
  </si>
  <si>
    <t xml:space="preserve"> 414 Victorian  5,800 Lumen – Fluted Pole</t>
  </si>
  <si>
    <t xml:space="preserve"> 415 Victorian  9,500 Lumen – Fluted Pole</t>
  </si>
  <si>
    <t xml:space="preserve"> 476 Contemporary –  5,800 Lumen – Fixture/Pole</t>
  </si>
  <si>
    <t xml:space="preserve"> 492 Contemporary –  5,800 Lumen – 2nd Fixture </t>
  </si>
  <si>
    <t xml:space="preserve"> 477 Contemporary –  9,500 Lumen – Fixture/Pole</t>
  </si>
  <si>
    <t xml:space="preserve"> 497 Contemporary –  9,500 Lumen – 2nd Fixture</t>
  </si>
  <si>
    <t xml:space="preserve"> 478 Contemporary– 22,000 Lumen – Fixture/Pole</t>
  </si>
  <si>
    <t xml:space="preserve"> 498 Contemporary– 22,000 Lumen – 2nd Fixture</t>
  </si>
  <si>
    <t xml:space="preserve"> 479 Contemporary– 50,000 Lumen – Fixture/Pole</t>
  </si>
  <si>
    <t xml:space="preserve"> 499 Contemporary– 50,000 Lumen – 2nd Fixture</t>
  </si>
  <si>
    <t xml:space="preserve"> 300 Dark Sky – 4,000 Lumen</t>
  </si>
  <si>
    <t xml:space="preserve"> 301 Dark Sky – 9,500 Lumen</t>
  </si>
  <si>
    <t xml:space="preserve"> 490 Contemporary –   12,000 Lumen– Fixture Only</t>
  </si>
  <si>
    <t xml:space="preserve"> 494 Contemporary –   12,000 Lumen– Smooth Pole</t>
  </si>
  <si>
    <t xml:space="preserve"> 491 Contemporary –   32,000 Lumen– Fixture Only</t>
  </si>
  <si>
    <t xml:space="preserve"> 495 Contemporary –   32,000 Lumen–Smooth Pole</t>
  </si>
  <si>
    <t xml:space="preserve"> 493 Contemporary – 107,800 Lumen– Fixture Only</t>
  </si>
  <si>
    <t xml:space="preserve"> 496 Contemporary – 107,800 Lumen–Smooth Pole</t>
  </si>
  <si>
    <t xml:space="preserve">  High Pressure Sodium</t>
  </si>
  <si>
    <t xml:space="preserve"> 461 Cobra Head –   4,000 Lumen – Fixture Only</t>
  </si>
  <si>
    <t xml:space="preserve"> 471 Cobra Head –   4,000 Lumen – Fixture &amp; Pole </t>
  </si>
  <si>
    <t xml:space="preserve"> 409 Cobra Head – 50,000 Lumen – Fixture Only</t>
  </si>
  <si>
    <t xml:space="preserve"> 426 Open Bottom – 5,800 Lumen – Fixture Only</t>
  </si>
  <si>
    <t xml:space="preserve">  Metal Halide</t>
  </si>
  <si>
    <t xml:space="preserve"> 454 Direct –   12,000 Lumen–Flood Fixture &amp; Pole</t>
  </si>
  <si>
    <t xml:space="preserve"> 455 Direct –   32,000 Lumen–Flood Fixture &amp; Pole</t>
  </si>
  <si>
    <t xml:space="preserve"> 459 Direct – 107,800 Lumen–Flood Fixture &amp; Pole</t>
  </si>
  <si>
    <t xml:space="preserve"> 446 Cobra Head  –   7,000 Lumen – Fixture Only</t>
  </si>
  <si>
    <t xml:space="preserve"> 456 Cobra Head  –   7,000 Lumen – Fixture &amp; Pole</t>
  </si>
  <si>
    <t xml:space="preserve"> 447 Cobra Head  – 10,000 Lumen – Fixture Only</t>
  </si>
  <si>
    <t xml:space="preserve"> 457 Cobra Head  – 10,000 Lumen – Fixture &amp; Pole</t>
  </si>
  <si>
    <t xml:space="preserve"> 448 Cobra Head  – 20,000 Lumen – Fixture Only</t>
  </si>
  <si>
    <t xml:space="preserve"> 458 Cobra Head  – 20,000 Lumen – Fixture &amp; Pole</t>
  </si>
  <si>
    <t xml:space="preserve"> 404 Open Bottom  – 7,000 Lumen – Fixture Only</t>
  </si>
  <si>
    <t xml:space="preserve"> 421 Tear Drop –  1,000 Lumen – Fixture Only</t>
  </si>
  <si>
    <t xml:space="preserve"> 422 Tear Drop –  2,500 Lumen – Fixture Only</t>
  </si>
  <si>
    <t xml:space="preserve"> 424 Tear Drop –  4,000 Lumen – Fixture Only</t>
  </si>
  <si>
    <t xml:space="preserve"> 425 Tear Drop –  6,000 Lumen – Fixture Only</t>
  </si>
  <si>
    <t>Restricted Lighting Service - Rate RLS</t>
  </si>
  <si>
    <t>Lighting Service - Rate LS</t>
  </si>
  <si>
    <t xml:space="preserve"> 460 Direct –   12,000 Lumen – Flood Fixture &amp; Pole</t>
  </si>
  <si>
    <t xml:space="preserve"> 469 Direct –   32,000 Lumen – Flood Fixture &amp; Pole</t>
  </si>
  <si>
    <t xml:space="preserve"> 470 Direct – 107,800 Lumen – Flood Fixture &amp; Pole</t>
  </si>
  <si>
    <t xml:space="preserve"> 440 Acorn  –    4,000 Lumen – Flood Fixture &amp; Pole</t>
  </si>
  <si>
    <t xml:space="preserve"> 410 Acorn  –    4,000 Lumen – Fluted Pole</t>
  </si>
  <si>
    <t xml:space="preserve"> 466 Colonial – 4,000 Lumen – Smooth Pole</t>
  </si>
  <si>
    <t xml:space="preserve"> 412 Coach   –  5,800 Lumen – Smooth Pole</t>
  </si>
  <si>
    <t xml:space="preserve"> 413 Coach   –  9,500 Lumen – Smooth Pole</t>
  </si>
  <si>
    <t>Analysis assumes Peak Demand occurs in the Peak Period</t>
  </si>
  <si>
    <t>KU Rate</t>
  </si>
  <si>
    <t>KUUM_360</t>
  </si>
  <si>
    <t>KUUM_361</t>
  </si>
  <si>
    <t>KUUM_362</t>
  </si>
  <si>
    <t>KUUM_363</t>
  </si>
  <si>
    <t>KUUM_364</t>
  </si>
  <si>
    <t>KUUM_365</t>
  </si>
  <si>
    <t>KUUM_366</t>
  </si>
  <si>
    <t>KUUM_367</t>
  </si>
  <si>
    <t>KUUM_368</t>
  </si>
  <si>
    <t>KUUM_370</t>
  </si>
  <si>
    <t>KUUM_372</t>
  </si>
  <si>
    <t>KUUM_373</t>
  </si>
  <si>
    <t>KUUM_374</t>
  </si>
  <si>
    <t>KUUM_375</t>
  </si>
  <si>
    <t>KUUM_376</t>
  </si>
  <si>
    <t>KUUM_377</t>
  </si>
  <si>
    <t>KUUM_378</t>
  </si>
  <si>
    <t>KUUM_401</t>
  </si>
  <si>
    <t>KUUM_404</t>
  </si>
  <si>
    <t>KUUM_409</t>
  </si>
  <si>
    <t>KUUM_410</t>
  </si>
  <si>
    <t>KUUM_411</t>
  </si>
  <si>
    <t>KUUM_412</t>
  </si>
  <si>
    <t>KUUM_413</t>
  </si>
  <si>
    <t>KUUM_414</t>
  </si>
  <si>
    <t>KUUM_415</t>
  </si>
  <si>
    <t>KUUM_420</t>
  </si>
  <si>
    <t>KUUM_421</t>
  </si>
  <si>
    <t>KUUM_422</t>
  </si>
  <si>
    <t>KUUM_424</t>
  </si>
  <si>
    <t>KUUM_425</t>
  </si>
  <si>
    <t>KUUM_426</t>
  </si>
  <si>
    <t>KUUM_428</t>
  </si>
  <si>
    <t>KUUM_430</t>
  </si>
  <si>
    <t>KUUM_434</t>
  </si>
  <si>
    <t>KUUM_440</t>
  </si>
  <si>
    <t>KUUM_446</t>
  </si>
  <si>
    <t>KUUM_447</t>
  </si>
  <si>
    <t>KUUM_448</t>
  </si>
  <si>
    <t>KUUM_450</t>
  </si>
  <si>
    <t>KUUM_451</t>
  </si>
  <si>
    <t>KUUM_452</t>
  </si>
  <si>
    <t>KUUM_454</t>
  </si>
  <si>
    <t>KUUM_455</t>
  </si>
  <si>
    <t>KUUM_456</t>
  </si>
  <si>
    <t>KUUM_457</t>
  </si>
  <si>
    <t>KUUM_458</t>
  </si>
  <si>
    <t>KUUM_459</t>
  </si>
  <si>
    <t>KUUM_460</t>
  </si>
  <si>
    <t>KUUM_461</t>
  </si>
  <si>
    <t>KUUM_462</t>
  </si>
  <si>
    <t>KUUM_463</t>
  </si>
  <si>
    <t>KUUM_464</t>
  </si>
  <si>
    <t>KUUM_465</t>
  </si>
  <si>
    <t>KU</t>
  </si>
  <si>
    <t xml:space="preserve">Monthly </t>
  </si>
  <si>
    <r>
      <t xml:space="preserve">  </t>
    </r>
    <r>
      <rPr>
        <b/>
        <i/>
        <sz val="10"/>
        <rFont val="Arial"/>
        <family val="2"/>
      </rPr>
      <t>High Pressure Sodium</t>
    </r>
  </si>
  <si>
    <r>
      <t xml:space="preserve">  </t>
    </r>
    <r>
      <rPr>
        <b/>
        <i/>
        <sz val="10"/>
        <rFont val="Arial"/>
        <family val="2"/>
      </rPr>
      <t>Mercury Vapor</t>
    </r>
  </si>
  <si>
    <r>
      <t xml:space="preserve">  </t>
    </r>
    <r>
      <rPr>
        <b/>
        <i/>
        <sz val="10"/>
        <rFont val="Arial"/>
        <family val="2"/>
      </rPr>
      <t>Incandescent</t>
    </r>
  </si>
  <si>
    <t>Hours of Use</t>
  </si>
  <si>
    <t>All inputs linked to INPUT tab</t>
  </si>
  <si>
    <t>Residential (Rate RS) / Volunteer Fire Dept (Rate VFD)</t>
  </si>
  <si>
    <t>Rate LE</t>
  </si>
  <si>
    <t>Rate TE</t>
  </si>
  <si>
    <t>Traffic Energy Service - Rate TE</t>
  </si>
  <si>
    <t>Lighting Energy Service - Rate LE</t>
  </si>
  <si>
    <t xml:space="preserve">Pole </t>
  </si>
  <si>
    <t>Attachments</t>
  </si>
  <si>
    <t>per attach</t>
  </si>
  <si>
    <t>Rate RS/VFD</t>
  </si>
  <si>
    <t>PS Secondary</t>
  </si>
  <si>
    <t>PS Primary</t>
  </si>
  <si>
    <t>TOD Secondary</t>
  </si>
  <si>
    <t>TOD Primary</t>
  </si>
  <si>
    <t>RTS</t>
  </si>
  <si>
    <t>FLS</t>
  </si>
  <si>
    <t>DSM Billings</t>
  </si>
  <si>
    <t>ECR Billings</t>
  </si>
  <si>
    <t>Revenue As Billed</t>
  </si>
  <si>
    <t>DSM / kWh</t>
  </si>
  <si>
    <t>FAC / kWh</t>
  </si>
  <si>
    <t>ECR / kWh</t>
  </si>
  <si>
    <t>TOTAL</t>
  </si>
  <si>
    <t>CSR</t>
  </si>
  <si>
    <t>Minimum</t>
  </si>
  <si>
    <t>Maximum</t>
  </si>
  <si>
    <t>Variance</t>
  </si>
  <si>
    <t>Billing Factors</t>
  </si>
  <si>
    <t>DSM does not apply to Industrial Customers</t>
  </si>
  <si>
    <t>Assumes peak demand at 50% of base based on actual FLS data</t>
  </si>
  <si>
    <t>ODL (LS/RLS)</t>
  </si>
  <si>
    <t>Assumes</t>
  </si>
  <si>
    <t>ECR as % Rev</t>
  </si>
  <si>
    <t>PSP</t>
  </si>
  <si>
    <t>PSS</t>
  </si>
  <si>
    <t>TODP</t>
  </si>
  <si>
    <t>TODS</t>
  </si>
  <si>
    <t>Source: 12MonLights tab/ no base ECR included</t>
  </si>
  <si>
    <t>CURRENT - based on Rate LEV</t>
  </si>
  <si>
    <t>(factor only)</t>
  </si>
  <si>
    <t>Retail Transmission Service (Rate RTS)</t>
  </si>
  <si>
    <t>Time-of-Day Primary (Rate TODP)</t>
  </si>
  <si>
    <t>Time-of-Day Secondary (Rate TODS)</t>
  </si>
  <si>
    <t>Power Service Primary (Rate PSP)</t>
  </si>
  <si>
    <t>Power Service Secondary (Rate PSS)</t>
  </si>
  <si>
    <t>Average Usage (kWh)</t>
  </si>
  <si>
    <t>Source:  Billing Determinants file</t>
  </si>
  <si>
    <t>ratio of usage:</t>
  </si>
  <si>
    <t>Rate Case Constants</t>
  </si>
  <si>
    <t>Rate Case Constants:</t>
  </si>
  <si>
    <t>RS/VFD</t>
  </si>
  <si>
    <t>Company:</t>
  </si>
  <si>
    <t>RTOD-E</t>
  </si>
  <si>
    <t>PSC Case Number:</t>
  </si>
  <si>
    <t>RTOD-D</t>
  </si>
  <si>
    <t>Base Year:</t>
  </si>
  <si>
    <t>Forecasted Test Year:</t>
  </si>
  <si>
    <t>Schedule Description:</t>
  </si>
  <si>
    <t>LE</t>
  </si>
  <si>
    <t>Schedule Number:</t>
  </si>
  <si>
    <t>SCHEDULE N</t>
  </si>
  <si>
    <t>TE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</si>
  <si>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</si>
  <si>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</si>
  <si>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</si>
  <si>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</si>
  <si>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</si>
  <si>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</si>
  <si>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</si>
  <si>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DATA: ____BASE PERIOD__X___FORECASTED PERIOD</t>
  </si>
  <si>
    <t>WORKPAPER REFERENCE NO(S):________</t>
  </si>
  <si>
    <t>WITNESS:</t>
  </si>
  <si>
    <t xml:space="preserve">WITNESS:   </t>
  </si>
  <si>
    <t>KENTUCKY UTILITIES COMPANY</t>
  </si>
  <si>
    <t>Typical Bill Comparison under Present &amp; Proposed Rates</t>
  </si>
  <si>
    <t>AES-S</t>
  </si>
  <si>
    <t>AES-3P</t>
  </si>
  <si>
    <t>GS-3P</t>
  </si>
  <si>
    <t>GS-S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</si>
  <si>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</si>
  <si>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</si>
  <si>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</si>
  <si>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</si>
  <si>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</si>
  <si>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</si>
  <si>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</si>
  <si>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</si>
  <si>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</si>
  <si>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</si>
  <si>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Assumptions:</t>
  </si>
  <si>
    <t>Billing Factors calculated as a unit charge based on forecast period revenues and volumes</t>
  </si>
  <si>
    <t>Current and Proposed Bill calculation uses a blended rate of 5/12 of the summer rate plus 7/12 of the winter rate</t>
  </si>
  <si>
    <t>Analysis assumes Peak Demand at 50% of base demand</t>
  </si>
  <si>
    <t>DSM does not apply to this rate schedule</t>
  </si>
  <si>
    <t>Billing Factors calculated as a unit charge based on forecast period revenues and volumes and assuming October hours of usage</t>
  </si>
  <si>
    <t>Residential/VFD</t>
  </si>
  <si>
    <t>$/kWh</t>
  </si>
  <si>
    <t>Using blended rate of AES-Single &amp; AES-Three Phase</t>
  </si>
  <si>
    <t>Calculations may vary from other schedules due to rounding</t>
  </si>
  <si>
    <t>LS</t>
  </si>
  <si>
    <t>RLS</t>
  </si>
  <si>
    <t xml:space="preserve">Hours </t>
  </si>
  <si>
    <t xml:space="preserve"> of Use</t>
  </si>
  <si>
    <t>Base Rate</t>
  </si>
  <si>
    <t xml:space="preserve">   ***No customers currently on this rate***</t>
  </si>
  <si>
    <t>(Rate LEV)</t>
  </si>
  <si>
    <t>Fluctuating Load Service -Transmission (Rate FLS)</t>
  </si>
  <si>
    <t>***No KU Customers on this rate schedule***</t>
  </si>
  <si>
    <t>Fluctuating Load Service - Primary (Rate FLS) - No KU Customers on this rate schedule</t>
  </si>
  <si>
    <t>FLS - T</t>
  </si>
  <si>
    <t>FLS - P</t>
  </si>
  <si>
    <t xml:space="preserve">RTOD </t>
  </si>
  <si>
    <t>FAC + OSS Billings</t>
  </si>
  <si>
    <t>FAC+OSS</t>
  </si>
  <si>
    <t>Residential Time-of-Day Demand</t>
  </si>
  <si>
    <t>Source:  Schedule M-2.2 &amp; M2.3</t>
  </si>
  <si>
    <r>
      <t xml:space="preserve">  </t>
    </r>
    <r>
      <rPr>
        <b/>
        <i/>
        <sz val="11"/>
        <rFont val="Times New Roman"/>
        <family val="1"/>
      </rPr>
      <t>Light Emitting Diode (LED)</t>
    </r>
  </si>
  <si>
    <t xml:space="preserve">390 Cobra Head – 8,179 Lumen </t>
  </si>
  <si>
    <t xml:space="preserve">391 Cobra Head – 14,166 Lumen </t>
  </si>
  <si>
    <t xml:space="preserve">392 Cobra Head – 23,214 Lumen </t>
  </si>
  <si>
    <t xml:space="preserve">393 Cobra Head – 5,007 Lumen </t>
  </si>
  <si>
    <r>
      <t xml:space="preserve">  L</t>
    </r>
    <r>
      <rPr>
        <b/>
        <i/>
        <sz val="11"/>
        <rFont val="Times New Roman"/>
        <family val="1"/>
      </rPr>
      <t>ight Emitting Diode (LED)</t>
    </r>
  </si>
  <si>
    <t xml:space="preserve"> 396 Cobra Head  – 8,179 Lumen</t>
  </si>
  <si>
    <t xml:space="preserve"> 397 Cobra Head  – 14,166 Lumen</t>
  </si>
  <si>
    <t xml:space="preserve"> 398 Cobra Head  – 23,214 Lumen</t>
  </si>
  <si>
    <t xml:space="preserve"> 399 Cobra Head  – 5,655 Lumen</t>
  </si>
  <si>
    <t>KUUM_390</t>
  </si>
  <si>
    <t>KUUM_391</t>
  </si>
  <si>
    <t>KUUM_392</t>
  </si>
  <si>
    <t>KUUM_393</t>
  </si>
  <si>
    <t>KUUM_396</t>
  </si>
  <si>
    <t>KUUM_397</t>
  </si>
  <si>
    <t>KUUM_398</t>
  </si>
  <si>
    <t>KUUM_399</t>
  </si>
  <si>
    <t>N/A</t>
  </si>
  <si>
    <t>* Transferred from Lighting Service - Rate LS</t>
  </si>
  <si>
    <t>Other Attachment Charges:</t>
  </si>
  <si>
    <t>$  0.81 per year for each linear foot of duct.</t>
  </si>
  <si>
    <r>
      <t xml:space="preserve">  </t>
    </r>
    <r>
      <rPr>
        <b/>
        <i/>
        <sz val="10"/>
        <rFont val="Arial"/>
        <family val="2"/>
      </rPr>
      <t>Light Emitting Diode (LED)</t>
    </r>
  </si>
  <si>
    <t>Residential Time-of-Day Energy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</si>
  <si>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</si>
  <si>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</si>
  <si>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</si>
  <si>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</si>
  <si>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</si>
  <si>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</si>
  <si>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</si>
  <si>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</si>
  <si>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</si>
  <si>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FROM MAY 1, 2019 TO APRIL 30, 2020</t>
  </si>
  <si>
    <t>FORECAST PERIOD FOR THE 12 MONTHS ENDED APRIL 30, 2020</t>
  </si>
  <si>
    <t>FOR THE 12 MONTHS ENDED APRIL 30, 2020</t>
  </si>
  <si>
    <t>Rate OLS</t>
  </si>
  <si>
    <t>Rate EVC</t>
  </si>
  <si>
    <t>Rate OSL</t>
  </si>
  <si>
    <t>Electric Vehicle Charging Rate EVC</t>
  </si>
  <si>
    <t>CASE NO. 2018-00294</t>
  </si>
  <si>
    <t>EVC</t>
  </si>
  <si>
    <t>PSA</t>
  </si>
  <si>
    <t>OSL-P</t>
  </si>
  <si>
    <t>OSL-S</t>
  </si>
  <si>
    <t xml:space="preserve">    Redundant Capacity Rider</t>
  </si>
  <si>
    <t>Outdoor Sports Lighting Service OSL - Secondary</t>
  </si>
  <si>
    <t>MAY 1, 2019 TO APRIL 30, 2020</t>
  </si>
  <si>
    <t>WITNESS:   R. M. CONROY</t>
  </si>
  <si>
    <t>R. M. CONROY</t>
  </si>
  <si>
    <t>Total Energy Charge</t>
  </si>
  <si>
    <t>Pole and Structure Attachment Charges – Rate PSA</t>
  </si>
  <si>
    <t>Rate OLS - Secondary</t>
  </si>
  <si>
    <t>Rate OLS - Primary</t>
  </si>
  <si>
    <t>Solar Capacity Charges</t>
  </si>
  <si>
    <t>KC1 Cobra Head - 2500-4000 lumen</t>
  </si>
  <si>
    <t>KF1 Directional Flood - 4500-6000 lumen</t>
  </si>
  <si>
    <t>KF2 Directional Flood - 14000-17500 lumen</t>
  </si>
  <si>
    <t>KF3 Directional Flood - 22000-28000 lumen</t>
  </si>
  <si>
    <t>KF4 Directional Flood - 35000-50000 lumen</t>
  </si>
  <si>
    <t>KC1</t>
  </si>
  <si>
    <t>KF1</t>
  </si>
  <si>
    <t>KF2</t>
  </si>
  <si>
    <t>KF3</t>
  </si>
  <si>
    <t>KF4</t>
  </si>
  <si>
    <t>KUUM_KC1</t>
  </si>
  <si>
    <t>KUUM_KF1</t>
  </si>
  <si>
    <t>KUUM_KF2</t>
  </si>
  <si>
    <t>KUUM_KF3</t>
  </si>
  <si>
    <t>KUUM_KF4</t>
  </si>
  <si>
    <t>KC2</t>
  </si>
  <si>
    <t>KUUM_KC2</t>
  </si>
  <si>
    <t>KC2 Cobra Head - 2500-4000 lumen</t>
  </si>
  <si>
    <t>moved to RLS</t>
  </si>
  <si>
    <t>KA1</t>
  </si>
  <si>
    <t>KN1</t>
  </si>
  <si>
    <t>KN2</t>
  </si>
  <si>
    <t>KN3</t>
  </si>
  <si>
    <t>KN4</t>
  </si>
  <si>
    <t>KN5</t>
  </si>
  <si>
    <t>KF5</t>
  </si>
  <si>
    <t>KF6</t>
  </si>
  <si>
    <t>KF7</t>
  </si>
  <si>
    <t>KF8</t>
  </si>
  <si>
    <t>KUUM_KA1</t>
  </si>
  <si>
    <t>KUUM_KN1</t>
  </si>
  <si>
    <t>KUUM_KN2</t>
  </si>
  <si>
    <t>KUUM_KN3</t>
  </si>
  <si>
    <t>KUUM_KN4</t>
  </si>
  <si>
    <t>KUUM_KN5</t>
  </si>
  <si>
    <t>KUUM_KF5</t>
  </si>
  <si>
    <t>KUUM_KF6</t>
  </si>
  <si>
    <t>KUUM_KF7</t>
  </si>
  <si>
    <t>KUUM_KF8</t>
  </si>
  <si>
    <t>KA1 Acorn - 4000-7000 lumen</t>
  </si>
  <si>
    <t>KN1 Contemporary - 4000-7000 lumen</t>
  </si>
  <si>
    <t>KN2 Contemporary - 8000-11000 lumen</t>
  </si>
  <si>
    <t>KN5 Contemporary - 45000-50000 lumen</t>
  </si>
  <si>
    <t>KN3 Contemporary - 13500-16500 lumen</t>
  </si>
  <si>
    <t>KN4 Contemporary - 21000-28000 lumen</t>
  </si>
  <si>
    <t>KF5 Directional Flood - 4500-6000 lumen</t>
  </si>
  <si>
    <t>KF6 Directional Flood - 14000-17500 lumen</t>
  </si>
  <si>
    <t>KF7 Directional Flood - 22000-28000 lumen</t>
  </si>
  <si>
    <t>KF8 Directional Flood - 35000-50000 lumen</t>
  </si>
  <si>
    <t>KUUM_PK1</t>
  </si>
  <si>
    <t>KUUM_PK2</t>
  </si>
  <si>
    <t>KUUM_PK3</t>
  </si>
  <si>
    <t>KUUM_PK4</t>
  </si>
  <si>
    <t>PK1</t>
  </si>
  <si>
    <t>PK2</t>
  </si>
  <si>
    <t>PK3</t>
  </si>
  <si>
    <t>PK4</t>
  </si>
  <si>
    <t>PK1 Pole 1 Cobra</t>
  </si>
  <si>
    <t>PK2 Pole 2 Contemporary</t>
  </si>
  <si>
    <t>PK3 Pole 3 Post Top - Decorative Smooth</t>
  </si>
  <si>
    <t>PK4 Pole 4 Post Top - Historic Fluted</t>
  </si>
  <si>
    <t xml:space="preserve"> 428 Open Bottom – 9,500 Lumen – Fixture Only</t>
  </si>
  <si>
    <t>NA</t>
  </si>
  <si>
    <t>396 Cobra Head  – 8,179 Lumen</t>
  </si>
  <si>
    <t>397 Cobra Head  – 14,166 Lumen</t>
  </si>
  <si>
    <t>398 Cobra Head  – 23,214 Lumen</t>
  </si>
  <si>
    <t>399 Cobra Head  – 5,655 Lumen</t>
  </si>
  <si>
    <t>414 Victorian  5,800 Lumen – Fluted Pole</t>
  </si>
  <si>
    <t>415 Victorian  9,500 Lumen – Fluted Pole</t>
  </si>
  <si>
    <t>Conversion Fee</t>
  </si>
  <si>
    <t xml:space="preserve"> 450 Direct –   12,000 Lumen – Fixture Only</t>
  </si>
  <si>
    <t xml:space="preserve"> 452 Direct – 107,800 Lumen – Fixture Only</t>
  </si>
  <si>
    <t xml:space="preserve"> 409 Cobra Head – 50,000 Lumen – Fixture Only *</t>
  </si>
  <si>
    <t xml:space="preserve"> 462 Cobra Head –    5,800 Lumen – Fixture Only *</t>
  </si>
  <si>
    <t xml:space="preserve"> 472 Cobra Head –    5,800 Lumen – Ornamental *</t>
  </si>
  <si>
    <t xml:space="preserve"> 463 Cobra Head –    9,500 Lumen – Fixture Only *</t>
  </si>
  <si>
    <t xml:space="preserve"> 473 Cobra Head –    9,500 Lumen – Ornamental *</t>
  </si>
  <si>
    <t xml:space="preserve"> 464 Cobra Head –  22,000 Lumen – Fixture Only *</t>
  </si>
  <si>
    <t xml:space="preserve"> 474 Cobra Head –  22,000 Lumen – Ornamental *</t>
  </si>
  <si>
    <t xml:space="preserve"> 465 Cobra Head –  50,000 Lumen – Fixture Only *</t>
  </si>
  <si>
    <t xml:space="preserve"> 475 Cobra Head –  50,000 Lumen – Ornamental *</t>
  </si>
  <si>
    <t xml:space="preserve"> 487 Directional  –    9,500 Lumen – Fixture Only *</t>
  </si>
  <si>
    <t xml:space="preserve"> 488 Directional  –  22,000 Lumen – Fixture Only *</t>
  </si>
  <si>
    <t xml:space="preserve"> 489 Directional  –  50,000 Lumen – Fixture Only *</t>
  </si>
  <si>
    <t xml:space="preserve"> 451 Directional –   32,000 Lumen – Fixture Only *</t>
  </si>
  <si>
    <t xml:space="preserve"> 491 Contemporary –   32,000 Lumen– Fixture Only *</t>
  </si>
  <si>
    <t xml:space="preserve"> 495 Contemporary –   32,000 Lumen–Smooth Pole *</t>
  </si>
  <si>
    <t xml:space="preserve"> 401 Acorn  –    5,800 Lumen – Smooth Pole *</t>
  </si>
  <si>
    <t xml:space="preserve"> 411 Acorn  –    5,800 Lumen – Fluted Pole *</t>
  </si>
  <si>
    <t xml:space="preserve"> 420 Acorn  –    9,500 Lumen – Smooth Pole *</t>
  </si>
  <si>
    <t xml:space="preserve"> 430 Acorn  –    9,500 Lumen – Fluted Pole *</t>
  </si>
  <si>
    <t xml:space="preserve"> 467 Colonial – 5,800 Lumen – Decorative *</t>
  </si>
  <si>
    <t xml:space="preserve"> 468 Colonial – 9,500 Lumen – Decorative *</t>
  </si>
  <si>
    <t xml:space="preserve"> 492 Contemporary –  5,800 Lumen – 2nd Fixture *</t>
  </si>
  <si>
    <t xml:space="preserve"> 476 Contemporary –  5,800 Lumen – Fixture/Pole *</t>
  </si>
  <si>
    <t xml:space="preserve"> 497 Contemporary –  9,500 Lumen – 2nd Fixture *</t>
  </si>
  <si>
    <t xml:space="preserve"> 477 Contemporary –  9,500 Lumen – Fixture/Pole *</t>
  </si>
  <si>
    <t xml:space="preserve"> 498 Contemporary– 22,000 Lumen – 2nd Fixture *</t>
  </si>
  <si>
    <t xml:space="preserve"> 478 Contemporary– 22,000 Lumen – Fixture/Pole *</t>
  </si>
  <si>
    <t xml:space="preserve"> 499 Contemporary– 50,000 Lumen – 2nd Fixture *</t>
  </si>
  <si>
    <t xml:space="preserve"> 479 Contemporary– 50,000 Lumen – Fixture/Pole *</t>
  </si>
  <si>
    <t xml:space="preserve"> 300 Dark Sky – 4,000 Lumen *</t>
  </si>
  <si>
    <t xml:space="preserve"> 301 Dark Sky – 9,500 Lumen *</t>
  </si>
  <si>
    <t>SC</t>
  </si>
  <si>
    <t>CF</t>
  </si>
  <si>
    <t>Rate PSA</t>
  </si>
  <si>
    <t>per kW (Peak)</t>
  </si>
  <si>
    <t>per kW (Base)</t>
  </si>
  <si>
    <t>using OSLS billing factors since no customers are currently on rate schedule</t>
  </si>
  <si>
    <t>using blended RS billing factors</t>
  </si>
  <si>
    <t>Hours</t>
  </si>
  <si>
    <t>per hour</t>
  </si>
  <si>
    <t>**No KU customers on this rate schedule**</t>
  </si>
  <si>
    <t>$36.25 per year for each Wireless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</si>
</sst>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000_);\(&quot;$&quot;#,##0.00000\)"/>
    <numFmt numFmtId="167" formatCode="[$-409]mmm\-yy;@"/>
    <numFmt numFmtId="168" formatCode="0.0%"/>
    <numFmt numFmtId="169" formatCode="_(* #,##0.000_);_(* \(#,##0.000\);_(* &quot;-&quot;??_);_(@_)"/>
    <numFmt numFmtId="170" formatCode="_(&quot;$&quot;* #,##0_);_(&quot;$&quot;* \(#,##0\);_(&quot;$&quot;* &quot;-&quot;??_);_(@_)"/>
    <numFmt numFmtId="171" formatCode="_(&quot;$&quot;* #,##0.0000000_);_(&quot;$&quot;* \(#,##0.0000000\);_(&quot;$&quot;* &quot;-&quot;??_);_(@_)"/>
    <numFmt numFmtId="172" formatCode="0.0000%"/>
    <numFmt numFmtId="173" formatCode="0.000E+00"/>
    <numFmt numFmtId="174" formatCode="_(&quot;$&quot;* #,##0.0000_);_(&quot;$&quot;* \(#,##0.0000\);_(&quot;$&quot;* &quot;-&quot;??_);_(@_)"/>
    <numFmt numFmtId="175" formatCode="0.000"/>
    <numFmt numFmtId="176" formatCode="&quot;$&quot;#,##0.0_);[Red]\(&quot;$&quot;#,##0.0\)"/>
    <numFmt numFmtId="177" formatCode="&quot;$&quot;#,##0.00000_);[Red]\(&quot;$&quot;#,##0.00000\)"/>
    <numFmt numFmtId="178" formatCode="#,##0.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/>
      <sz val="12"/>
      <name val="Times New Roman"/>
      <family val="1"/>
    </font>
    <font>
      <sz val="8"/>
      <color rgb="FF00000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1"/>
      <color theme="4" tint="-0.249977111117893"/>
      <name val="Times New Roman"/>
      <family val="1"/>
    </font>
    <font>
      <sz val="10"/>
      <color theme="4" tint="-0.249977111117893"/>
      <name val="Arial"/>
      <family val="2"/>
    </font>
    <font>
      <i/>
      <sz val="11"/>
      <color theme="4" tint="-0.249977111117893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1" fontId="18" fillId="0" borderId="0"/>
    <xf numFmtId="0" fontId="4" fillId="0" borderId="0"/>
    <xf numFmtId="0" fontId="3" fillId="0" borderId="0"/>
    <xf numFmtId="0" fontId="4" fillId="0" borderId="0"/>
    <xf numFmtId="0" fontId="20" fillId="0" borderId="0"/>
    <xf numFmtId="9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3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textRotation="180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0" fontId="0" fillId="0" borderId="0" xfId="2" applyNumberFormat="1" applyFont="1"/>
    <xf numFmtId="10" fontId="4" fillId="0" borderId="0" xfId="2" applyNumberFormat="1"/>
    <xf numFmtId="0" fontId="0" fillId="0" borderId="0" xfId="0" applyBorder="1"/>
    <xf numFmtId="164" fontId="0" fillId="0" borderId="0" xfId="0" applyNumberFormat="1" applyBorder="1"/>
    <xf numFmtId="4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Fill="1"/>
    <xf numFmtId="10" fontId="4" fillId="0" borderId="0" xfId="2" applyNumberFormat="1" applyAlignment="1">
      <alignment horizontal="center"/>
    </xf>
    <xf numFmtId="0" fontId="5" fillId="0" borderId="0" xfId="0" applyFont="1" applyAlignment="1">
      <alignment horizontal="right" vertical="top"/>
    </xf>
    <xf numFmtId="7" fontId="0" fillId="0" borderId="0" xfId="0" applyNumberFormat="1" applyAlignment="1">
      <alignment horizontal="center"/>
    </xf>
    <xf numFmtId="7" fontId="0" fillId="0" borderId="0" xfId="0" applyNumberFormat="1"/>
    <xf numFmtId="7" fontId="5" fillId="0" borderId="0" xfId="0" applyNumberFormat="1" applyFont="1" applyAlignment="1">
      <alignment horizontal="center"/>
    </xf>
    <xf numFmtId="7" fontId="5" fillId="0" borderId="0" xfId="0" quotePrefix="1" applyNumberFormat="1" applyFont="1" applyAlignment="1">
      <alignment horizontal="center"/>
    </xf>
    <xf numFmtId="7" fontId="5" fillId="0" borderId="0" xfId="0" applyNumberFormat="1" applyFont="1"/>
    <xf numFmtId="7" fontId="0" fillId="0" borderId="0" xfId="0" applyNumberFormat="1" applyBorder="1"/>
    <xf numFmtId="7" fontId="0" fillId="0" borderId="0" xfId="0" applyNumberFormat="1" applyFill="1"/>
    <xf numFmtId="0" fontId="5" fillId="0" borderId="0" xfId="0" quotePrefix="1" applyFont="1" applyAlignment="1">
      <alignment horizontal="center"/>
    </xf>
    <xf numFmtId="10" fontId="0" fillId="0" borderId="0" xfId="2" applyNumberFormat="1" applyFont="1" applyBorder="1"/>
    <xf numFmtId="44" fontId="7" fillId="0" borderId="0" xfId="3" applyNumberFormat="1"/>
    <xf numFmtId="44" fontId="0" fillId="0" borderId="0" xfId="0" applyNumberFormat="1"/>
    <xf numFmtId="0" fontId="4" fillId="0" borderId="0" xfId="0" applyFont="1"/>
    <xf numFmtId="164" fontId="4" fillId="0" borderId="0" xfId="2" applyNumberFormat="1"/>
    <xf numFmtId="165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/>
    <xf numFmtId="166" fontId="4" fillId="0" borderId="0" xfId="0" applyNumberFormat="1" applyFont="1" applyAlignment="1">
      <alignment horizontal="center"/>
    </xf>
    <xf numFmtId="0" fontId="8" fillId="0" borderId="0" xfId="0" applyFont="1" applyFill="1"/>
    <xf numFmtId="167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8" fontId="0" fillId="0" borderId="0" xfId="2" applyNumberFormat="1" applyFont="1"/>
    <xf numFmtId="167" fontId="5" fillId="0" borderId="0" xfId="0" quotePrefix="1" applyNumberFormat="1" applyFont="1" applyAlignment="1">
      <alignment horizontal="center" wrapText="1"/>
    </xf>
    <xf numFmtId="0" fontId="5" fillId="0" borderId="3" xfId="0" quotePrefix="1" applyFon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/>
    <xf numFmtId="0" fontId="5" fillId="0" borderId="0" xfId="0" quotePrefix="1" applyFont="1" applyBorder="1" applyAlignment="1">
      <alignment horizontal="center"/>
    </xf>
    <xf numFmtId="0" fontId="7" fillId="0" borderId="0" xfId="0" quotePrefix="1" applyFont="1" applyFill="1" applyAlignment="1">
      <alignment horizontal="left"/>
    </xf>
    <xf numFmtId="0" fontId="0" fillId="0" borderId="0" xfId="0" quotePrefix="1" applyAlignment="1">
      <alignment horizontal="left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justify" vertical="center" wrapText="1"/>
    </xf>
    <xf numFmtId="0" fontId="0" fillId="0" borderId="0" xfId="0" applyAlignment="1"/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/>
    </xf>
    <xf numFmtId="0" fontId="13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3" fontId="0" fillId="0" borderId="0" xfId="0" applyNumberFormat="1" applyFill="1"/>
    <xf numFmtId="0" fontId="5" fillId="0" borderId="0" xfId="0" applyFont="1" applyFill="1"/>
    <xf numFmtId="164" fontId="0" fillId="0" borderId="0" xfId="0" applyNumberFormat="1" applyFill="1"/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4" fillId="0" borderId="0" xfId="0" applyFont="1" applyFill="1"/>
    <xf numFmtId="167" fontId="5" fillId="0" borderId="0" xfId="0" applyNumberFormat="1" applyFont="1" applyFill="1" applyAlignment="1">
      <alignment horizontal="center"/>
    </xf>
    <xf numFmtId="167" fontId="5" fillId="0" borderId="0" xfId="0" quotePrefix="1" applyNumberFormat="1" applyFont="1" applyFill="1" applyAlignment="1">
      <alignment horizontal="center" wrapText="1"/>
    </xf>
    <xf numFmtId="44" fontId="0" fillId="0" borderId="0" xfId="0" applyNumberFormat="1" applyFill="1"/>
    <xf numFmtId="168" fontId="0" fillId="0" borderId="0" xfId="2" applyNumberFormat="1" applyFont="1" applyFill="1" applyAlignment="1">
      <alignment horizont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0" xfId="0" applyFont="1" applyAlignment="1"/>
    <xf numFmtId="10" fontId="4" fillId="0" borderId="0" xfId="0" applyNumberFormat="1" applyFont="1" applyAlignment="1">
      <alignment horizontal="center"/>
    </xf>
    <xf numFmtId="166" fontId="4" fillId="0" borderId="0" xfId="0" applyNumberFormat="1" applyFont="1"/>
    <xf numFmtId="7" fontId="4" fillId="0" borderId="0" xfId="0" applyNumberFormat="1" applyFont="1"/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8" fontId="4" fillId="0" borderId="17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8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quotePrefix="1" applyFont="1" applyAlignment="1">
      <alignment horizontal="left"/>
    </xf>
    <xf numFmtId="8" fontId="4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Alignment="1"/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center"/>
    </xf>
    <xf numFmtId="8" fontId="5" fillId="0" borderId="0" xfId="0" quotePrefix="1" applyNumberFormat="1" applyFont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3" xfId="0" quotePrefix="1" applyFont="1" applyBorder="1" applyAlignment="1">
      <alignment horizontal="left"/>
    </xf>
    <xf numFmtId="170" fontId="0" fillId="0" borderId="0" xfId="0" applyNumberFormat="1"/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/>
    <xf numFmtId="165" fontId="5" fillId="0" borderId="0" xfId="0" applyNumberFormat="1" applyFont="1" applyFill="1"/>
    <xf numFmtId="10" fontId="0" fillId="0" borderId="0" xfId="2" applyNumberFormat="1" applyFont="1" applyFill="1"/>
    <xf numFmtId="164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44" fontId="0" fillId="0" borderId="1" xfId="0" applyNumberFormat="1" applyFill="1" applyBorder="1"/>
    <xf numFmtId="168" fontId="0" fillId="0" borderId="1" xfId="2" applyNumberFormat="1" applyFont="1" applyFill="1" applyBorder="1" applyAlignment="1">
      <alignment horizontal="center"/>
    </xf>
    <xf numFmtId="168" fontId="0" fillId="0" borderId="4" xfId="2" applyNumberFormat="1" applyFont="1" applyFill="1" applyBorder="1" applyAlignment="1">
      <alignment horizontal="center"/>
    </xf>
    <xf numFmtId="37" fontId="0" fillId="0" borderId="0" xfId="1" applyNumberFormat="1" applyFont="1"/>
    <xf numFmtId="171" fontId="0" fillId="0" borderId="0" xfId="0" applyNumberFormat="1"/>
    <xf numFmtId="170" fontId="0" fillId="0" borderId="0" xfId="0" applyNumberFormat="1" applyFill="1"/>
    <xf numFmtId="171" fontId="0" fillId="0" borderId="0" xfId="0" applyNumberFormat="1" applyFill="1"/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170" fontId="5" fillId="0" borderId="0" xfId="0" quotePrefix="1" applyNumberFormat="1" applyFont="1" applyAlignment="1">
      <alignment horizontal="left"/>
    </xf>
    <xf numFmtId="0" fontId="4" fillId="0" borderId="0" xfId="0" quotePrefix="1" applyFont="1" applyAlignment="1">
      <alignment horizontal="center"/>
    </xf>
    <xf numFmtId="0" fontId="5" fillId="3" borderId="0" xfId="0" applyFont="1" applyFill="1"/>
    <xf numFmtId="0" fontId="0" fillId="3" borderId="0" xfId="0" applyFill="1"/>
    <xf numFmtId="3" fontId="0" fillId="3" borderId="0" xfId="0" applyNumberFormat="1" applyFill="1"/>
    <xf numFmtId="168" fontId="0" fillId="0" borderId="0" xfId="0" applyNumberFormat="1"/>
    <xf numFmtId="168" fontId="0" fillId="0" borderId="3" xfId="2" applyNumberFormat="1" applyFont="1" applyBorder="1"/>
    <xf numFmtId="0" fontId="4" fillId="0" borderId="0" xfId="5"/>
    <xf numFmtId="0" fontId="5" fillId="0" borderId="3" xfId="5" applyFont="1" applyBorder="1"/>
    <xf numFmtId="0" fontId="3" fillId="0" borderId="0" xfId="6"/>
    <xf numFmtId="0" fontId="4" fillId="0" borderId="0" xfId="5" quotePrefix="1" applyFont="1" applyAlignment="1">
      <alignment horizontal="left"/>
    </xf>
    <xf numFmtId="0" fontId="4" fillId="0" borderId="0" xfId="5" applyFont="1"/>
    <xf numFmtId="49" fontId="4" fillId="0" borderId="0" xfId="5" applyNumberFormat="1" applyFont="1" applyAlignment="1">
      <alignment horizontal="left"/>
    </xf>
    <xf numFmtId="14" fontId="4" fillId="0" borderId="0" xfId="5" quotePrefix="1" applyNumberFormat="1" applyFont="1" applyAlignment="1">
      <alignment horizontal="left"/>
    </xf>
    <xf numFmtId="14" fontId="4" fillId="0" borderId="0" xfId="5" applyNumberFormat="1" applyFont="1" applyAlignment="1">
      <alignment horizontal="left"/>
    </xf>
    <xf numFmtId="0" fontId="4" fillId="0" borderId="0" xfId="7"/>
    <xf numFmtId="0" fontId="8" fillId="0" borderId="0" xfId="5" applyFont="1"/>
    <xf numFmtId="0" fontId="5" fillId="0" borderId="0" xfId="6" applyFont="1" applyFill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21" fillId="0" borderId="0" xfId="0" quotePrefix="1" applyFont="1" applyAlignment="1">
      <alignment horizontal="left" indent="1"/>
    </xf>
    <xf numFmtId="0" fontId="4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44" fontId="4" fillId="0" borderId="0" xfId="0" applyNumberFormat="1" applyFont="1"/>
    <xf numFmtId="168" fontId="4" fillId="0" borderId="0" xfId="2" applyNumberFormat="1" applyFont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165" fontId="4" fillId="0" borderId="0" xfId="0" applyNumberFormat="1" applyFont="1" applyFill="1"/>
    <xf numFmtId="172" fontId="0" fillId="0" borderId="0" xfId="2" applyNumberFormat="1" applyFont="1"/>
    <xf numFmtId="0" fontId="0" fillId="0" borderId="0" xfId="0" quotePrefix="1" applyFill="1" applyAlignment="1">
      <alignment horizontal="left"/>
    </xf>
    <xf numFmtId="44" fontId="0" fillId="0" borderId="0" xfId="0" applyNumberFormat="1" applyBorder="1"/>
    <xf numFmtId="0" fontId="2" fillId="0" borderId="0" xfId="6" applyFont="1"/>
    <xf numFmtId="0" fontId="4" fillId="0" borderId="0" xfId="7" quotePrefix="1" applyAlignment="1">
      <alignment horizontal="left"/>
    </xf>
    <xf numFmtId="0" fontId="4" fillId="0" borderId="0" xfId="0" applyFont="1" applyBorder="1"/>
    <xf numFmtId="0" fontId="0" fillId="0" borderId="27" xfId="0" applyBorder="1"/>
    <xf numFmtId="0" fontId="0" fillId="0" borderId="29" xfId="0" applyBorder="1"/>
    <xf numFmtId="0" fontId="0" fillId="0" borderId="26" xfId="0" applyBorder="1"/>
    <xf numFmtId="0" fontId="0" fillId="0" borderId="28" xfId="0" applyBorder="1"/>
    <xf numFmtId="0" fontId="22" fillId="0" borderId="0" xfId="6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0" fontId="5" fillId="0" borderId="3" xfId="6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9" fillId="0" borderId="0" xfId="0" quotePrefix="1" applyFont="1" applyFill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right"/>
    </xf>
    <xf numFmtId="44" fontId="5" fillId="0" borderId="0" xfId="0" applyNumberFormat="1" applyFont="1"/>
    <xf numFmtId="168" fontId="5" fillId="0" borderId="0" xfId="2" applyNumberFormat="1" applyFont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3" xfId="0" quotePrefix="1" applyFont="1" applyBorder="1" applyAlignment="1">
      <alignment horizontal="left"/>
    </xf>
    <xf numFmtId="44" fontId="5" fillId="0" borderId="0" xfId="0" applyNumberFormat="1" applyFont="1" applyBorder="1"/>
    <xf numFmtId="168" fontId="5" fillId="0" borderId="0" xfId="2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44" fontId="4" fillId="0" borderId="0" xfId="0" applyNumberFormat="1" applyFont="1" applyBorder="1"/>
    <xf numFmtId="168" fontId="4" fillId="0" borderId="0" xfId="2" applyNumberFormat="1" applyFont="1" applyBorder="1"/>
    <xf numFmtId="167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44" fontId="0" fillId="0" borderId="0" xfId="0" applyNumberFormat="1" applyFill="1" applyBorder="1"/>
    <xf numFmtId="0" fontId="5" fillId="4" borderId="3" xfId="0" quotePrefix="1" applyFont="1" applyFill="1" applyBorder="1" applyAlignment="1">
      <alignment horizontal="left"/>
    </xf>
    <xf numFmtId="0" fontId="10" fillId="0" borderId="11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8" fontId="10" fillId="0" borderId="0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30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168" fontId="4" fillId="0" borderId="0" xfId="2" applyNumberFormat="1" applyFont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0" fontId="16" fillId="0" borderId="3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7" fontId="0" fillId="0" borderId="0" xfId="1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left"/>
    </xf>
    <xf numFmtId="8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170" fontId="23" fillId="0" borderId="0" xfId="0" applyNumberFormat="1" applyFont="1" applyFill="1"/>
    <xf numFmtId="8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6" fontId="24" fillId="0" borderId="0" xfId="0" applyNumberFormat="1" applyFont="1" applyFill="1" applyAlignment="1">
      <alignment horizontal="center"/>
    </xf>
    <xf numFmtId="7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24" fillId="3" borderId="0" xfId="0" applyNumberFormat="1" applyFont="1" applyFill="1"/>
    <xf numFmtId="0" fontId="24" fillId="3" borderId="0" xfId="0" applyFont="1" applyFill="1"/>
    <xf numFmtId="3" fontId="0" fillId="0" borderId="0" xfId="0" applyNumberFormat="1" applyFill="1" applyBorder="1"/>
    <xf numFmtId="168" fontId="0" fillId="0" borderId="0" xfId="2" applyNumberFormat="1" applyFont="1" applyFill="1" applyBorder="1" applyAlignment="1">
      <alignment horizontal="center"/>
    </xf>
    <xf numFmtId="0" fontId="0" fillId="0" borderId="0" xfId="0" applyFont="1" applyFill="1"/>
    <xf numFmtId="44" fontId="24" fillId="0" borderId="0" xfId="10" applyFont="1" applyFill="1" applyAlignment="1">
      <alignment horizontal="right"/>
    </xf>
    <xf numFmtId="44" fontId="24" fillId="0" borderId="0" xfId="10" applyFont="1" applyFill="1"/>
    <xf numFmtId="49" fontId="4" fillId="0" borderId="0" xfId="5" quotePrefix="1" applyNumberFormat="1" applyFont="1" applyFill="1" applyAlignment="1">
      <alignment horizontal="left"/>
    </xf>
    <xf numFmtId="170" fontId="24" fillId="0" borderId="0" xfId="0" applyNumberFormat="1" applyFont="1" applyFill="1"/>
    <xf numFmtId="37" fontId="24" fillId="0" borderId="0" xfId="1" applyNumberFormat="1" applyFont="1" applyFill="1"/>
    <xf numFmtId="0" fontId="5" fillId="0" borderId="3" xfId="0" applyFont="1" applyFill="1" applyBorder="1" applyAlignment="1">
      <alignment horizontal="center"/>
    </xf>
    <xf numFmtId="173" fontId="0" fillId="0" borderId="0" xfId="0" applyNumberFormat="1"/>
    <xf numFmtId="8" fontId="26" fillId="0" borderId="10" xfId="0" applyNumberFormat="1" applyFont="1" applyBorder="1" applyAlignment="1">
      <alignment horizontal="left" vertical="center"/>
    </xf>
    <xf numFmtId="8" fontId="26" fillId="0" borderId="12" xfId="0" applyNumberFormat="1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8" fontId="26" fillId="0" borderId="15" xfId="0" applyNumberFormat="1" applyFont="1" applyBorder="1" applyAlignment="1">
      <alignment horizontal="left" vertical="center"/>
    </xf>
    <xf numFmtId="0" fontId="27" fillId="0" borderId="0" xfId="0" applyFont="1"/>
    <xf numFmtId="0" fontId="26" fillId="0" borderId="15" xfId="0" applyFont="1" applyBorder="1" applyAlignment="1">
      <alignment horizontal="center" vertical="center"/>
    </xf>
    <xf numFmtId="0" fontId="27" fillId="0" borderId="0" xfId="0" applyFont="1" applyFill="1"/>
    <xf numFmtId="0" fontId="26" fillId="0" borderId="20" xfId="0" applyFont="1" applyFill="1" applyBorder="1" applyAlignment="1">
      <alignment horizontal="center" vertical="center"/>
    </xf>
    <xf numFmtId="8" fontId="26" fillId="0" borderId="20" xfId="0" applyNumberFormat="1" applyFont="1" applyFill="1" applyBorder="1" applyAlignment="1">
      <alignment horizontal="left" vertical="center"/>
    </xf>
    <xf numFmtId="8" fontId="26" fillId="0" borderId="0" xfId="0" applyNumberFormat="1" applyFont="1" applyBorder="1" applyAlignment="1">
      <alignment horizontal="left" vertical="center"/>
    </xf>
    <xf numFmtId="8" fontId="26" fillId="0" borderId="0" xfId="0" applyNumberFormat="1" applyFont="1" applyFill="1" applyBorder="1" applyAlignment="1">
      <alignment horizontal="left" vertical="center"/>
    </xf>
    <xf numFmtId="0" fontId="26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8" fontId="26" fillId="0" borderId="6" xfId="0" applyNumberFormat="1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0" fillId="0" borderId="0" xfId="2" applyNumberFormat="1" applyFont="1"/>
    <xf numFmtId="8" fontId="26" fillId="0" borderId="20" xfId="0" applyNumberFormat="1" applyFont="1" applyBorder="1" applyAlignment="1">
      <alignment horizontal="left" vertical="center"/>
    </xf>
    <xf numFmtId="8" fontId="26" fillId="0" borderId="31" xfId="0" applyNumberFormat="1" applyFont="1" applyFill="1" applyBorder="1" applyAlignment="1">
      <alignment horizontal="left" vertical="center"/>
    </xf>
    <xf numFmtId="8" fontId="26" fillId="0" borderId="32" xfId="0" applyNumberFormat="1" applyFont="1" applyFill="1" applyBorder="1" applyAlignment="1">
      <alignment horizontal="left" vertical="center"/>
    </xf>
    <xf numFmtId="8" fontId="26" fillId="0" borderId="10" xfId="0" applyNumberFormat="1" applyFont="1" applyFill="1" applyBorder="1" applyAlignment="1">
      <alignment horizontal="left" vertical="center"/>
    </xf>
    <xf numFmtId="8" fontId="26" fillId="0" borderId="12" xfId="0" applyNumberFormat="1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8" fontId="26" fillId="0" borderId="6" xfId="0" applyNumberFormat="1" applyFont="1" applyFill="1" applyBorder="1" applyAlignment="1">
      <alignment horizontal="left" vertical="center"/>
    </xf>
    <xf numFmtId="8" fontId="26" fillId="0" borderId="17" xfId="0" applyNumberFormat="1" applyFont="1" applyFill="1" applyBorder="1" applyAlignment="1">
      <alignment horizontal="left" vertical="center"/>
    </xf>
    <xf numFmtId="8" fontId="26" fillId="0" borderId="17" xfId="0" applyNumberFormat="1" applyFont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44" fontId="4" fillId="0" borderId="0" xfId="0" applyNumberFormat="1" applyFont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/>
    <xf numFmtId="168" fontId="4" fillId="0" borderId="0" xfId="2" applyNumberFormat="1" applyFont="1" applyFill="1"/>
    <xf numFmtId="0" fontId="1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2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1" fillId="0" borderId="0" xfId="0" quotePrefix="1" applyFont="1" applyFill="1" applyAlignment="1">
      <alignment horizontal="left" indent="1"/>
    </xf>
    <xf numFmtId="0" fontId="5" fillId="0" borderId="0" xfId="0" applyFont="1" applyFill="1" applyBorder="1" applyAlignment="1">
      <alignment vertical="center"/>
    </xf>
    <xf numFmtId="44" fontId="5" fillId="0" borderId="0" xfId="0" applyNumberFormat="1" applyFont="1" applyFill="1"/>
    <xf numFmtId="168" fontId="5" fillId="0" borderId="0" xfId="2" applyNumberFormat="1" applyFont="1" applyFill="1"/>
    <xf numFmtId="44" fontId="5" fillId="0" borderId="0" xfId="0" applyNumberFormat="1" applyFont="1" applyFill="1" applyBorder="1"/>
    <xf numFmtId="168" fontId="5" fillId="0" borderId="0" xfId="2" applyNumberFormat="1" applyFont="1" applyFill="1" applyBorder="1"/>
    <xf numFmtId="0" fontId="9" fillId="0" borderId="0" xfId="0" applyFont="1" applyFill="1" applyAlignment="1">
      <alignment horizontal="left" vertical="center"/>
    </xf>
    <xf numFmtId="10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quotePrefix="1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0" fontId="5" fillId="0" borderId="5" xfId="0" applyFont="1" applyBorder="1" applyAlignment="1">
      <alignment vertical="center" wrapText="1"/>
    </xf>
    <xf numFmtId="8" fontId="4" fillId="0" borderId="36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4" fillId="0" borderId="37" xfId="0" applyFont="1" applyBorder="1" applyAlignment="1">
      <alignment horizontal="justify" vertical="center" wrapText="1"/>
    </xf>
    <xf numFmtId="8" fontId="4" fillId="0" borderId="37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8" fontId="4" fillId="0" borderId="38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8" fontId="4" fillId="0" borderId="3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8" fontId="4" fillId="0" borderId="5" xfId="0" applyNumberFormat="1" applyFont="1" applyBorder="1" applyAlignment="1">
      <alignment horizontal="left" vertical="center"/>
    </xf>
    <xf numFmtId="8" fontId="4" fillId="0" borderId="33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8" fontId="4" fillId="0" borderId="39" xfId="0" applyNumberFormat="1" applyFont="1" applyBorder="1" applyAlignment="1">
      <alignment horizontal="left" vertical="center"/>
    </xf>
    <xf numFmtId="0" fontId="24" fillId="0" borderId="0" xfId="5" quotePrefix="1" applyFont="1" applyFill="1" applyAlignment="1">
      <alignment horizontal="left"/>
    </xf>
    <xf numFmtId="0" fontId="24" fillId="0" borderId="0" xfId="5" applyFont="1" applyFill="1"/>
    <xf numFmtId="0" fontId="24" fillId="0" borderId="0" xfId="5" applyFont="1"/>
    <xf numFmtId="0" fontId="24" fillId="0" borderId="0" xfId="5" quotePrefix="1" applyFont="1" applyAlignment="1">
      <alignment horizontal="left"/>
    </xf>
    <xf numFmtId="174" fontId="0" fillId="0" borderId="0" xfId="0" applyNumberFormat="1"/>
    <xf numFmtId="169" fontId="29" fillId="0" borderId="0" xfId="1" applyNumberFormat="1" applyFont="1" applyFill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3" fontId="24" fillId="0" borderId="0" xfId="0" applyNumberFormat="1" applyFont="1" applyFill="1"/>
    <xf numFmtId="44" fontId="5" fillId="0" borderId="0" xfId="0" applyNumberFormat="1" applyFont="1" applyAlignment="1">
      <alignment horizontal="center"/>
    </xf>
    <xf numFmtId="44" fontId="5" fillId="0" borderId="0" xfId="10" applyFont="1" applyAlignment="1">
      <alignment horizontal="center"/>
    </xf>
    <xf numFmtId="176" fontId="0" fillId="0" borderId="0" xfId="0" applyNumberFormat="1"/>
    <xf numFmtId="177" fontId="5" fillId="0" borderId="0" xfId="0" quotePrefix="1" applyNumberFormat="1" applyFont="1" applyAlignment="1">
      <alignment horizontal="center"/>
    </xf>
    <xf numFmtId="178" fontId="0" fillId="0" borderId="0" xfId="0" applyNumberFormat="1"/>
    <xf numFmtId="170" fontId="0" fillId="0" borderId="0" xfId="0" applyNumberFormat="1" applyFill="1" applyBorder="1"/>
    <xf numFmtId="0" fontId="5" fillId="0" borderId="0" xfId="0" quotePrefix="1" applyFont="1" applyBorder="1" applyAlignment="1">
      <alignment horizontal="left"/>
    </xf>
    <xf numFmtId="170" fontId="23" fillId="0" borderId="0" xfId="0" applyNumberFormat="1" applyFont="1" applyFill="1" applyBorder="1"/>
    <xf numFmtId="170" fontId="0" fillId="0" borderId="0" xfId="0" applyNumberFormat="1" applyBorder="1"/>
    <xf numFmtId="49" fontId="5" fillId="0" borderId="0" xfId="0" applyNumberFormat="1" applyFont="1" applyFill="1" applyAlignment="1"/>
    <xf numFmtId="14" fontId="5" fillId="0" borderId="0" xfId="0" applyNumberFormat="1" applyFont="1" applyFill="1" applyAlignment="1"/>
    <xf numFmtId="8" fontId="4" fillId="0" borderId="0" xfId="0" applyNumberFormat="1" applyFont="1"/>
    <xf numFmtId="0" fontId="19" fillId="0" borderId="0" xfId="5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13">
    <cellStyle name="Comma" xfId="1" builtinId="3"/>
    <cellStyle name="Currency" xfId="10" builtinId="4"/>
    <cellStyle name="Currency 3" xfId="11"/>
    <cellStyle name="Normal" xfId="0" builtinId="0"/>
    <cellStyle name="Normal 10 2" xfId="7"/>
    <cellStyle name="Normal 13" xfId="3"/>
    <cellStyle name="Normal 2" xfId="6"/>
    <cellStyle name="Normal 2 19" xfId="4"/>
    <cellStyle name="Normal 2 2" xfId="12"/>
    <cellStyle name="Normal 47" xfId="5"/>
    <cellStyle name="Normal 48" xfId="8"/>
    <cellStyle name="Percent" xfId="2" builtinId="5"/>
    <cellStyle name="Percent 2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48"/>
  <sheetViews>
    <sheetView zoomScale="75" zoomScaleNormal="75" workbookViewId="0">
      <selection sqref="A1:C1"/>
    </sheetView>
  </sheetViews>
  <sheetFormatPr defaultColWidth="9.140625" defaultRowHeight="12.75" x14ac:dyDescent="0.2"/>
  <cols>
    <col min="1" max="1" width="39.140625" style="168" customWidth="1"/>
    <col min="2" max="2" width="3.5703125" style="168" customWidth="1"/>
    <col min="3" max="3" width="39.140625" style="168" customWidth="1"/>
    <col min="4" max="9" width="9.140625" style="168"/>
    <col min="10" max="10" width="10.42578125" style="168" customWidth="1"/>
    <col min="11" max="11" width="11.42578125" style="168" customWidth="1"/>
    <col min="12" max="12" width="15.5703125" style="168" customWidth="1"/>
    <col min="13" max="16384" width="9.140625" style="168"/>
  </cols>
  <sheetData>
    <row r="1" spans="1:12" ht="15.75" x14ac:dyDescent="0.25">
      <c r="A1" s="385" t="s">
        <v>297</v>
      </c>
      <c r="B1" s="385"/>
      <c r="C1" s="385"/>
    </row>
    <row r="2" spans="1:12" ht="15.75" x14ac:dyDescent="0.25">
      <c r="A2" s="385" t="s">
        <v>272</v>
      </c>
      <c r="B2" s="385"/>
      <c r="C2" s="385"/>
    </row>
    <row r="3" spans="1:12" ht="15.75" x14ac:dyDescent="0.25">
      <c r="A3" s="385" t="s">
        <v>364</v>
      </c>
      <c r="B3" s="385"/>
      <c r="C3" s="385"/>
    </row>
    <row r="8" spans="1:12" ht="15" x14ac:dyDescent="0.25">
      <c r="A8" s="169" t="s">
        <v>273</v>
      </c>
      <c r="B8" s="170"/>
      <c r="C8" s="170"/>
      <c r="J8" s="168">
        <v>1</v>
      </c>
      <c r="K8" s="364" t="s">
        <v>274</v>
      </c>
      <c r="L8" s="366" t="str">
        <f t="shared" ref="L8:L30" si="0">("PAGE "&amp;J8&amp;" of "&amp;$J$31)</f>
        <v>PAGE 1 of 24</v>
      </c>
    </row>
    <row r="9" spans="1:12" ht="15" x14ac:dyDescent="0.25">
      <c r="A9" s="172" t="s">
        <v>275</v>
      </c>
      <c r="B9" s="170"/>
      <c r="C9" s="173" t="s">
        <v>297</v>
      </c>
      <c r="J9" s="168">
        <f>1+J8</f>
        <v>2</v>
      </c>
      <c r="K9" s="364" t="s">
        <v>276</v>
      </c>
      <c r="L9" s="366" t="str">
        <f t="shared" si="0"/>
        <v>PAGE 2 of 24</v>
      </c>
    </row>
    <row r="10" spans="1:12" ht="15" x14ac:dyDescent="0.25">
      <c r="A10" s="172" t="s">
        <v>277</v>
      </c>
      <c r="B10" s="170"/>
      <c r="C10" s="282" t="s">
        <v>380</v>
      </c>
      <c r="J10" s="168">
        <f t="shared" ref="J10:J23" si="1">1+J9</f>
        <v>3</v>
      </c>
      <c r="K10" s="365" t="s">
        <v>278</v>
      </c>
      <c r="L10" s="366" t="str">
        <f t="shared" si="0"/>
        <v>PAGE 3 of 24</v>
      </c>
    </row>
    <row r="11" spans="1:12" ht="15" x14ac:dyDescent="0.25">
      <c r="A11" s="172" t="s">
        <v>279</v>
      </c>
      <c r="B11" s="170"/>
      <c r="C11" s="173" t="s">
        <v>365</v>
      </c>
      <c r="J11" s="168">
        <f t="shared" si="1"/>
        <v>4</v>
      </c>
      <c r="K11" s="365" t="s">
        <v>299</v>
      </c>
      <c r="L11" s="366" t="str">
        <f t="shared" si="0"/>
        <v>PAGE 4 of 24</v>
      </c>
    </row>
    <row r="12" spans="1:12" ht="15" x14ac:dyDescent="0.25">
      <c r="A12" s="170"/>
      <c r="B12" s="170"/>
      <c r="C12" s="173" t="s">
        <v>366</v>
      </c>
      <c r="J12" s="168">
        <f t="shared" si="1"/>
        <v>5</v>
      </c>
      <c r="K12" s="365" t="s">
        <v>300</v>
      </c>
      <c r="L12" s="366" t="str">
        <f t="shared" si="0"/>
        <v>PAGE 5 of 24</v>
      </c>
    </row>
    <row r="13" spans="1:12" ht="15" x14ac:dyDescent="0.25">
      <c r="A13" s="170"/>
      <c r="B13" s="170"/>
      <c r="C13" s="173" t="s">
        <v>367</v>
      </c>
      <c r="J13" s="168">
        <f t="shared" si="1"/>
        <v>6</v>
      </c>
      <c r="K13" s="364" t="s">
        <v>302</v>
      </c>
      <c r="L13" s="366" t="str">
        <f t="shared" si="0"/>
        <v>PAGE 6 of 24</v>
      </c>
    </row>
    <row r="14" spans="1:12" ht="15" x14ac:dyDescent="0.25">
      <c r="A14" s="170"/>
      <c r="B14" s="170"/>
      <c r="C14" s="173" t="s">
        <v>368</v>
      </c>
      <c r="J14" s="168">
        <f t="shared" si="1"/>
        <v>7</v>
      </c>
      <c r="K14" s="364" t="s">
        <v>301</v>
      </c>
      <c r="L14" s="366" t="str">
        <f t="shared" si="0"/>
        <v>PAGE 7 of 24</v>
      </c>
    </row>
    <row r="15" spans="1:12" ht="15" x14ac:dyDescent="0.25">
      <c r="A15" s="170"/>
      <c r="B15" s="170"/>
      <c r="C15" s="173" t="s">
        <v>369</v>
      </c>
      <c r="J15" s="168">
        <f t="shared" si="1"/>
        <v>8</v>
      </c>
      <c r="K15" s="366" t="s">
        <v>258</v>
      </c>
      <c r="L15" s="366" t="str">
        <f t="shared" si="0"/>
        <v>PAGE 8 of 24</v>
      </c>
    </row>
    <row r="16" spans="1:12" ht="15" x14ac:dyDescent="0.25">
      <c r="A16" s="170"/>
      <c r="B16" s="170"/>
      <c r="C16" s="173" t="s">
        <v>370</v>
      </c>
      <c r="J16" s="168">
        <f t="shared" si="1"/>
        <v>9</v>
      </c>
      <c r="K16" s="366" t="s">
        <v>257</v>
      </c>
      <c r="L16" s="366" t="str">
        <f t="shared" si="0"/>
        <v>PAGE 9 of 24</v>
      </c>
    </row>
    <row r="17" spans="1:12" ht="15" x14ac:dyDescent="0.25">
      <c r="A17" s="172" t="s">
        <v>280</v>
      </c>
      <c r="B17" s="170"/>
      <c r="C17" s="173" t="s">
        <v>371</v>
      </c>
      <c r="J17" s="168">
        <f t="shared" si="1"/>
        <v>10</v>
      </c>
      <c r="K17" s="367" t="s">
        <v>260</v>
      </c>
      <c r="L17" s="366" t="str">
        <f t="shared" si="0"/>
        <v>PAGE 10 of 24</v>
      </c>
    </row>
    <row r="18" spans="1:12" ht="15" x14ac:dyDescent="0.25">
      <c r="A18" s="170"/>
      <c r="B18" s="170"/>
      <c r="C18" s="173" t="s">
        <v>372</v>
      </c>
      <c r="J18" s="168">
        <f t="shared" si="1"/>
        <v>11</v>
      </c>
      <c r="K18" s="366" t="s">
        <v>259</v>
      </c>
      <c r="L18" s="366" t="str">
        <f t="shared" si="0"/>
        <v>PAGE 11 of 24</v>
      </c>
    </row>
    <row r="19" spans="1:12" ht="15" x14ac:dyDescent="0.25">
      <c r="A19" s="170"/>
      <c r="B19" s="170"/>
      <c r="C19" s="173" t="s">
        <v>387</v>
      </c>
      <c r="J19" s="168">
        <f t="shared" si="1"/>
        <v>12</v>
      </c>
      <c r="K19" s="366" t="s">
        <v>238</v>
      </c>
      <c r="L19" s="366" t="str">
        <f t="shared" si="0"/>
        <v>PAGE 12 of 24</v>
      </c>
    </row>
    <row r="20" spans="1:12" ht="15" x14ac:dyDescent="0.25">
      <c r="A20" s="170"/>
      <c r="B20" s="170"/>
      <c r="C20" s="173" t="s">
        <v>373</v>
      </c>
      <c r="J20" s="168">
        <f t="shared" si="1"/>
        <v>13</v>
      </c>
      <c r="K20" s="367" t="s">
        <v>333</v>
      </c>
      <c r="L20" s="366" t="str">
        <f t="shared" si="0"/>
        <v>PAGE 13 of 24</v>
      </c>
    </row>
    <row r="21" spans="1:12" ht="15" x14ac:dyDescent="0.25">
      <c r="A21" s="170"/>
      <c r="B21" s="170"/>
      <c r="C21" s="173" t="s">
        <v>374</v>
      </c>
      <c r="J21" s="168">
        <f t="shared" si="1"/>
        <v>14</v>
      </c>
      <c r="K21" s="367" t="s">
        <v>334</v>
      </c>
      <c r="L21" s="366" t="str">
        <f t="shared" si="0"/>
        <v>PAGE 14 of 24</v>
      </c>
    </row>
    <row r="22" spans="1:12" ht="15" x14ac:dyDescent="0.25">
      <c r="A22" s="170"/>
      <c r="B22" s="170"/>
      <c r="C22" s="173" t="s">
        <v>375</v>
      </c>
      <c r="J22" s="168">
        <f t="shared" si="1"/>
        <v>15</v>
      </c>
      <c r="K22" s="367" t="s">
        <v>323</v>
      </c>
      <c r="L22" s="366" t="str">
        <f t="shared" si="0"/>
        <v>PAGE 15 of 24</v>
      </c>
    </row>
    <row r="23" spans="1:12" x14ac:dyDescent="0.2">
      <c r="J23" s="168">
        <f t="shared" si="1"/>
        <v>16</v>
      </c>
      <c r="K23" s="367" t="s">
        <v>323</v>
      </c>
      <c r="L23" s="366" t="str">
        <f t="shared" si="0"/>
        <v>PAGE 16 of 24</v>
      </c>
    </row>
    <row r="24" spans="1:12" ht="15" x14ac:dyDescent="0.25">
      <c r="A24" s="171" t="s">
        <v>281</v>
      </c>
      <c r="B24" s="170"/>
      <c r="C24" s="174" t="s">
        <v>298</v>
      </c>
      <c r="J24" s="168">
        <f t="shared" ref="J24:J31" si="2">1+J23</f>
        <v>17</v>
      </c>
      <c r="K24" s="366" t="s">
        <v>324</v>
      </c>
      <c r="L24" s="366" t="str">
        <f t="shared" si="0"/>
        <v>PAGE 17 of 24</v>
      </c>
    </row>
    <row r="25" spans="1:12" ht="15" x14ac:dyDescent="0.25">
      <c r="A25" s="171" t="s">
        <v>283</v>
      </c>
      <c r="B25" s="170"/>
      <c r="C25" s="175" t="s">
        <v>284</v>
      </c>
      <c r="J25" s="168">
        <f t="shared" si="2"/>
        <v>18</v>
      </c>
      <c r="K25" s="366" t="s">
        <v>324</v>
      </c>
      <c r="L25" s="366" t="str">
        <f t="shared" si="0"/>
        <v>PAGE 18 of 24</v>
      </c>
    </row>
    <row r="26" spans="1:12" ht="15" x14ac:dyDescent="0.25">
      <c r="A26" s="193" t="s">
        <v>313</v>
      </c>
      <c r="B26" s="170"/>
      <c r="C26" s="194" t="s">
        <v>322</v>
      </c>
      <c r="J26" s="168">
        <f t="shared" si="2"/>
        <v>19</v>
      </c>
      <c r="K26" s="366" t="s">
        <v>282</v>
      </c>
      <c r="L26" s="366" t="str">
        <f t="shared" si="0"/>
        <v>PAGE 19 of 24</v>
      </c>
    </row>
    <row r="27" spans="1:12" ht="15" x14ac:dyDescent="0.25">
      <c r="A27" s="170"/>
      <c r="B27" s="170"/>
      <c r="C27" s="176"/>
      <c r="J27" s="168">
        <f t="shared" si="2"/>
        <v>20</v>
      </c>
      <c r="K27" s="366" t="s">
        <v>285</v>
      </c>
      <c r="L27" s="366" t="str">
        <f t="shared" si="0"/>
        <v>PAGE 20 of 24</v>
      </c>
    </row>
    <row r="28" spans="1:12" ht="15" x14ac:dyDescent="0.25">
      <c r="A28" s="169" t="s">
        <v>286</v>
      </c>
      <c r="B28" s="170"/>
      <c r="C28" s="177"/>
      <c r="J28" s="168">
        <f t="shared" si="2"/>
        <v>21</v>
      </c>
      <c r="K28" s="366" t="s">
        <v>384</v>
      </c>
      <c r="L28" s="366" t="str">
        <f t="shared" si="0"/>
        <v>PAGE 21 of 24</v>
      </c>
    </row>
    <row r="29" spans="1:12" ht="15" x14ac:dyDescent="0.25">
      <c r="A29" s="172" t="s">
        <v>287</v>
      </c>
      <c r="B29" s="170"/>
      <c r="C29" s="172" t="s">
        <v>288</v>
      </c>
      <c r="J29" s="168">
        <f t="shared" si="2"/>
        <v>22</v>
      </c>
      <c r="K29" s="366" t="s">
        <v>383</v>
      </c>
      <c r="L29" s="366" t="str">
        <f t="shared" si="0"/>
        <v>PAGE 22 of 24</v>
      </c>
    </row>
    <row r="30" spans="1:12" ht="15" x14ac:dyDescent="0.25">
      <c r="A30" s="172" t="s">
        <v>289</v>
      </c>
      <c r="B30" s="170"/>
      <c r="C30" s="172" t="s">
        <v>290</v>
      </c>
      <c r="J30" s="168">
        <f t="shared" si="2"/>
        <v>23</v>
      </c>
      <c r="K30" s="366" t="s">
        <v>381</v>
      </c>
      <c r="L30" s="366" t="str">
        <f t="shared" si="0"/>
        <v>PAGE 23 of 24</v>
      </c>
    </row>
    <row r="31" spans="1:12" ht="15" x14ac:dyDescent="0.25">
      <c r="A31" s="172" t="s">
        <v>291</v>
      </c>
      <c r="B31" s="170"/>
      <c r="C31" s="172" t="s">
        <v>292</v>
      </c>
      <c r="J31" s="168">
        <f t="shared" si="2"/>
        <v>24</v>
      </c>
      <c r="K31" s="366" t="s">
        <v>382</v>
      </c>
      <c r="L31" s="366" t="str">
        <f>("PAGE "&amp;J31&amp;" of "&amp;$J$31)</f>
        <v>PAGE 24 of 24</v>
      </c>
    </row>
    <row r="32" spans="1:12" x14ac:dyDescent="0.2">
      <c r="L32" s="366"/>
    </row>
    <row r="33" spans="1:3" ht="15" x14ac:dyDescent="0.25">
      <c r="A33" s="170"/>
      <c r="B33" s="170"/>
      <c r="C33" s="176" t="s">
        <v>293</v>
      </c>
    </row>
    <row r="34" spans="1:3" ht="15" x14ac:dyDescent="0.25">
      <c r="A34" s="170"/>
      <c r="B34" s="170"/>
      <c r="C34" s="176" t="s">
        <v>294</v>
      </c>
    </row>
    <row r="35" spans="1:3" ht="15" x14ac:dyDescent="0.25">
      <c r="A35" s="169" t="s">
        <v>295</v>
      </c>
      <c r="B35" s="170"/>
      <c r="C35" s="170"/>
    </row>
    <row r="36" spans="1:3" ht="15" x14ac:dyDescent="0.25">
      <c r="A36" s="172" t="s">
        <v>389</v>
      </c>
      <c r="B36" s="170"/>
      <c r="C36" s="172" t="s">
        <v>388</v>
      </c>
    </row>
    <row r="37" spans="1:3" ht="15" x14ac:dyDescent="0.25">
      <c r="A37" s="172"/>
      <c r="B37" s="170"/>
      <c r="C37" s="172" t="s">
        <v>296</v>
      </c>
    </row>
    <row r="38" spans="1:3" ht="15" x14ac:dyDescent="0.25">
      <c r="A38" s="170"/>
      <c r="B38" s="170"/>
      <c r="C38" s="172" t="s">
        <v>296</v>
      </c>
    </row>
    <row r="39" spans="1:3" ht="15" x14ac:dyDescent="0.25">
      <c r="A39" s="170"/>
      <c r="B39" s="170"/>
      <c r="C39" s="172" t="s">
        <v>296</v>
      </c>
    </row>
    <row r="40" spans="1:3" ht="15" x14ac:dyDescent="0.25">
      <c r="A40" s="170"/>
      <c r="B40" s="170"/>
      <c r="C40" s="172" t="s">
        <v>296</v>
      </c>
    </row>
    <row r="41" spans="1:3" ht="15" x14ac:dyDescent="0.25">
      <c r="A41" s="170"/>
      <c r="B41" s="170"/>
      <c r="C41" s="172" t="s">
        <v>296</v>
      </c>
    </row>
    <row r="42" spans="1:3" ht="15" x14ac:dyDescent="0.25">
      <c r="A42" s="170"/>
      <c r="B42" s="170"/>
      <c r="C42" s="172" t="s">
        <v>296</v>
      </c>
    </row>
    <row r="43" spans="1:3" ht="15" x14ac:dyDescent="0.25">
      <c r="A43" s="170"/>
      <c r="B43" s="170"/>
      <c r="C43" s="172" t="s">
        <v>296</v>
      </c>
    </row>
    <row r="44" spans="1:3" ht="15" x14ac:dyDescent="0.25">
      <c r="A44" s="170"/>
      <c r="B44" s="170"/>
      <c r="C44" s="172" t="s">
        <v>296</v>
      </c>
    </row>
    <row r="45" spans="1:3" ht="15" x14ac:dyDescent="0.25">
      <c r="A45" s="170"/>
      <c r="B45" s="170"/>
      <c r="C45" s="172" t="s">
        <v>296</v>
      </c>
    </row>
    <row r="46" spans="1:3" ht="15" x14ac:dyDescent="0.25">
      <c r="A46" s="170"/>
      <c r="B46" s="170"/>
      <c r="C46" s="172" t="s">
        <v>296</v>
      </c>
    </row>
    <row r="47" spans="1:3" ht="15" x14ac:dyDescent="0.25">
      <c r="A47" s="170"/>
      <c r="B47" s="170"/>
      <c r="C47" s="172" t="s">
        <v>296</v>
      </c>
    </row>
    <row r="48" spans="1:3" ht="15" x14ac:dyDescent="0.25">
      <c r="A48" s="170"/>
      <c r="B48" s="170"/>
      <c r="C48" s="172" t="s">
        <v>296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F42"/>
  <sheetViews>
    <sheetView view="pageBreakPreview" zoomScaleNormal="80" zoomScaleSheetLayoutView="100" workbookViewId="0">
      <selection sqref="A1:L1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0.5703125" bestFit="1" customWidth="1"/>
    <col min="12" max="12" width="9.28515625" bestFit="1" customWidth="1"/>
    <col min="13" max="16" width="3.5703125" customWidth="1"/>
    <col min="17" max="17" width="11.85546875" customWidth="1"/>
    <col min="18" max="18" width="9.85546875" customWidth="1"/>
    <col min="19" max="20" width="9.5703125" customWidth="1"/>
    <col min="21" max="21" width="7.140625" customWidth="1"/>
    <col min="22" max="22" width="11.5703125" customWidth="1"/>
    <col min="23" max="23" width="9.5703125" customWidth="1"/>
    <col min="27" max="28" width="3" customWidth="1"/>
    <col min="30" max="30" width="2.7109375" customWidth="1"/>
  </cols>
  <sheetData>
    <row r="1" spans="1:32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32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32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32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32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32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32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4" t="str">
        <f>+'Rate Case Constants'!C25</f>
        <v>SCHEDULE N</v>
      </c>
    </row>
    <row r="8" spans="1:32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8" t="str">
        <f>+'Rate Case Constants'!L14</f>
        <v>PAGE 7 of 24</v>
      </c>
    </row>
    <row r="9" spans="1:32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8" t="str">
        <f>+'Rate Case Constants'!C36</f>
        <v>WITNESS:   R. M. CONROY</v>
      </c>
      <c r="Q9" s="31"/>
    </row>
    <row r="10" spans="1:32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8"/>
      <c r="Q10" s="85" t="s">
        <v>71</v>
      </c>
      <c r="R10">
        <f>+INPUT!G56</f>
        <v>-1.9001403910553353E-3</v>
      </c>
    </row>
    <row r="11" spans="1:32" x14ac:dyDescent="0.2">
      <c r="A11" s="126" t="s">
        <v>79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85" t="s">
        <v>73</v>
      </c>
      <c r="R11" s="31">
        <f>+INPUT!H56</f>
        <v>9.5119456892753316E-4</v>
      </c>
      <c r="S11" s="31"/>
      <c r="T11" s="31"/>
      <c r="U11" s="31"/>
      <c r="V11" s="34"/>
      <c r="W11" s="31"/>
      <c r="X11" s="31"/>
      <c r="Y11" s="31"/>
      <c r="Z11" s="31"/>
    </row>
    <row r="12" spans="1:32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85" t="s">
        <v>72</v>
      </c>
      <c r="R12" s="31">
        <f>+INPUT!I56</f>
        <v>1.1608114609436162E-2</v>
      </c>
      <c r="S12" s="31"/>
      <c r="T12" s="31"/>
      <c r="U12" s="31"/>
      <c r="V12" s="31"/>
      <c r="W12" s="31"/>
      <c r="X12" s="31"/>
      <c r="Y12" s="31"/>
      <c r="Z12" s="31"/>
    </row>
    <row r="13" spans="1:32" x14ac:dyDescent="0.2">
      <c r="A13" s="31"/>
      <c r="B13" s="31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 t="s">
        <v>312</v>
      </c>
      <c r="M13" s="31"/>
      <c r="N13" s="31"/>
      <c r="O13" s="31"/>
      <c r="P13" s="31"/>
      <c r="Q13" s="31"/>
      <c r="R13" s="31"/>
      <c r="S13" s="31"/>
      <c r="U13" s="31"/>
      <c r="V13" s="31"/>
      <c r="W13" s="31"/>
      <c r="X13" s="31"/>
      <c r="Y13" s="31"/>
      <c r="Z13" s="31"/>
    </row>
    <row r="14" spans="1:32" x14ac:dyDescent="0.2">
      <c r="C14" s="200" t="s">
        <v>327</v>
      </c>
      <c r="D14" s="200" t="s">
        <v>327</v>
      </c>
      <c r="G14" s="17"/>
      <c r="H14" s="17"/>
      <c r="I14" s="17"/>
      <c r="J14" s="3" t="s">
        <v>5</v>
      </c>
      <c r="K14" s="3" t="s">
        <v>5</v>
      </c>
      <c r="Q14" s="48" t="s">
        <v>59</v>
      </c>
      <c r="R14" s="48"/>
      <c r="S14" s="48"/>
      <c r="T14" s="3" t="s">
        <v>72</v>
      </c>
      <c r="V14" s="48" t="s">
        <v>60</v>
      </c>
      <c r="W14" s="48"/>
      <c r="X14" s="48"/>
      <c r="Y14" s="3" t="s">
        <v>72</v>
      </c>
      <c r="Z14" s="58"/>
    </row>
    <row r="15" spans="1:32" x14ac:dyDescent="0.2">
      <c r="C15" s="3" t="s">
        <v>1</v>
      </c>
      <c r="D15" s="3" t="s">
        <v>74</v>
      </c>
      <c r="E15" s="3"/>
      <c r="F15" s="3"/>
      <c r="G15" s="392" t="s">
        <v>251</v>
      </c>
      <c r="H15" s="392"/>
      <c r="I15" s="393"/>
      <c r="J15" s="3" t="s">
        <v>1</v>
      </c>
      <c r="K15" s="3" t="s">
        <v>74</v>
      </c>
      <c r="L15" s="3"/>
      <c r="Q15" s="27" t="s">
        <v>62</v>
      </c>
      <c r="R15" s="3"/>
      <c r="S15" s="27"/>
      <c r="T15" s="3" t="s">
        <v>1</v>
      </c>
      <c r="V15" s="27" t="s">
        <v>62</v>
      </c>
      <c r="W15" s="3"/>
      <c r="X15" s="27"/>
      <c r="Y15" s="3" t="s">
        <v>1</v>
      </c>
      <c r="Z15" s="27"/>
    </row>
    <row r="16" spans="1:32" x14ac:dyDescent="0.2">
      <c r="A16" s="3"/>
      <c r="B16" s="3"/>
      <c r="C16" s="3" t="s">
        <v>4</v>
      </c>
      <c r="D16" s="3" t="s">
        <v>4</v>
      </c>
      <c r="E16" s="3" t="s">
        <v>75</v>
      </c>
      <c r="F16" s="3" t="s">
        <v>75</v>
      </c>
      <c r="G16" s="87" t="s">
        <v>337</v>
      </c>
      <c r="H16" s="87" t="s">
        <v>73</v>
      </c>
      <c r="I16" s="87" t="s">
        <v>72</v>
      </c>
      <c r="J16" s="3" t="s">
        <v>4</v>
      </c>
      <c r="K16" s="3" t="s">
        <v>4</v>
      </c>
      <c r="L16" s="3" t="s">
        <v>75</v>
      </c>
      <c r="M16" s="3"/>
      <c r="N16" s="3"/>
      <c r="O16" s="3"/>
      <c r="P16" s="3"/>
      <c r="Q16" s="27" t="s">
        <v>61</v>
      </c>
      <c r="R16" s="3" t="s">
        <v>56</v>
      </c>
      <c r="S16" s="27" t="s">
        <v>5</v>
      </c>
      <c r="T16" s="3" t="s">
        <v>76</v>
      </c>
      <c r="V16" s="27" t="s">
        <v>61</v>
      </c>
      <c r="W16" s="3" t="s">
        <v>56</v>
      </c>
      <c r="X16" s="27" t="s">
        <v>5</v>
      </c>
      <c r="Y16" s="3" t="s">
        <v>76</v>
      </c>
      <c r="Z16" s="27"/>
      <c r="AB16" s="2"/>
      <c r="AC16" s="3" t="s">
        <v>6</v>
      </c>
      <c r="AD16" s="3"/>
      <c r="AE16" s="3" t="s">
        <v>8</v>
      </c>
      <c r="AF16" s="3"/>
    </row>
    <row r="17" spans="1:32" x14ac:dyDescent="0.2">
      <c r="A17" s="3" t="s">
        <v>49</v>
      </c>
      <c r="B17" s="3"/>
      <c r="C17" s="3"/>
      <c r="D17" s="3"/>
      <c r="E17" s="3" t="s">
        <v>69</v>
      </c>
      <c r="F17" s="27" t="s">
        <v>70</v>
      </c>
      <c r="G17" s="90"/>
      <c r="H17" s="90"/>
      <c r="I17" s="91"/>
      <c r="J17" s="3" t="s">
        <v>69</v>
      </c>
      <c r="K17" s="3" t="s">
        <v>69</v>
      </c>
      <c r="L17" s="27" t="s">
        <v>70</v>
      </c>
      <c r="M17" s="3"/>
      <c r="N17" s="3"/>
      <c r="O17" s="3"/>
      <c r="P17" s="3"/>
      <c r="Q17" s="188" t="s">
        <v>3</v>
      </c>
      <c r="R17" s="82" t="s">
        <v>3</v>
      </c>
      <c r="S17" s="188" t="s">
        <v>4</v>
      </c>
      <c r="T17" s="82" t="s">
        <v>3</v>
      </c>
      <c r="V17" s="188" t="s">
        <v>3</v>
      </c>
      <c r="W17" s="82" t="s">
        <v>3</v>
      </c>
      <c r="X17" s="188" t="s">
        <v>4</v>
      </c>
      <c r="Y17" s="82" t="s">
        <v>3</v>
      </c>
      <c r="Z17" s="59"/>
      <c r="AB17" s="2"/>
      <c r="AC17" s="3" t="s">
        <v>7</v>
      </c>
      <c r="AD17" s="3"/>
      <c r="AE17" s="3" t="s">
        <v>7</v>
      </c>
      <c r="AF17" s="3"/>
    </row>
    <row r="18" spans="1:32" x14ac:dyDescent="0.2">
      <c r="A18" s="82"/>
      <c r="B18" s="82"/>
      <c r="C18" s="82"/>
      <c r="D18" s="82"/>
      <c r="E18" s="204" t="str">
        <f>("[ "&amp;D13&amp;" - "&amp;C13&amp;" ]")</f>
        <v>[ B - A ]</v>
      </c>
      <c r="F18" s="204" t="str">
        <f>("[ "&amp;E13&amp;" / "&amp;C13&amp;" ]")</f>
        <v>[ C / A ]</v>
      </c>
      <c r="G18" s="205"/>
      <c r="H18" s="205"/>
      <c r="I18" s="205"/>
      <c r="J18" s="204" t="str">
        <f>("["&amp;C13&amp;"+"&amp;$G$13&amp;"+"&amp;$H$13&amp;"+"&amp;$I$13&amp;"]")</f>
        <v>[A+E+F+G]</v>
      </c>
      <c r="K18" s="204" t="str">
        <f>("["&amp;D13&amp;"+"&amp;$G$13&amp;"+"&amp;$H$13&amp;"+"&amp;$I$13&amp;"]")</f>
        <v>[B+E+F+G]</v>
      </c>
      <c r="L18" s="204" t="str">
        <f>("[("&amp;K13&amp;" - "&amp;J13&amp;")/"&amp;J13&amp;"]")</f>
        <v>[(I - H)/H]</v>
      </c>
      <c r="M18" s="3"/>
      <c r="N18" s="3"/>
      <c r="O18" s="3"/>
      <c r="P18" s="3"/>
      <c r="Q18" s="27"/>
      <c r="R18" s="33">
        <f>+INPUT!$F$6</f>
        <v>0.10489999999999999</v>
      </c>
      <c r="S18" s="27"/>
      <c r="T18" s="42"/>
      <c r="V18" s="27"/>
      <c r="W18" s="33">
        <f>INPUT!$F$27</f>
        <v>0.11379</v>
      </c>
      <c r="X18" s="27"/>
      <c r="Y18" s="42"/>
      <c r="Z18" s="27"/>
      <c r="AB18" s="2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7"/>
      <c r="R19" s="3" t="s">
        <v>14</v>
      </c>
      <c r="S19" s="27"/>
      <c r="T19" s="3"/>
      <c r="V19" s="27"/>
      <c r="W19" s="3" t="s">
        <v>14</v>
      </c>
      <c r="X19" s="27"/>
      <c r="Y19" s="3"/>
      <c r="Z19" s="27"/>
      <c r="AB19" s="2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87"/>
      <c r="H20" s="87"/>
      <c r="I20" s="87"/>
      <c r="J20" s="87"/>
      <c r="K20" s="3"/>
      <c r="L20" s="3"/>
      <c r="M20" s="3"/>
      <c r="N20" s="3"/>
      <c r="O20" s="3"/>
      <c r="P20" s="3"/>
      <c r="R20" s="3"/>
      <c r="S20" s="3"/>
      <c r="T20" s="3"/>
      <c r="W20" s="3"/>
      <c r="X20" s="3"/>
      <c r="Y20" s="3"/>
      <c r="Z20" s="3"/>
    </row>
    <row r="21" spans="1:32" x14ac:dyDescent="0.2">
      <c r="A21" s="1">
        <v>500</v>
      </c>
      <c r="C21" s="6">
        <f>+S21</f>
        <v>102.85</v>
      </c>
      <c r="D21" s="6">
        <f>+X21</f>
        <v>107.42125</v>
      </c>
      <c r="E21" s="30">
        <f>+D21-C21</f>
        <v>4.5712500000000063</v>
      </c>
      <c r="F21" s="56">
        <f>ROUND(+E21/C21,4)</f>
        <v>4.4400000000000002E-2</v>
      </c>
      <c r="G21" s="92">
        <f>ROUND($R$10*$A21,2)</f>
        <v>-0.95</v>
      </c>
      <c r="H21" s="92">
        <f>ROUND($R$11*$A21,2)</f>
        <v>0.48</v>
      </c>
      <c r="I21" s="92">
        <f>ROUND($R$12*$A21,2)</f>
        <v>5.8</v>
      </c>
      <c r="J21" s="92">
        <f>+C21+G21+H21+I21</f>
        <v>108.17999999999999</v>
      </c>
      <c r="K21" s="30">
        <f>+D21+G21+H21+I21</f>
        <v>112.75125</v>
      </c>
      <c r="L21" s="56">
        <f>ROUND((K21-J21)/J21,4)</f>
        <v>4.2299999999999997E-2</v>
      </c>
      <c r="Q21" s="7">
        <f>+INPUT!$F$4</f>
        <v>50.4</v>
      </c>
      <c r="R21" s="6">
        <f>A21*$R$18</f>
        <v>52.449999999999996</v>
      </c>
      <c r="S21" s="6">
        <f>Q21+R21</f>
        <v>102.85</v>
      </c>
      <c r="T21" s="6"/>
      <c r="V21" s="7">
        <f>INPUT!$F$25</f>
        <v>50.526249999999997</v>
      </c>
      <c r="W21" s="6">
        <f>+$A21*W$18</f>
        <v>56.895000000000003</v>
      </c>
      <c r="X21" s="6">
        <f>V21+W21</f>
        <v>107.42125</v>
      </c>
      <c r="Y21" s="6"/>
      <c r="Z21" s="6"/>
      <c r="AC21" s="6">
        <f>X21-S21</f>
        <v>4.5712500000000063</v>
      </c>
      <c r="AE21" s="8">
        <f>X21/S21-1</f>
        <v>4.4445794846864395E-2</v>
      </c>
      <c r="AF21" s="8"/>
    </row>
    <row r="22" spans="1:32" x14ac:dyDescent="0.2">
      <c r="G22" s="17"/>
      <c r="H22" s="17"/>
      <c r="I22" s="17"/>
      <c r="J22" s="17"/>
      <c r="Q22" s="7"/>
      <c r="R22" s="6"/>
      <c r="S22" s="6"/>
      <c r="T22" s="6"/>
      <c r="V22" s="7"/>
      <c r="W22" s="6"/>
      <c r="X22" s="6"/>
      <c r="Y22" s="6"/>
      <c r="Z22" s="6"/>
      <c r="AE22" s="8"/>
      <c r="AF22" s="8"/>
    </row>
    <row r="23" spans="1:32" x14ac:dyDescent="0.2">
      <c r="A23" s="1">
        <v>1000</v>
      </c>
      <c r="C23" s="6">
        <f>+S23</f>
        <v>155.29999999999998</v>
      </c>
      <c r="D23" s="6">
        <f>+X23</f>
        <v>164.31625</v>
      </c>
      <c r="E23" s="30">
        <f>+D23-C23</f>
        <v>9.0162500000000136</v>
      </c>
      <c r="F23" s="56">
        <f>ROUND(+E23/C23,4)</f>
        <v>5.8099999999999999E-2</v>
      </c>
      <c r="G23" s="92">
        <f>ROUND($R$10*$A23,2)</f>
        <v>-1.9</v>
      </c>
      <c r="H23" s="92">
        <f>ROUND($R$11*$A23,2)</f>
        <v>0.95</v>
      </c>
      <c r="I23" s="92">
        <f>ROUND($R$12*$A23,2)</f>
        <v>11.61</v>
      </c>
      <c r="J23" s="92">
        <f>+C23+G23+H23+I23</f>
        <v>165.95999999999998</v>
      </c>
      <c r="K23" s="30">
        <f>+D23+G23+H23+I23</f>
        <v>174.97624999999999</v>
      </c>
      <c r="L23" s="56">
        <f>ROUND((K23-J23)/J23,4)</f>
        <v>5.4300000000000001E-2</v>
      </c>
      <c r="Q23" s="7">
        <f>$Q$21</f>
        <v>50.4</v>
      </c>
      <c r="R23" s="6">
        <f>A23*$R$18</f>
        <v>104.89999999999999</v>
      </c>
      <c r="S23" s="6">
        <f>Q23+R23</f>
        <v>155.29999999999998</v>
      </c>
      <c r="T23" s="6"/>
      <c r="V23" s="7">
        <f>+$V$21</f>
        <v>50.526249999999997</v>
      </c>
      <c r="W23" s="6">
        <f>+$A23*W$18</f>
        <v>113.79</v>
      </c>
      <c r="X23" s="6">
        <f>V23+W23</f>
        <v>164.31625</v>
      </c>
      <c r="Y23" s="6"/>
      <c r="Z23" s="6"/>
      <c r="AC23" s="6">
        <f>X23-S23</f>
        <v>9.0162500000000136</v>
      </c>
      <c r="AE23" s="8">
        <f>X23/S23-1</f>
        <v>5.8056986477785122E-2</v>
      </c>
      <c r="AF23" s="8"/>
    </row>
    <row r="24" spans="1:32" x14ac:dyDescent="0.2">
      <c r="C24" s="6"/>
      <c r="D24" s="6"/>
      <c r="E24" s="30"/>
      <c r="F24" s="56"/>
      <c r="G24" s="92"/>
      <c r="H24" s="92"/>
      <c r="I24" s="92"/>
      <c r="J24" s="92"/>
      <c r="K24" s="30"/>
      <c r="L24" s="56"/>
      <c r="Q24" s="57"/>
      <c r="R24" s="6"/>
      <c r="S24" s="6"/>
      <c r="T24" s="6"/>
      <c r="V24" s="7"/>
      <c r="W24" s="6"/>
      <c r="X24" s="6"/>
      <c r="Y24" s="6"/>
      <c r="Z24" s="6"/>
      <c r="AE24" s="28"/>
      <c r="AF24" s="28"/>
    </row>
    <row r="25" spans="1:32" s="10" customFormat="1" x14ac:dyDescent="0.2">
      <c r="A25" s="1">
        <v>2500</v>
      </c>
      <c r="B25"/>
      <c r="C25" s="6">
        <f>+S25</f>
        <v>312.64999999999998</v>
      </c>
      <c r="D25" s="6">
        <f>+X25</f>
        <v>335.00125000000003</v>
      </c>
      <c r="E25" s="30">
        <f>+D25-C25</f>
        <v>22.35125000000005</v>
      </c>
      <c r="F25" s="56">
        <f>ROUND(+E25/C25,4)</f>
        <v>7.1499999999999994E-2</v>
      </c>
      <c r="G25" s="92">
        <f>ROUND($R$10*$A25,2)</f>
        <v>-4.75</v>
      </c>
      <c r="H25" s="92">
        <f>ROUND($R$11*$A25,2)</f>
        <v>2.38</v>
      </c>
      <c r="I25" s="92">
        <f>ROUND($R$12*$A25,2)</f>
        <v>29.02</v>
      </c>
      <c r="J25" s="92">
        <f>+C25+G25+H25+I25</f>
        <v>339.29999999999995</v>
      </c>
      <c r="K25" s="30">
        <f>+D25+G25+H25+I25</f>
        <v>361.65125</v>
      </c>
      <c r="L25" s="56">
        <f>ROUND((K25-J25)/J25,4)</f>
        <v>6.59E-2</v>
      </c>
      <c r="Q25" s="57">
        <f>$Q$21</f>
        <v>50.4</v>
      </c>
      <c r="R25" s="6">
        <f>A25*$R$18</f>
        <v>262.25</v>
      </c>
      <c r="S25" s="11">
        <f>Q25+R25</f>
        <v>312.64999999999998</v>
      </c>
      <c r="T25" s="6"/>
      <c r="V25" s="7">
        <f>+$V$21</f>
        <v>50.526249999999997</v>
      </c>
      <c r="W25" s="6">
        <f>+$A25*W$18</f>
        <v>284.47500000000002</v>
      </c>
      <c r="X25" s="11">
        <f>V25+W25</f>
        <v>335.00125000000003</v>
      </c>
      <c r="Y25" s="6"/>
      <c r="Z25" s="11"/>
      <c r="AC25" s="11">
        <f>X25-S25</f>
        <v>22.35125000000005</v>
      </c>
      <c r="AE25" s="28">
        <f>X25/S25-1</f>
        <v>7.1489684951223653E-2</v>
      </c>
      <c r="AF25" s="28"/>
    </row>
    <row r="26" spans="1:32" x14ac:dyDescent="0.2">
      <c r="G26" s="17"/>
      <c r="H26" s="17"/>
      <c r="I26" s="17"/>
      <c r="J26" s="17"/>
      <c r="Q26" s="7"/>
      <c r="R26" s="6"/>
      <c r="S26" s="6"/>
      <c r="T26" s="6"/>
      <c r="V26" s="7"/>
      <c r="W26" s="6"/>
      <c r="X26" s="6"/>
      <c r="Y26" s="6"/>
      <c r="Z26" s="6"/>
      <c r="AE26" s="8"/>
      <c r="AF26" s="8"/>
    </row>
    <row r="27" spans="1:32" x14ac:dyDescent="0.2">
      <c r="A27" s="14">
        <v>5000</v>
      </c>
      <c r="C27" s="6">
        <f>+S27</f>
        <v>574.9</v>
      </c>
      <c r="D27" s="6">
        <f>+X27</f>
        <v>619.47625000000005</v>
      </c>
      <c r="E27" s="30">
        <f>+D27-C27</f>
        <v>44.576250000000073</v>
      </c>
      <c r="F27" s="56">
        <f>ROUND(+E27/C27,4)</f>
        <v>7.7499999999999999E-2</v>
      </c>
      <c r="G27" s="92">
        <f>ROUND($R$10*$A27,2)</f>
        <v>-9.5</v>
      </c>
      <c r="H27" s="92">
        <f>ROUND($R$11*$A27,2)</f>
        <v>4.76</v>
      </c>
      <c r="I27" s="92">
        <f>ROUND($R$12*$A27,2)</f>
        <v>58.04</v>
      </c>
      <c r="J27" s="92">
        <f>+C27+G27+H27+I27</f>
        <v>628.19999999999993</v>
      </c>
      <c r="K27" s="30">
        <f>+D27+G27+H27+I27</f>
        <v>672.77625</v>
      </c>
      <c r="L27" s="56">
        <f>ROUND((K27-J27)/J27,4)</f>
        <v>7.0999999999999994E-2</v>
      </c>
      <c r="Q27" s="7">
        <f>$Q$21</f>
        <v>50.4</v>
      </c>
      <c r="R27" s="6">
        <f>A27*$R$18</f>
        <v>524.5</v>
      </c>
      <c r="S27" s="6">
        <f>Q27+R27</f>
        <v>574.9</v>
      </c>
      <c r="T27" s="6"/>
      <c r="V27" s="7">
        <f>+$V$21</f>
        <v>50.526249999999997</v>
      </c>
      <c r="W27" s="6">
        <f>+$A27*W$18</f>
        <v>568.95000000000005</v>
      </c>
      <c r="X27" s="6">
        <f>V27+W27</f>
        <v>619.47625000000005</v>
      </c>
      <c r="Y27" s="6"/>
      <c r="Z27" s="6"/>
      <c r="AC27" s="6">
        <f>X27-S27</f>
        <v>44.576250000000073</v>
      </c>
      <c r="AE27" s="8">
        <f>X27/S27-1</f>
        <v>7.7537397808314701E-2</v>
      </c>
      <c r="AF27" s="8"/>
    </row>
    <row r="28" spans="1:32" x14ac:dyDescent="0.2">
      <c r="G28" s="17"/>
      <c r="H28" s="17"/>
      <c r="I28" s="17"/>
      <c r="J28" s="17"/>
      <c r="Q28" s="7"/>
      <c r="R28" s="6"/>
      <c r="S28" s="6"/>
      <c r="T28" s="6"/>
      <c r="V28" s="7"/>
      <c r="W28" s="6"/>
      <c r="X28" s="6"/>
      <c r="Y28" s="6"/>
      <c r="Z28" s="6"/>
      <c r="AE28" s="8"/>
      <c r="AF28" s="8"/>
    </row>
    <row r="29" spans="1:32" x14ac:dyDescent="0.2">
      <c r="A29" s="1">
        <v>7500</v>
      </c>
      <c r="C29" s="6">
        <f>+S29</f>
        <v>837.15</v>
      </c>
      <c r="D29" s="6">
        <f>+X29</f>
        <v>903.95125000000007</v>
      </c>
      <c r="E29" s="30">
        <f>+D29-C29</f>
        <v>66.801250000000095</v>
      </c>
      <c r="F29" s="56">
        <f>ROUND(+E29/C29,4)</f>
        <v>7.9799999999999996E-2</v>
      </c>
      <c r="G29" s="92">
        <f>ROUND($R$10*$A29,2)</f>
        <v>-14.25</v>
      </c>
      <c r="H29" s="92">
        <f>ROUND($R$11*$A29,2)</f>
        <v>7.13</v>
      </c>
      <c r="I29" s="92">
        <f>ROUND($R$12*$A29,2)</f>
        <v>87.06</v>
      </c>
      <c r="J29" s="92">
        <f>+C29+G29+H29+I29</f>
        <v>917.08999999999992</v>
      </c>
      <c r="K29" s="30">
        <f>+D29+G29+H29+I29</f>
        <v>983.89125000000013</v>
      </c>
      <c r="L29" s="56">
        <f>ROUND((K29-J29)/J29,4)</f>
        <v>7.2800000000000004E-2</v>
      </c>
      <c r="Q29" s="7">
        <f>$Q$21</f>
        <v>50.4</v>
      </c>
      <c r="R29" s="6">
        <f>A29*$R$18</f>
        <v>786.75</v>
      </c>
      <c r="S29" s="6">
        <f>Q29+R29</f>
        <v>837.15</v>
      </c>
      <c r="T29" s="6"/>
      <c r="V29" s="7">
        <f>+$V$21</f>
        <v>50.526249999999997</v>
      </c>
      <c r="W29" s="6">
        <f>+$A29*W$18</f>
        <v>853.42500000000007</v>
      </c>
      <c r="X29" s="6">
        <f>V29+W29</f>
        <v>903.95125000000007</v>
      </c>
      <c r="Y29" s="6"/>
      <c r="Z29" s="6"/>
      <c r="AC29" s="6">
        <f>X29-S29</f>
        <v>66.801250000000095</v>
      </c>
      <c r="AE29" s="8">
        <f>X29/S29-1</f>
        <v>7.9796034163531093E-2</v>
      </c>
      <c r="AF29" s="8"/>
    </row>
    <row r="30" spans="1:32" x14ac:dyDescent="0.2">
      <c r="G30" s="17"/>
      <c r="H30" s="17"/>
      <c r="I30" s="17"/>
      <c r="J30" s="17"/>
      <c r="Q30" s="7"/>
      <c r="R30" s="6"/>
      <c r="S30" s="6"/>
      <c r="T30" s="6"/>
      <c r="V30" s="7"/>
      <c r="W30" s="6"/>
      <c r="X30" s="6"/>
      <c r="Y30" s="6"/>
      <c r="Z30" s="6"/>
      <c r="AE30" s="8"/>
      <c r="AF30" s="8"/>
    </row>
    <row r="31" spans="1:32" x14ac:dyDescent="0.2">
      <c r="A31" s="1">
        <v>10000</v>
      </c>
      <c r="C31" s="6">
        <f>+S31</f>
        <v>1099.4000000000001</v>
      </c>
      <c r="D31" s="6">
        <f>+X31</f>
        <v>1188.42625</v>
      </c>
      <c r="E31" s="30">
        <f>+D31-C31</f>
        <v>89.026249999999891</v>
      </c>
      <c r="F31" s="56">
        <f>ROUND(+E31/C31,4)</f>
        <v>8.1000000000000003E-2</v>
      </c>
      <c r="G31" s="92">
        <f>ROUND($R$10*$A31,2)</f>
        <v>-19</v>
      </c>
      <c r="H31" s="92">
        <f>ROUND($R$11*$A31,2)</f>
        <v>9.51</v>
      </c>
      <c r="I31" s="92">
        <f>ROUND($R$12*$A31,2)</f>
        <v>116.08</v>
      </c>
      <c r="J31" s="92">
        <f>+C31+G31+H31+I31</f>
        <v>1205.99</v>
      </c>
      <c r="K31" s="30">
        <f>+D31+G31+H31+I31</f>
        <v>1295.0162499999999</v>
      </c>
      <c r="L31" s="56">
        <f>ROUND((K31-J31)/J31,4)</f>
        <v>7.3800000000000004E-2</v>
      </c>
      <c r="Q31" s="7">
        <f>$Q$21</f>
        <v>50.4</v>
      </c>
      <c r="R31" s="6">
        <f>A31*$R$18</f>
        <v>1049</v>
      </c>
      <c r="S31" s="6">
        <f>Q31+R31</f>
        <v>1099.4000000000001</v>
      </c>
      <c r="T31" s="6"/>
      <c r="V31" s="7">
        <f>+$V$21</f>
        <v>50.526249999999997</v>
      </c>
      <c r="W31" s="6">
        <f>+$A31*W$18</f>
        <v>1137.9000000000001</v>
      </c>
      <c r="X31" s="6">
        <f>V31+W31</f>
        <v>1188.42625</v>
      </c>
      <c r="Y31" s="6"/>
      <c r="Z31" s="6"/>
      <c r="AC31" s="6">
        <f>X31-S31</f>
        <v>89.026249999999891</v>
      </c>
      <c r="AE31" s="8">
        <f>X31/S31-1</f>
        <v>8.0977123885755731E-2</v>
      </c>
      <c r="AF31" s="8"/>
    </row>
    <row r="32" spans="1:32" x14ac:dyDescent="0.2">
      <c r="A32" s="1"/>
      <c r="G32" s="17"/>
      <c r="H32" s="17"/>
      <c r="I32" s="17"/>
      <c r="J32" s="17"/>
      <c r="Q32" s="7"/>
      <c r="R32" s="6"/>
      <c r="S32" s="6"/>
      <c r="T32" s="6"/>
      <c r="V32" s="7"/>
      <c r="W32" s="6"/>
      <c r="X32" s="6"/>
      <c r="Y32" s="6"/>
      <c r="Z32" s="6"/>
      <c r="AE32" s="8"/>
      <c r="AF32" s="8"/>
    </row>
    <row r="33" spans="1:32" x14ac:dyDescent="0.2">
      <c r="A33" s="1">
        <v>15000</v>
      </c>
      <c r="C33" s="6">
        <f>+S33</f>
        <v>1623.9</v>
      </c>
      <c r="D33" s="6">
        <f>+X33</f>
        <v>1757.37625</v>
      </c>
      <c r="E33" s="30">
        <f>+D33-C33</f>
        <v>133.47624999999994</v>
      </c>
      <c r="F33" s="56">
        <f>ROUND(+E33/C33,4)</f>
        <v>8.2199999999999995E-2</v>
      </c>
      <c r="G33" s="92">
        <f>ROUND($R$10*$A33,2)</f>
        <v>-28.5</v>
      </c>
      <c r="H33" s="92">
        <f>ROUND($R$11*$A33,2)</f>
        <v>14.27</v>
      </c>
      <c r="I33" s="92">
        <f>ROUND($R$12*$A33,2)</f>
        <v>174.12</v>
      </c>
      <c r="J33" s="92">
        <f>+C33+G33+H33+I33</f>
        <v>1783.79</v>
      </c>
      <c r="K33" s="30">
        <f>+D33+G33+H33+I33</f>
        <v>1917.2662500000001</v>
      </c>
      <c r="L33" s="56">
        <f>ROUND((K33-J33)/J33,4)</f>
        <v>7.4800000000000005E-2</v>
      </c>
      <c r="Q33" s="7">
        <f>$Q$21</f>
        <v>50.4</v>
      </c>
      <c r="R33" s="6">
        <f>A33*$R$18</f>
        <v>1573.5</v>
      </c>
      <c r="S33" s="6">
        <f>Q33+R33</f>
        <v>1623.9</v>
      </c>
      <c r="T33" s="6"/>
      <c r="V33" s="7">
        <f>+$V$21</f>
        <v>50.526249999999997</v>
      </c>
      <c r="W33" s="6">
        <f>+$A33*W$18</f>
        <v>1706.8500000000001</v>
      </c>
      <c r="X33" s="6">
        <f>V33+W33</f>
        <v>1757.37625</v>
      </c>
      <c r="Y33" s="6"/>
      <c r="Z33" s="6"/>
      <c r="AC33" s="6">
        <f>X33-S33</f>
        <v>133.47624999999994</v>
      </c>
      <c r="AE33" s="8">
        <f>X33/S33-1</f>
        <v>8.2194870373791362E-2</v>
      </c>
      <c r="AF33" s="8"/>
    </row>
    <row r="34" spans="1:32" x14ac:dyDescent="0.2">
      <c r="G34" s="17"/>
      <c r="H34" s="17"/>
      <c r="I34" s="17"/>
      <c r="J34" s="17"/>
      <c r="Q34" s="7"/>
      <c r="R34" s="6"/>
      <c r="S34" s="6"/>
      <c r="T34" s="6"/>
      <c r="V34" s="7"/>
      <c r="W34" s="6"/>
      <c r="X34" s="6"/>
      <c r="Y34" s="6"/>
      <c r="Z34" s="6"/>
      <c r="AE34" s="8"/>
      <c r="AF34" s="8"/>
    </row>
    <row r="35" spans="1:32" x14ac:dyDescent="0.2">
      <c r="A35" s="1">
        <v>20000</v>
      </c>
      <c r="C35" s="6">
        <f>+S35</f>
        <v>2148.4</v>
      </c>
      <c r="D35" s="6">
        <f>+X35</f>
        <v>2326.3262500000001</v>
      </c>
      <c r="E35" s="30">
        <f>+D35-C35</f>
        <v>177.92624999999998</v>
      </c>
      <c r="F35" s="56">
        <f>ROUND(+E35/C35,4)</f>
        <v>8.2799999999999999E-2</v>
      </c>
      <c r="G35" s="92">
        <f>ROUND($R$10*$A35,2)</f>
        <v>-38</v>
      </c>
      <c r="H35" s="92">
        <f>ROUND($R$11*$A35,2)</f>
        <v>19.02</v>
      </c>
      <c r="I35" s="92">
        <f>ROUND($R$12*$A35,2)</f>
        <v>232.16</v>
      </c>
      <c r="J35" s="92">
        <f>+C35+G35+H35+I35</f>
        <v>2361.58</v>
      </c>
      <c r="K35" s="30">
        <f>+D35+G35+H35+I35</f>
        <v>2539.5062499999999</v>
      </c>
      <c r="L35" s="56">
        <f>ROUND((K35-J35)/J35,4)</f>
        <v>7.5300000000000006E-2</v>
      </c>
      <c r="Q35" s="7">
        <f>$Q$21</f>
        <v>50.4</v>
      </c>
      <c r="R35" s="6">
        <f>A35*$R$18</f>
        <v>2098</v>
      </c>
      <c r="S35" s="6">
        <f>Q35+R35</f>
        <v>2148.4</v>
      </c>
      <c r="T35" s="6"/>
      <c r="V35" s="7">
        <f>+$V$21</f>
        <v>50.526249999999997</v>
      </c>
      <c r="W35" s="6">
        <f>+$A35*W$18</f>
        <v>2275.8000000000002</v>
      </c>
      <c r="X35" s="6">
        <f>V35+W35</f>
        <v>2326.3262500000001</v>
      </c>
      <c r="Y35" s="6"/>
      <c r="Z35" s="6"/>
      <c r="AE35" s="8"/>
      <c r="AF35" s="8"/>
    </row>
    <row r="36" spans="1:32" x14ac:dyDescent="0.2">
      <c r="G36" s="17"/>
      <c r="H36" s="17"/>
      <c r="I36" s="17"/>
      <c r="J36" s="17"/>
      <c r="Q36" s="7"/>
      <c r="R36" s="6"/>
      <c r="S36" s="6"/>
      <c r="T36" s="6"/>
      <c r="V36" s="7"/>
      <c r="W36" s="6"/>
      <c r="X36" s="6"/>
      <c r="Y36" s="6"/>
      <c r="Z36" s="6"/>
      <c r="AE36" s="8"/>
      <c r="AF36" s="8"/>
    </row>
    <row r="37" spans="1:32" x14ac:dyDescent="0.2">
      <c r="A37" s="17" t="s">
        <v>313</v>
      </c>
      <c r="Q37" s="7"/>
    </row>
    <row r="38" spans="1:32" x14ac:dyDescent="0.2">
      <c r="A38" s="179" t="str">
        <f>("Average usage = "&amp;TEXT(INPUT!$F$19*1,"0,000")&amp;" kWh per month")</f>
        <v>Average usage = 4,275 kWh per month</v>
      </c>
    </row>
    <row r="39" spans="1:32" x14ac:dyDescent="0.2">
      <c r="A39" s="180" t="s">
        <v>314</v>
      </c>
    </row>
    <row r="40" spans="1:32" x14ac:dyDescent="0.2">
      <c r="A40" s="180" t="str">
        <f>+'Rate Case Constants'!$C$26</f>
        <v>Calculations may vary from other schedules due to rounding</v>
      </c>
    </row>
    <row r="42" spans="1:32" ht="12" customHeight="1" x14ac:dyDescent="0.2">
      <c r="A42" s="180"/>
    </row>
  </sheetData>
  <mergeCells count="5">
    <mergeCell ref="A1:L1"/>
    <mergeCell ref="A2:L2"/>
    <mergeCell ref="A3:L3"/>
    <mergeCell ref="A4:L4"/>
    <mergeCell ref="G15:I15"/>
  </mergeCells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46"/>
  <sheetViews>
    <sheetView view="pageBreakPreview" zoomScaleNormal="100" zoomScaleSheetLayoutView="100" workbookViewId="0">
      <selection sqref="A1:P1"/>
    </sheetView>
  </sheetViews>
  <sheetFormatPr defaultRowHeight="12.75" x14ac:dyDescent="0.2"/>
  <cols>
    <col min="1" max="1" width="6.140625" customWidth="1"/>
    <col min="2" max="2" width="2.140625" customWidth="1"/>
    <col min="3" max="3" width="7.28515625" bestFit="1" customWidth="1"/>
    <col min="4" max="4" width="2.5703125" customWidth="1"/>
    <col min="5" max="5" width="8.140625" customWidth="1"/>
    <col min="6" max="6" width="3" customWidth="1"/>
    <col min="7" max="8" width="12.28515625" bestFit="1" customWidth="1"/>
    <col min="9" max="9" width="9.28515625" customWidth="1"/>
    <col min="10" max="10" width="9.28515625" bestFit="1" customWidth="1"/>
    <col min="11" max="11" width="10.7109375" bestFit="1" customWidth="1"/>
    <col min="12" max="12" width="10" bestFit="1" customWidth="1"/>
    <col min="13" max="13" width="11.5703125" customWidth="1"/>
    <col min="14" max="15" width="12.28515625" bestFit="1" customWidth="1"/>
    <col min="16" max="16" width="10.85546875" customWidth="1"/>
    <col min="17" max="17" width="5.5703125" customWidth="1"/>
    <col min="18" max="18" width="5" customWidth="1"/>
    <col min="19" max="19" width="10.85546875" customWidth="1"/>
    <col min="20" max="20" width="10.85546875" bestFit="1" customWidth="1"/>
    <col min="21" max="21" width="11.42578125" customWidth="1"/>
    <col min="22" max="22" width="2" customWidth="1"/>
    <col min="23" max="23" width="11.85546875" bestFit="1" customWidth="1"/>
    <col min="24" max="24" width="4.7109375" customWidth="1"/>
    <col min="25" max="25" width="13" customWidth="1"/>
    <col min="26" max="26" width="5" customWidth="1"/>
    <col min="27" max="27" width="3.140625" customWidth="1"/>
    <col min="28" max="28" width="16.28515625" bestFit="1" customWidth="1"/>
    <col min="29" max="30" width="12" bestFit="1" customWidth="1"/>
    <col min="31" max="31" width="4.5703125" customWidth="1"/>
    <col min="32" max="32" width="12" bestFit="1" customWidth="1"/>
    <col min="33" max="33" width="3.28515625" customWidth="1"/>
    <col min="34" max="34" width="12.140625" bestFit="1" customWidth="1"/>
    <col min="35" max="36" width="12.5703125" bestFit="1" customWidth="1"/>
  </cols>
  <sheetData>
    <row r="1" spans="1:42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42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42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42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42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10"/>
      <c r="N5" s="210"/>
      <c r="O5" s="210"/>
      <c r="P5" s="210"/>
    </row>
    <row r="6" spans="1:42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210"/>
      <c r="N6" s="210"/>
      <c r="O6" s="210"/>
      <c r="P6" s="210"/>
    </row>
    <row r="7" spans="1:42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0"/>
      <c r="M7" s="210"/>
      <c r="N7" s="210"/>
      <c r="O7" s="210"/>
      <c r="P7" s="214" t="str">
        <f>+'Rate Case Constants'!C25</f>
        <v>SCHEDULE N</v>
      </c>
    </row>
    <row r="8" spans="1:42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10"/>
      <c r="M8" s="210"/>
      <c r="N8" s="210"/>
      <c r="O8" s="210"/>
      <c r="P8" s="208" t="str">
        <f>+'Rate Case Constants'!L15</f>
        <v>PAGE 8 of 24</v>
      </c>
    </row>
    <row r="9" spans="1:42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</row>
    <row r="10" spans="1:42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>
        <f>+INPUT!G59</f>
        <v>-1.9153485619990396E-3</v>
      </c>
    </row>
    <row r="11" spans="1:42" x14ac:dyDescent="0.2">
      <c r="A11" s="126" t="s">
        <v>268</v>
      </c>
      <c r="B11" s="2"/>
      <c r="C11" s="2"/>
      <c r="S11" s="85" t="s">
        <v>73</v>
      </c>
      <c r="T11">
        <f>+INPUT!H59</f>
        <v>7.3213464154509267E-5</v>
      </c>
    </row>
    <row r="12" spans="1:42" x14ac:dyDescent="0.2">
      <c r="B12" s="2"/>
      <c r="C12" s="2"/>
      <c r="S12" s="85" t="s">
        <v>72</v>
      </c>
      <c r="T12">
        <f>+INPUT!I59</f>
        <v>1.1843267668781509E-3</v>
      </c>
    </row>
    <row r="13" spans="1:42" x14ac:dyDescent="0.2">
      <c r="A13" s="44"/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Y13" s="3" t="s">
        <v>72</v>
      </c>
      <c r="Z13" s="3"/>
      <c r="AG13" s="31"/>
      <c r="AH13" s="3" t="s">
        <v>72</v>
      </c>
      <c r="AI13" s="31"/>
      <c r="AJ13" s="31"/>
      <c r="AK13" s="31"/>
      <c r="AL13" s="31"/>
      <c r="AM13" s="31"/>
      <c r="AN13" s="31"/>
      <c r="AO13" s="31"/>
      <c r="AP13" s="31"/>
    </row>
    <row r="14" spans="1:42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3" t="s">
        <v>1</v>
      </c>
      <c r="W14" s="3" t="s">
        <v>1</v>
      </c>
      <c r="Y14" s="3" t="s">
        <v>1</v>
      </c>
      <c r="Z14" s="3"/>
      <c r="AB14" s="3" t="s">
        <v>9</v>
      </c>
      <c r="AC14" s="3" t="s">
        <v>9</v>
      </c>
      <c r="AD14" s="22" t="s">
        <v>9</v>
      </c>
      <c r="AE14" s="21"/>
      <c r="AF14" s="22" t="s">
        <v>9</v>
      </c>
      <c r="AG14" s="21"/>
      <c r="AH14" s="3" t="s">
        <v>1</v>
      </c>
      <c r="AI14" s="21"/>
      <c r="AK14" s="31"/>
      <c r="AM14" s="31"/>
      <c r="AN14" s="31"/>
    </row>
    <row r="15" spans="1:42" x14ac:dyDescent="0.2">
      <c r="C15" s="3" t="s">
        <v>27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3" t="s">
        <v>28</v>
      </c>
      <c r="V15" s="3"/>
      <c r="W15" s="3" t="s">
        <v>5</v>
      </c>
      <c r="Y15" s="3" t="s">
        <v>76</v>
      </c>
      <c r="Z15" s="3"/>
      <c r="AB15" s="27" t="s">
        <v>55</v>
      </c>
      <c r="AC15" s="3" t="s">
        <v>56</v>
      </c>
      <c r="AD15" s="23" t="s">
        <v>18</v>
      </c>
      <c r="AE15" s="22"/>
      <c r="AF15" s="22" t="s">
        <v>5</v>
      </c>
      <c r="AG15" s="24"/>
      <c r="AH15" s="3" t="s">
        <v>76</v>
      </c>
      <c r="AI15" s="22" t="s">
        <v>6</v>
      </c>
      <c r="AJ15" s="3" t="s">
        <v>8</v>
      </c>
      <c r="AK15" s="47"/>
      <c r="AL15" s="47"/>
      <c r="AM15" s="46"/>
      <c r="AN15" s="46"/>
      <c r="AO15" s="46"/>
      <c r="AP15" s="46"/>
    </row>
    <row r="16" spans="1:42" x14ac:dyDescent="0.2">
      <c r="A16" s="3" t="s">
        <v>51</v>
      </c>
      <c r="C16" s="3" t="s">
        <v>24</v>
      </c>
      <c r="E16" s="3" t="s">
        <v>50</v>
      </c>
      <c r="F16" s="3"/>
      <c r="G16" s="27" t="s">
        <v>4</v>
      </c>
      <c r="H16" s="27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27" t="s">
        <v>4</v>
      </c>
      <c r="O16" s="27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3" t="s">
        <v>57</v>
      </c>
      <c r="V16" s="3"/>
      <c r="W16" s="3" t="s">
        <v>4</v>
      </c>
      <c r="Y16" s="3" t="s">
        <v>3</v>
      </c>
      <c r="Z16" s="3"/>
      <c r="AB16" s="27" t="s">
        <v>3</v>
      </c>
      <c r="AC16" s="3" t="s">
        <v>3</v>
      </c>
      <c r="AD16" s="23" t="s">
        <v>54</v>
      </c>
      <c r="AE16" s="22"/>
      <c r="AF16" s="22" t="s">
        <v>4</v>
      </c>
      <c r="AG16" s="24"/>
      <c r="AH16" s="3" t="s">
        <v>3</v>
      </c>
      <c r="AI16" s="22" t="s">
        <v>7</v>
      </c>
      <c r="AJ16" s="3" t="s">
        <v>7</v>
      </c>
      <c r="AL16" s="31"/>
      <c r="AM16" s="31"/>
      <c r="AN16" s="31"/>
      <c r="AO16" s="31"/>
      <c r="AP16" s="31"/>
    </row>
    <row r="17" spans="1:41" x14ac:dyDescent="0.2">
      <c r="A17" s="3"/>
      <c r="C17" s="3"/>
      <c r="E17" s="3"/>
      <c r="F17" s="3"/>
      <c r="G17" s="3"/>
      <c r="H17" s="3"/>
      <c r="I17" s="3" t="s">
        <v>69</v>
      </c>
      <c r="J17" s="27" t="s">
        <v>70</v>
      </c>
      <c r="K17" s="90"/>
      <c r="L17" s="90"/>
      <c r="M17" s="91"/>
      <c r="N17" s="3" t="s">
        <v>69</v>
      </c>
      <c r="O17" s="3" t="s">
        <v>69</v>
      </c>
      <c r="P17" s="27" t="s">
        <v>70</v>
      </c>
      <c r="Q17" s="3"/>
      <c r="R17" s="3"/>
      <c r="S17" s="27"/>
      <c r="T17" s="42">
        <f>+INPUT!$J$6</f>
        <v>3.27E-2</v>
      </c>
      <c r="U17" s="45">
        <f>+INPUT!$J$11</f>
        <v>21.03</v>
      </c>
      <c r="V17" s="44" t="s">
        <v>67</v>
      </c>
      <c r="W17" s="3"/>
      <c r="Y17" s="42"/>
      <c r="Z17" s="42"/>
      <c r="AB17" s="27"/>
      <c r="AC17" s="42">
        <f>+INPUT!$J$27</f>
        <v>3.27E-2</v>
      </c>
      <c r="AD17" s="45">
        <f>INPUT!$J$32</f>
        <v>23.22</v>
      </c>
      <c r="AE17" s="44" t="s">
        <v>67</v>
      </c>
      <c r="AF17" s="22"/>
      <c r="AG17" s="24"/>
      <c r="AH17" s="42" t="e">
        <f>+INPUT!#REF!</f>
        <v>#REF!</v>
      </c>
      <c r="AI17" s="22"/>
      <c r="AJ17" s="3"/>
      <c r="AM17" s="31"/>
      <c r="AN17" s="46"/>
      <c r="AO17" s="31"/>
    </row>
    <row r="18" spans="1:41" x14ac:dyDescent="0.2">
      <c r="A18" s="82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S18" s="27"/>
      <c r="T18" s="3" t="s">
        <v>14</v>
      </c>
      <c r="U18" s="45">
        <f>+INPUT!$J$12</f>
        <v>18.809999999999999</v>
      </c>
      <c r="V18" s="44" t="s">
        <v>68</v>
      </c>
      <c r="W18" s="3"/>
      <c r="Y18" s="3"/>
      <c r="Z18" s="3"/>
      <c r="AB18" s="27"/>
      <c r="AC18" s="3" t="s">
        <v>14</v>
      </c>
      <c r="AD18" s="45">
        <f>INPUT!$J$33</f>
        <v>20.78</v>
      </c>
      <c r="AE18" s="44" t="s">
        <v>68</v>
      </c>
      <c r="AF18" s="22"/>
      <c r="AG18" s="24"/>
      <c r="AH18" s="3"/>
      <c r="AI18" s="22"/>
      <c r="AJ18" s="3"/>
    </row>
    <row r="19" spans="1:41" x14ac:dyDescent="0.2">
      <c r="A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3"/>
      <c r="Q19" s="3"/>
      <c r="R19" s="3"/>
      <c r="T19" s="3"/>
      <c r="U19" s="3"/>
      <c r="V19" s="3"/>
      <c r="W19" s="3"/>
      <c r="Y19" s="3"/>
      <c r="Z19" s="3"/>
      <c r="AC19" s="22"/>
      <c r="AD19" s="22"/>
      <c r="AE19" s="22"/>
      <c r="AF19" s="22"/>
      <c r="AG19" s="21"/>
      <c r="AH19" s="22"/>
      <c r="AI19" s="21"/>
    </row>
    <row r="20" spans="1:41" x14ac:dyDescent="0.2">
      <c r="A20" s="1">
        <v>50</v>
      </c>
      <c r="C20" s="13">
        <v>0.3</v>
      </c>
      <c r="E20" s="1">
        <f>C20*($A$20*730)</f>
        <v>10950</v>
      </c>
      <c r="G20" s="30">
        <f>+W20</f>
        <v>1434.8150000000001</v>
      </c>
      <c r="H20" s="30">
        <f>+AF20</f>
        <v>1537.99</v>
      </c>
      <c r="I20" s="30">
        <f>+H20-G20</f>
        <v>103.17499999999995</v>
      </c>
      <c r="J20" s="56">
        <f>ROUND(+I20/G20,4)</f>
        <v>7.1900000000000006E-2</v>
      </c>
      <c r="K20" s="30">
        <f>ROUND($T$10*$E20,2)</f>
        <v>-20.97</v>
      </c>
      <c r="L20" s="30">
        <f>ROUND($T$11*$E20,2)</f>
        <v>0.8</v>
      </c>
      <c r="M20" s="30">
        <f>ROUND($T$12*$E20,2)</f>
        <v>12.97</v>
      </c>
      <c r="N20" s="30">
        <f>+G20+K20+L20+M20</f>
        <v>1427.615</v>
      </c>
      <c r="O20" s="30">
        <f>+H20+K20+L20+M20</f>
        <v>1530.79</v>
      </c>
      <c r="P20" s="56">
        <f>ROUND((O20-N20)/N20,4)</f>
        <v>7.2300000000000003E-2</v>
      </c>
      <c r="S20" s="7">
        <f>+INPUT!$J$4</f>
        <v>90</v>
      </c>
      <c r="T20" s="21">
        <f>$T$17*E20</f>
        <v>358.065</v>
      </c>
      <c r="U20" s="21">
        <f>ROUND((($A$20*$U$17*5)+($A$20*$U$18*7))/12,2)</f>
        <v>986.75</v>
      </c>
      <c r="V20" s="21"/>
      <c r="W20" s="21">
        <f>S20+T20+U20</f>
        <v>1434.8150000000001</v>
      </c>
      <c r="X20" s="21"/>
      <c r="Y20" s="21"/>
      <c r="Z20" s="21"/>
      <c r="AA20" s="21"/>
      <c r="AB20" s="7">
        <f>INPUT!$J$25</f>
        <v>90.095000000000013</v>
      </c>
      <c r="AC20" s="21">
        <f>$AC$17*E20</f>
        <v>358.065</v>
      </c>
      <c r="AD20" s="21">
        <f>ROUND((($A$20*$AD$17*5)+($A$20*$AD$18*7))/12,2)</f>
        <v>1089.83</v>
      </c>
      <c r="AE20" s="21"/>
      <c r="AF20" s="21">
        <f>AB20+AC20+AD20</f>
        <v>1537.99</v>
      </c>
      <c r="AG20" s="21"/>
      <c r="AH20" s="21"/>
      <c r="AI20" s="20">
        <f>AF20-W20</f>
        <v>103.17499999999995</v>
      </c>
      <c r="AJ20" s="18">
        <f>AF20/W20-1</f>
        <v>7.1908225102190748E-2</v>
      </c>
    </row>
    <row r="21" spans="1:41" x14ac:dyDescent="0.2">
      <c r="A21" s="1"/>
      <c r="C21" s="13">
        <v>0.5</v>
      </c>
      <c r="E21" s="1">
        <f>C21*($A$20*730)</f>
        <v>18250</v>
      </c>
      <c r="G21" s="30">
        <f>+W21</f>
        <v>1673.5250000000001</v>
      </c>
      <c r="H21" s="30">
        <f>+AF21</f>
        <v>1776.6999999999998</v>
      </c>
      <c r="I21" s="30">
        <f>+H21-G21</f>
        <v>103.17499999999973</v>
      </c>
      <c r="J21" s="56">
        <f>ROUND(+I21/G21,4)</f>
        <v>6.1699999999999998E-2</v>
      </c>
      <c r="K21" s="30">
        <f>ROUND($T$10*$E21,2)</f>
        <v>-34.96</v>
      </c>
      <c r="L21" s="30">
        <f>ROUND($T$11*$E21,2)</f>
        <v>1.34</v>
      </c>
      <c r="M21" s="30">
        <f>ROUND($T$12*$E21,2)</f>
        <v>21.61</v>
      </c>
      <c r="N21" s="30">
        <f>+G21+K21+L21+M21</f>
        <v>1661.5149999999999</v>
      </c>
      <c r="O21" s="30">
        <f>+H21+K21+L21+M21</f>
        <v>1764.6899999999996</v>
      </c>
      <c r="P21" s="56">
        <f>ROUND((O21-N21)/N21,4)</f>
        <v>6.2100000000000002E-2</v>
      </c>
      <c r="S21" s="7">
        <f>$S$20</f>
        <v>90</v>
      </c>
      <c r="T21" s="21">
        <f>$T$17*E21</f>
        <v>596.77499999999998</v>
      </c>
      <c r="U21" s="21">
        <f>ROUND((($A$20*$U$17*5)+($A$20*$U$18*7))/12,2)</f>
        <v>986.75</v>
      </c>
      <c r="V21" s="21"/>
      <c r="W21" s="21">
        <f>S21+T21+U21</f>
        <v>1673.5250000000001</v>
      </c>
      <c r="X21" s="21"/>
      <c r="Y21" s="21"/>
      <c r="Z21" s="21"/>
      <c r="AA21" s="21"/>
      <c r="AB21" s="7">
        <f>INPUT!$J$25</f>
        <v>90.095000000000013</v>
      </c>
      <c r="AC21" s="21">
        <f>$AC$17*E21</f>
        <v>596.77499999999998</v>
      </c>
      <c r="AD21" s="21">
        <f>ROUND((($A$20*$AD$17*5)+($A$20*$AD$18*7))/12,2)</f>
        <v>1089.83</v>
      </c>
      <c r="AE21" s="21"/>
      <c r="AF21" s="21">
        <f>AB21+AC21+AD21</f>
        <v>1776.6999999999998</v>
      </c>
      <c r="AG21" s="21"/>
      <c r="AH21" s="21"/>
      <c r="AI21" s="20">
        <f>AF21-W21</f>
        <v>103.17499999999973</v>
      </c>
      <c r="AJ21" s="18">
        <f>AF21/W21-1</f>
        <v>6.1651304880416813E-2</v>
      </c>
    </row>
    <row r="22" spans="1:41" x14ac:dyDescent="0.2">
      <c r="A22" s="1"/>
      <c r="C22" s="13">
        <v>0.7</v>
      </c>
      <c r="E22" s="1">
        <f>C22*($A$20*730)</f>
        <v>25550</v>
      </c>
      <c r="G22" s="30">
        <f>+W22</f>
        <v>1912.2350000000001</v>
      </c>
      <c r="H22" s="30">
        <f>+AF22</f>
        <v>2015.4099999999999</v>
      </c>
      <c r="I22" s="30">
        <f>+H22-G22</f>
        <v>103.17499999999973</v>
      </c>
      <c r="J22" s="56">
        <f>ROUND(+I22/G22,4)</f>
        <v>5.3999999999999999E-2</v>
      </c>
      <c r="K22" s="30">
        <f>ROUND($T$10*$E22,2)</f>
        <v>-48.94</v>
      </c>
      <c r="L22" s="30">
        <f>ROUND($T$11*$E22,2)</f>
        <v>1.87</v>
      </c>
      <c r="M22" s="30">
        <f>ROUND($T$12*$E22,2)</f>
        <v>30.26</v>
      </c>
      <c r="N22" s="30">
        <f>+G22+K22+L22+M22</f>
        <v>1895.425</v>
      </c>
      <c r="O22" s="30">
        <f>+H22+K22+L22+M22</f>
        <v>1998.5999999999997</v>
      </c>
      <c r="P22" s="56">
        <f>ROUND((O22-N22)/N22,4)</f>
        <v>5.4399999999999997E-2</v>
      </c>
      <c r="S22" s="7">
        <f>$S$20</f>
        <v>90</v>
      </c>
      <c r="T22" s="21">
        <f>$T$17*E22</f>
        <v>835.48500000000001</v>
      </c>
      <c r="U22" s="21">
        <f>ROUND((($A$20*$U$17*5)+($A$20*$U$18*7))/12,2)</f>
        <v>986.75</v>
      </c>
      <c r="V22" s="21"/>
      <c r="W22" s="21">
        <f>S22+T22+U22</f>
        <v>1912.2350000000001</v>
      </c>
      <c r="X22" s="21"/>
      <c r="Y22" s="21"/>
      <c r="Z22" s="21"/>
      <c r="AA22" s="21"/>
      <c r="AB22" s="7">
        <f>INPUT!$J$25</f>
        <v>90.095000000000013</v>
      </c>
      <c r="AC22" s="21">
        <f>$AC$17*E22</f>
        <v>835.48500000000001</v>
      </c>
      <c r="AD22" s="21">
        <f>ROUND((($A$20*$AD$17*5)+($A$20*$AD$18*7))/12,2)</f>
        <v>1089.83</v>
      </c>
      <c r="AE22" s="21"/>
      <c r="AF22" s="21">
        <f>AB22+AC22+AD22</f>
        <v>2015.4099999999999</v>
      </c>
      <c r="AG22" s="21"/>
      <c r="AH22" s="21"/>
      <c r="AI22" s="20">
        <f>AF22-W22</f>
        <v>103.17499999999973</v>
      </c>
      <c r="AJ22" s="18">
        <f>AF22/W22-1</f>
        <v>5.395518856207504E-2</v>
      </c>
    </row>
    <row r="23" spans="1:41" x14ac:dyDescent="0.2">
      <c r="A23" s="1"/>
      <c r="C23" s="13"/>
      <c r="E23" s="1"/>
      <c r="J23" s="5"/>
      <c r="P23" s="56"/>
      <c r="S23" s="7"/>
      <c r="T23" s="21"/>
      <c r="U23" s="21"/>
      <c r="V23" s="21"/>
      <c r="W23" s="21"/>
      <c r="X23" s="21"/>
      <c r="Y23" s="21"/>
      <c r="Z23" s="21"/>
      <c r="AA23" s="21"/>
      <c r="AB23" s="7"/>
      <c r="AC23" s="21"/>
      <c r="AD23" s="21"/>
      <c r="AE23" s="21"/>
      <c r="AF23" s="21"/>
      <c r="AG23" s="21"/>
      <c r="AH23" s="21"/>
      <c r="AI23" s="20"/>
      <c r="AJ23" s="18"/>
    </row>
    <row r="24" spans="1:41" x14ac:dyDescent="0.2">
      <c r="A24" s="1">
        <v>75</v>
      </c>
      <c r="C24" s="13">
        <v>0.3</v>
      </c>
      <c r="E24" s="1">
        <f>C24*($A$24*730)</f>
        <v>16425</v>
      </c>
      <c r="G24" s="30">
        <f>+W24</f>
        <v>2107.2275</v>
      </c>
      <c r="H24" s="30">
        <f>+AF24</f>
        <v>2261.9425000000001</v>
      </c>
      <c r="I24" s="30">
        <f>+H24-G24</f>
        <v>154.71500000000015</v>
      </c>
      <c r="J24" s="56">
        <f>ROUND(+I24/G24,4)</f>
        <v>7.3400000000000007E-2</v>
      </c>
      <c r="K24" s="30">
        <f>ROUND($T$10*$E24,2)</f>
        <v>-31.46</v>
      </c>
      <c r="L24" s="30">
        <f>ROUND($T$11*$E24,2)</f>
        <v>1.2</v>
      </c>
      <c r="M24" s="30">
        <f>ROUND($T$12*$E24,2)</f>
        <v>19.45</v>
      </c>
      <c r="N24" s="30">
        <f>+G24+K24+L24+M24</f>
        <v>2096.4174999999996</v>
      </c>
      <c r="O24" s="30">
        <f>+H24+K24+L24+M24</f>
        <v>2251.1324999999997</v>
      </c>
      <c r="P24" s="56">
        <f>ROUND((O24-N24)/N24,4)</f>
        <v>7.3800000000000004E-2</v>
      </c>
      <c r="S24" s="7">
        <f>$S$20</f>
        <v>90</v>
      </c>
      <c r="T24" s="21">
        <f>$T$17*E24</f>
        <v>537.09749999999997</v>
      </c>
      <c r="U24" s="21">
        <f>ROUND((($A$24*$U$17*5)+($A$24*$U$18*7))/12,2)</f>
        <v>1480.13</v>
      </c>
      <c r="V24" s="21"/>
      <c r="W24" s="21">
        <f>S24+T24+U24</f>
        <v>2107.2275</v>
      </c>
      <c r="X24" s="21"/>
      <c r="Y24" s="21"/>
      <c r="Z24" s="21"/>
      <c r="AA24" s="21"/>
      <c r="AB24" s="7">
        <f>INPUT!$J$25</f>
        <v>90.095000000000013</v>
      </c>
      <c r="AC24" s="21">
        <f>$AC$17*E24</f>
        <v>537.09749999999997</v>
      </c>
      <c r="AD24" s="21">
        <f>ROUND((($A$24*$AD$17*5)+($A$24*$AD$18*7))/12,2)</f>
        <v>1634.75</v>
      </c>
      <c r="AE24" s="21"/>
      <c r="AF24" s="21">
        <f>AB24+AC24+AD24</f>
        <v>2261.9425000000001</v>
      </c>
      <c r="AG24" s="25"/>
      <c r="AH24" s="21"/>
      <c r="AI24" s="20">
        <f>AF24-W24</f>
        <v>154.71500000000015</v>
      </c>
      <c r="AJ24" s="18">
        <f>AF24/W24-1</f>
        <v>7.3421118507612571E-2</v>
      </c>
    </row>
    <row r="25" spans="1:41" x14ac:dyDescent="0.2">
      <c r="A25" s="1"/>
      <c r="C25" s="13">
        <v>0.5</v>
      </c>
      <c r="E25" s="1">
        <f>C25*($A$24*730)</f>
        <v>27375</v>
      </c>
      <c r="G25" s="30">
        <f>+W25</f>
        <v>2465.2925</v>
      </c>
      <c r="H25" s="30">
        <f>+AF25</f>
        <v>2620.0075000000002</v>
      </c>
      <c r="I25" s="30">
        <f>+H25-G25</f>
        <v>154.71500000000015</v>
      </c>
      <c r="J25" s="56">
        <f>ROUND(+I25/G25,4)</f>
        <v>6.2799999999999995E-2</v>
      </c>
      <c r="K25" s="30">
        <f>ROUND($T$10*$E25,2)</f>
        <v>-52.43</v>
      </c>
      <c r="L25" s="30">
        <f>ROUND($T$11*$E25,2)</f>
        <v>2</v>
      </c>
      <c r="M25" s="30">
        <f>ROUND($T$12*$E25,2)</f>
        <v>32.42</v>
      </c>
      <c r="N25" s="30">
        <f>+G25+K25+L25+M25</f>
        <v>2447.2825000000003</v>
      </c>
      <c r="O25" s="30">
        <f>+H25+K25+L25+M25</f>
        <v>2601.9975000000004</v>
      </c>
      <c r="P25" s="56">
        <f>ROUND((O25-N25)/N25,4)</f>
        <v>6.3200000000000006E-2</v>
      </c>
      <c r="S25" s="7">
        <f>$S$20</f>
        <v>90</v>
      </c>
      <c r="T25" s="21">
        <f>$T$17*E25</f>
        <v>895.16250000000002</v>
      </c>
      <c r="U25" s="21">
        <f>ROUND((($A$24*$U$17*5)+($A$24*$U$18*7))/12,2)</f>
        <v>1480.13</v>
      </c>
      <c r="V25" s="21"/>
      <c r="W25" s="21">
        <f>S25+T25+U25</f>
        <v>2465.2925</v>
      </c>
      <c r="X25" s="21"/>
      <c r="Y25" s="21"/>
      <c r="Z25" s="21"/>
      <c r="AA25" s="21"/>
      <c r="AB25" s="7">
        <f>INPUT!$J$25</f>
        <v>90.095000000000013</v>
      </c>
      <c r="AC25" s="21">
        <f>$AC$17*E25</f>
        <v>895.16250000000002</v>
      </c>
      <c r="AD25" s="21">
        <f>ROUND((($A$24*$AD$17*5)+($A$24*$AD$18*7))/12,2)</f>
        <v>1634.75</v>
      </c>
      <c r="AE25" s="21"/>
      <c r="AF25" s="21">
        <f>AB25+AC25+AD25</f>
        <v>2620.0075000000002</v>
      </c>
      <c r="AG25" s="25"/>
      <c r="AH25" s="21"/>
      <c r="AI25" s="20">
        <f>AF25-W25</f>
        <v>154.71500000000015</v>
      </c>
      <c r="AJ25" s="18">
        <f>AF25/W25-1</f>
        <v>6.2757259027072854E-2</v>
      </c>
    </row>
    <row r="26" spans="1:41" x14ac:dyDescent="0.2">
      <c r="A26" s="1"/>
      <c r="C26" s="13">
        <v>0.7</v>
      </c>
      <c r="E26" s="1">
        <f>C26*($A$24*730)</f>
        <v>38325</v>
      </c>
      <c r="G26" s="30">
        <f>+W26</f>
        <v>2823.3575000000001</v>
      </c>
      <c r="H26" s="30">
        <f>+AF26</f>
        <v>2978.0725000000002</v>
      </c>
      <c r="I26" s="30">
        <f>+H26-G26</f>
        <v>154.71500000000015</v>
      </c>
      <c r="J26" s="56">
        <f>ROUND(+I26/G26,4)</f>
        <v>5.4800000000000001E-2</v>
      </c>
      <c r="K26" s="30">
        <f>ROUND($T$10*$E26,2)</f>
        <v>-73.41</v>
      </c>
      <c r="L26" s="30">
        <f>ROUND($T$11*$E26,2)</f>
        <v>2.81</v>
      </c>
      <c r="M26" s="30">
        <f>ROUND($T$12*$E26,2)</f>
        <v>45.39</v>
      </c>
      <c r="N26" s="30">
        <f>+G26+K26+L26+M26</f>
        <v>2798.1475</v>
      </c>
      <c r="O26" s="30">
        <f>+H26+K26+L26+M26</f>
        <v>2952.8625000000002</v>
      </c>
      <c r="P26" s="56">
        <f>ROUND((O26-N26)/N26,4)</f>
        <v>5.5300000000000002E-2</v>
      </c>
      <c r="S26" s="7">
        <f>$S$20</f>
        <v>90</v>
      </c>
      <c r="T26" s="21">
        <f>$T$17*E26</f>
        <v>1253.2275</v>
      </c>
      <c r="U26" s="21">
        <f>ROUND((($A$24*$U$17*5)+($A$24*$U$18*7))/12,2)</f>
        <v>1480.13</v>
      </c>
      <c r="V26" s="21"/>
      <c r="W26" s="21">
        <f>S26+T26+U26</f>
        <v>2823.3575000000001</v>
      </c>
      <c r="X26" s="21"/>
      <c r="Y26" s="21"/>
      <c r="Z26" s="21"/>
      <c r="AA26" s="21"/>
      <c r="AB26" s="7">
        <f>INPUT!$J$25</f>
        <v>90.095000000000013</v>
      </c>
      <c r="AC26" s="21">
        <f>$AC$17*E26</f>
        <v>1253.2275</v>
      </c>
      <c r="AD26" s="21">
        <f>ROUND((($A$24*$AD$17*5)+($A$24*$AD$18*7))/12,2)</f>
        <v>1634.75</v>
      </c>
      <c r="AE26" s="21"/>
      <c r="AF26" s="21">
        <f>AB26+AC26+AD26</f>
        <v>2978.0725000000002</v>
      </c>
      <c r="AG26" s="21"/>
      <c r="AH26" s="21"/>
      <c r="AI26" s="20">
        <f>AF26-W26</f>
        <v>154.71500000000015</v>
      </c>
      <c r="AJ26" s="18">
        <f>AF26/W26-1</f>
        <v>5.4798232246536349E-2</v>
      </c>
    </row>
    <row r="27" spans="1:41" x14ac:dyDescent="0.2">
      <c r="A27" s="1"/>
      <c r="C27" s="13"/>
      <c r="E27" s="1"/>
      <c r="J27" s="5"/>
      <c r="P27" s="56"/>
      <c r="S27" s="7"/>
      <c r="T27" s="21"/>
      <c r="U27" s="21"/>
      <c r="V27" s="21"/>
      <c r="W27" s="21"/>
      <c r="X27" s="21"/>
      <c r="Y27" s="21"/>
      <c r="Z27" s="21"/>
      <c r="AA27" s="21"/>
      <c r="AB27" s="7"/>
      <c r="AC27" s="21"/>
      <c r="AD27" s="21"/>
      <c r="AE27" s="21"/>
      <c r="AF27" s="21"/>
      <c r="AG27" s="21"/>
      <c r="AH27" s="21"/>
      <c r="AI27" s="20"/>
      <c r="AJ27" s="18"/>
    </row>
    <row r="28" spans="1:41" x14ac:dyDescent="0.2">
      <c r="A28" s="1">
        <v>100</v>
      </c>
      <c r="C28" s="13">
        <v>0.3</v>
      </c>
      <c r="E28" s="1">
        <f>C28*($A$28*730)</f>
        <v>21900</v>
      </c>
      <c r="G28" s="30">
        <f>+W28</f>
        <v>2779.63</v>
      </c>
      <c r="H28" s="30">
        <f>+AF28</f>
        <v>2985.895</v>
      </c>
      <c r="I28" s="30">
        <f>+H28-G28</f>
        <v>206.26499999999987</v>
      </c>
      <c r="J28" s="56">
        <f>ROUND(+I28/G28,4)</f>
        <v>7.4200000000000002E-2</v>
      </c>
      <c r="K28" s="30">
        <f>ROUND($T$10*$E28,2)</f>
        <v>-41.95</v>
      </c>
      <c r="L28" s="30">
        <f>ROUND($T$11*$E28,2)</f>
        <v>1.6</v>
      </c>
      <c r="M28" s="30">
        <f>ROUND($T$12*$E28,2)</f>
        <v>25.94</v>
      </c>
      <c r="N28" s="30">
        <f>+G28+K28+L28+M28</f>
        <v>2765.2200000000003</v>
      </c>
      <c r="O28" s="30">
        <f>+H28+K28+L28+M28</f>
        <v>2971.4850000000001</v>
      </c>
      <c r="P28" s="56">
        <f>ROUND((O28-N28)/N28,4)</f>
        <v>7.46E-2</v>
      </c>
      <c r="S28" s="7">
        <f>$S$20</f>
        <v>90</v>
      </c>
      <c r="T28" s="21">
        <f>$T$17*E28</f>
        <v>716.13</v>
      </c>
      <c r="U28" s="21">
        <f>ROUND((($A$28*$U$17*5)+($A$28*$U$18*7))/12,2)</f>
        <v>1973.5</v>
      </c>
      <c r="V28" s="21"/>
      <c r="W28" s="21">
        <f>S28+T28+U28</f>
        <v>2779.63</v>
      </c>
      <c r="X28" s="21"/>
      <c r="Y28" s="21"/>
      <c r="Z28" s="21"/>
      <c r="AA28" s="21"/>
      <c r="AB28" s="7">
        <f>INPUT!$J$25</f>
        <v>90.095000000000013</v>
      </c>
      <c r="AC28" s="21">
        <f>$AC$17*E28</f>
        <v>716.13</v>
      </c>
      <c r="AD28" s="21">
        <f>ROUND((($A$28*$AD$17*5)+($A$28*$AD$18*7))/12,2)</f>
        <v>2179.67</v>
      </c>
      <c r="AE28" s="21"/>
      <c r="AF28" s="21">
        <f>AB28+AC28+AD28</f>
        <v>2985.895</v>
      </c>
      <c r="AG28" s="21"/>
      <c r="AH28" s="21"/>
      <c r="AI28" s="20">
        <f>AF28-W28</f>
        <v>206.26499999999987</v>
      </c>
      <c r="AJ28" s="18">
        <f>AF28/W28-1</f>
        <v>7.4205919492882133E-2</v>
      </c>
    </row>
    <row r="29" spans="1:41" x14ac:dyDescent="0.2">
      <c r="A29" s="1"/>
      <c r="C29" s="13">
        <v>0.5</v>
      </c>
      <c r="E29" s="1">
        <f>C29*($A$28*730)</f>
        <v>36500</v>
      </c>
      <c r="G29" s="30">
        <f>+W29</f>
        <v>3257.05</v>
      </c>
      <c r="H29" s="30">
        <f>+AF29</f>
        <v>3463.3150000000001</v>
      </c>
      <c r="I29" s="30">
        <f>+H29-G29</f>
        <v>206.26499999999987</v>
      </c>
      <c r="J29" s="56">
        <f>ROUND(+I29/G29,4)</f>
        <v>6.3299999999999995E-2</v>
      </c>
      <c r="K29" s="30">
        <f>ROUND($T$10*$E29,2)</f>
        <v>-69.91</v>
      </c>
      <c r="L29" s="30">
        <f>ROUND($T$11*$E29,2)</f>
        <v>2.67</v>
      </c>
      <c r="M29" s="30">
        <f>ROUND($T$12*$E29,2)</f>
        <v>43.23</v>
      </c>
      <c r="N29" s="30">
        <f>+G29+K29+L29+M29</f>
        <v>3233.0400000000004</v>
      </c>
      <c r="O29" s="30">
        <f>+H29+K29+L29+M29</f>
        <v>3439.3050000000003</v>
      </c>
      <c r="P29" s="56">
        <f>ROUND((O29-N29)/N29,4)</f>
        <v>6.3799999999999996E-2</v>
      </c>
      <c r="S29" s="7">
        <f>$S$20</f>
        <v>90</v>
      </c>
      <c r="T29" s="21">
        <f>$T$17*E29</f>
        <v>1193.55</v>
      </c>
      <c r="U29" s="21">
        <f>ROUND((($A$28*$U$17*5)+($A$28*$U$18*7))/12,2)</f>
        <v>1973.5</v>
      </c>
      <c r="V29" s="21"/>
      <c r="W29" s="21">
        <f>S29+T29+U29</f>
        <v>3257.05</v>
      </c>
      <c r="X29" s="21"/>
      <c r="Y29" s="21"/>
      <c r="Z29" s="21"/>
      <c r="AA29" s="21"/>
      <c r="AB29" s="7">
        <f>INPUT!$J$25</f>
        <v>90.095000000000013</v>
      </c>
      <c r="AC29" s="21">
        <f>$AC$17*E29</f>
        <v>1193.55</v>
      </c>
      <c r="AD29" s="21">
        <f>ROUND((($A$28*$AD$17*5)+($A$28*$AD$18*7))/12,2)</f>
        <v>2179.67</v>
      </c>
      <c r="AE29" s="21"/>
      <c r="AF29" s="21">
        <f>AB29+AC29+AD29</f>
        <v>3463.3150000000001</v>
      </c>
      <c r="AG29" s="21"/>
      <c r="AH29" s="21"/>
      <c r="AI29" s="20">
        <f>AF29-W29</f>
        <v>206.26499999999987</v>
      </c>
      <c r="AJ29" s="18">
        <f>AF29/W29-1</f>
        <v>6.3328779109930622E-2</v>
      </c>
    </row>
    <row r="30" spans="1:41" x14ac:dyDescent="0.2">
      <c r="A30" s="1"/>
      <c r="C30" s="13">
        <v>0.7</v>
      </c>
      <c r="E30" s="1">
        <f>C30*($A$28*730)</f>
        <v>51100</v>
      </c>
      <c r="G30" s="30">
        <f>+W30</f>
        <v>3734.4700000000003</v>
      </c>
      <c r="H30" s="30">
        <f>+AF30</f>
        <v>3940.7350000000001</v>
      </c>
      <c r="I30" s="30">
        <f>+H30-G30</f>
        <v>206.26499999999987</v>
      </c>
      <c r="J30" s="56">
        <f>ROUND(+I30/G30,4)</f>
        <v>5.5199999999999999E-2</v>
      </c>
      <c r="K30" s="30">
        <f>ROUND($T$10*$E30,2)</f>
        <v>-97.87</v>
      </c>
      <c r="L30" s="30">
        <f>ROUND($T$11*$E30,2)</f>
        <v>3.74</v>
      </c>
      <c r="M30" s="30">
        <f>ROUND($T$12*$E30,2)</f>
        <v>60.52</v>
      </c>
      <c r="N30" s="30">
        <f>+G30+K30+L30+M30</f>
        <v>3700.86</v>
      </c>
      <c r="O30" s="30">
        <f>+H30+K30+L30+M30</f>
        <v>3907.125</v>
      </c>
      <c r="P30" s="56">
        <f>ROUND((O30-N30)/N30,4)</f>
        <v>5.57E-2</v>
      </c>
      <c r="S30" s="7">
        <f>$S$20</f>
        <v>90</v>
      </c>
      <c r="T30" s="21">
        <f>$T$17*E30</f>
        <v>1670.97</v>
      </c>
      <c r="U30" s="21">
        <f>ROUND((($A$28*$U$17*5)+($A$28*$U$18*7))/12,2)</f>
        <v>1973.5</v>
      </c>
      <c r="V30" s="21"/>
      <c r="W30" s="21">
        <f>S30+T30+U30</f>
        <v>3734.4700000000003</v>
      </c>
      <c r="X30" s="21"/>
      <c r="Y30" s="21"/>
      <c r="Z30" s="21"/>
      <c r="AA30" s="21"/>
      <c r="AB30" s="7">
        <f>INPUT!$J$25</f>
        <v>90.095000000000013</v>
      </c>
      <c r="AC30" s="21">
        <f>$AC$17*E30</f>
        <v>1670.97</v>
      </c>
      <c r="AD30" s="21">
        <f>ROUND((($A$28*$AD$17*5)+($A$28*$AD$18*7))/12,2)</f>
        <v>2179.67</v>
      </c>
      <c r="AE30" s="21"/>
      <c r="AF30" s="21">
        <f>AB30+AC30+AD30</f>
        <v>3940.7350000000001</v>
      </c>
      <c r="AG30" s="21"/>
      <c r="AH30" s="21"/>
      <c r="AI30" s="20">
        <f>AF30-W30</f>
        <v>206.26499999999987</v>
      </c>
      <c r="AJ30" s="18">
        <f>AF30/W30-1</f>
        <v>5.5232737175556323E-2</v>
      </c>
    </row>
    <row r="31" spans="1:41" x14ac:dyDescent="0.2">
      <c r="A31" s="1"/>
      <c r="C31" s="13"/>
      <c r="E31" s="1"/>
      <c r="J31" s="5"/>
      <c r="P31" s="56"/>
      <c r="S31" s="7"/>
      <c r="T31" s="21"/>
      <c r="U31" s="21"/>
      <c r="V31" s="21"/>
      <c r="W31" s="21"/>
      <c r="X31" s="21"/>
      <c r="Y31" s="21"/>
      <c r="Z31" s="21"/>
      <c r="AA31" s="21"/>
      <c r="AB31" s="7"/>
      <c r="AC31" s="21"/>
      <c r="AD31" s="21"/>
      <c r="AE31" s="21"/>
      <c r="AF31" s="21"/>
      <c r="AG31" s="21"/>
      <c r="AH31" s="21"/>
      <c r="AI31" s="20"/>
      <c r="AJ31" s="18"/>
    </row>
    <row r="32" spans="1:41" x14ac:dyDescent="0.2">
      <c r="A32" s="1">
        <v>150</v>
      </c>
      <c r="C32" s="13">
        <v>0.3</v>
      </c>
      <c r="E32" s="1">
        <f>C32*($A$32*730)</f>
        <v>32850</v>
      </c>
      <c r="G32" s="30">
        <f>+W32</f>
        <v>4124.4449999999997</v>
      </c>
      <c r="H32" s="30">
        <f>+AF32</f>
        <v>4433.79</v>
      </c>
      <c r="I32" s="30">
        <f>+H32-G32</f>
        <v>309.34500000000025</v>
      </c>
      <c r="J32" s="56">
        <f>ROUND(+I32/G32,4)</f>
        <v>7.4999999999999997E-2</v>
      </c>
      <c r="K32" s="30">
        <f>ROUND($T$10*$E32,2)</f>
        <v>-62.92</v>
      </c>
      <c r="L32" s="30">
        <f>ROUND($T$11*$E32,2)</f>
        <v>2.41</v>
      </c>
      <c r="M32" s="30">
        <f>ROUND($T$12*$E32,2)</f>
        <v>38.909999999999997</v>
      </c>
      <c r="N32" s="30">
        <f>+G32+K32+L32+M32</f>
        <v>4102.8449999999993</v>
      </c>
      <c r="O32" s="30">
        <f>+H32+K32+L32+M32</f>
        <v>4412.1899999999996</v>
      </c>
      <c r="P32" s="56">
        <f>ROUND((O32-N32)/N32,4)</f>
        <v>7.5399999999999995E-2</v>
      </c>
      <c r="S32" s="7">
        <f>$S$20</f>
        <v>90</v>
      </c>
      <c r="T32" s="21">
        <f>$T$17*E32</f>
        <v>1074.1949999999999</v>
      </c>
      <c r="U32" s="21">
        <f>ROUND((($A$32*$U$17*5)+($A$32*$U$18*7))/12,2)</f>
        <v>2960.25</v>
      </c>
      <c r="V32" s="21"/>
      <c r="W32" s="21">
        <f>S32+T32+U32</f>
        <v>4124.4449999999997</v>
      </c>
      <c r="X32" s="21"/>
      <c r="Y32" s="21"/>
      <c r="Z32" s="21"/>
      <c r="AA32" s="21"/>
      <c r="AB32" s="7">
        <f>INPUT!$J$25</f>
        <v>90.095000000000013</v>
      </c>
      <c r="AC32" s="21">
        <f>$AC$17*E32</f>
        <v>1074.1949999999999</v>
      </c>
      <c r="AD32" s="21">
        <f>ROUND((($A$32*$AD$17*5)+($A$32*$AD$18*7))/12,2)</f>
        <v>3269.5</v>
      </c>
      <c r="AE32" s="21"/>
      <c r="AF32" s="21">
        <f>AB32+AC32+AD32</f>
        <v>4433.79</v>
      </c>
      <c r="AG32" s="21"/>
      <c r="AH32" s="21"/>
      <c r="AI32" s="20">
        <f>AF32-W32</f>
        <v>309.34500000000025</v>
      </c>
      <c r="AJ32" s="18">
        <f>AF32/W32-1</f>
        <v>7.5002818561042739E-2</v>
      </c>
    </row>
    <row r="33" spans="1:36" x14ac:dyDescent="0.2">
      <c r="A33" s="1"/>
      <c r="C33" s="13">
        <v>0.5</v>
      </c>
      <c r="E33" s="1">
        <f>C33*($A$32*730)</f>
        <v>54750</v>
      </c>
      <c r="G33" s="30">
        <f>+W33</f>
        <v>4840.5749999999998</v>
      </c>
      <c r="H33" s="30">
        <f>+AF33</f>
        <v>5149.92</v>
      </c>
      <c r="I33" s="30">
        <f>+H33-G33</f>
        <v>309.34500000000025</v>
      </c>
      <c r="J33" s="56">
        <f>ROUND(+I33/G33,4)</f>
        <v>6.3899999999999998E-2</v>
      </c>
      <c r="K33" s="30">
        <f>ROUND($T$10*$E33,2)</f>
        <v>-104.87</v>
      </c>
      <c r="L33" s="30">
        <f>ROUND($T$11*$E33,2)</f>
        <v>4.01</v>
      </c>
      <c r="M33" s="30">
        <f>ROUND($T$12*$E33,2)</f>
        <v>64.84</v>
      </c>
      <c r="N33" s="30">
        <f>+G33+K33+L33+M33</f>
        <v>4804.5550000000003</v>
      </c>
      <c r="O33" s="30">
        <f>+H33+K33+L33+M33</f>
        <v>5113.9000000000005</v>
      </c>
      <c r="P33" s="56">
        <f>ROUND((O33-N33)/N33,4)</f>
        <v>6.4399999999999999E-2</v>
      </c>
      <c r="S33" s="7">
        <f>$S$20</f>
        <v>90</v>
      </c>
      <c r="T33" s="21">
        <f>$T$17*E33</f>
        <v>1790.325</v>
      </c>
      <c r="U33" s="21">
        <f>ROUND((($A$32*$U$17*5)+($A$32*$U$18*7))/12,2)</f>
        <v>2960.25</v>
      </c>
      <c r="V33" s="21"/>
      <c r="W33" s="21">
        <f>S33+T33+U33</f>
        <v>4840.5749999999998</v>
      </c>
      <c r="X33" s="21"/>
      <c r="Y33" s="21"/>
      <c r="Z33" s="21"/>
      <c r="AA33" s="21"/>
      <c r="AB33" s="7">
        <f>INPUT!$J$25</f>
        <v>90.095000000000013</v>
      </c>
      <c r="AC33" s="21">
        <f>$AC$17*E33</f>
        <v>1790.325</v>
      </c>
      <c r="AD33" s="21">
        <f>ROUND((($A$32*$AD$17*5)+($A$32*$AD$18*7))/12,2)</f>
        <v>3269.5</v>
      </c>
      <c r="AE33" s="21"/>
      <c r="AF33" s="21">
        <f>AB33+AC33+AD33</f>
        <v>5149.92</v>
      </c>
      <c r="AG33" s="21"/>
      <c r="AH33" s="21"/>
      <c r="AI33" s="20">
        <f>AF33-W33</f>
        <v>309.34500000000025</v>
      </c>
      <c r="AJ33" s="18">
        <f>AF33/W33-1</f>
        <v>6.3906663981035283E-2</v>
      </c>
    </row>
    <row r="34" spans="1:36" x14ac:dyDescent="0.2">
      <c r="A34" s="1"/>
      <c r="C34" s="13">
        <v>0.7</v>
      </c>
      <c r="E34" s="1">
        <f>C34*($A$32*730)</f>
        <v>76650</v>
      </c>
      <c r="G34" s="30">
        <f>+W34</f>
        <v>5556.7049999999999</v>
      </c>
      <c r="H34" s="30">
        <f>+AF34</f>
        <v>5866.0499999999993</v>
      </c>
      <c r="I34" s="30">
        <f>+H34-G34</f>
        <v>309.34499999999935</v>
      </c>
      <c r="J34" s="56">
        <f>ROUND(+I34/G34,4)</f>
        <v>5.57E-2</v>
      </c>
      <c r="K34" s="30">
        <f>ROUND($T$10*$E34,2)</f>
        <v>-146.81</v>
      </c>
      <c r="L34" s="30">
        <f>ROUND($T$11*$E34,2)</f>
        <v>5.61</v>
      </c>
      <c r="M34" s="30">
        <f>ROUND($T$12*$E34,2)</f>
        <v>90.78</v>
      </c>
      <c r="N34" s="30">
        <f>+G34+K34+L34+M34</f>
        <v>5506.2849999999989</v>
      </c>
      <c r="O34" s="30">
        <f>+H34+K34+L34+M34</f>
        <v>5815.6299999999983</v>
      </c>
      <c r="P34" s="56">
        <f>ROUND((O34-N34)/N34,4)</f>
        <v>5.62E-2</v>
      </c>
      <c r="S34" s="7">
        <f>$S$20</f>
        <v>90</v>
      </c>
      <c r="T34" s="21">
        <f>$T$17*E34</f>
        <v>2506.4549999999999</v>
      </c>
      <c r="U34" s="21">
        <f>ROUND((($A$32*$U$17*5)+($A$32*$U$18*7))/12,2)</f>
        <v>2960.25</v>
      </c>
      <c r="V34" s="21"/>
      <c r="W34" s="21">
        <f>S34+T34+U34</f>
        <v>5556.7049999999999</v>
      </c>
      <c r="X34" s="21"/>
      <c r="Y34" s="21"/>
      <c r="Z34" s="21"/>
      <c r="AA34" s="21"/>
      <c r="AB34" s="7">
        <f>INPUT!$J$25</f>
        <v>90.095000000000013</v>
      </c>
      <c r="AC34" s="21">
        <f>$AC$17*E34</f>
        <v>2506.4549999999999</v>
      </c>
      <c r="AD34" s="21">
        <f>ROUND((($A$32*$AD$17*5)+($A$32*$AD$18*7))/12,2)</f>
        <v>3269.5</v>
      </c>
      <c r="AE34" s="21"/>
      <c r="AF34" s="21">
        <f>AB34+AC34+AD34</f>
        <v>5866.0499999999993</v>
      </c>
      <c r="AG34" s="21"/>
      <c r="AH34" s="21"/>
      <c r="AI34" s="20">
        <f>AF34-W34</f>
        <v>309.34499999999935</v>
      </c>
      <c r="AJ34" s="18">
        <f>AF34/W34-1</f>
        <v>5.567058175663453E-2</v>
      </c>
    </row>
    <row r="35" spans="1:36" x14ac:dyDescent="0.2">
      <c r="A35" s="1"/>
      <c r="C35" s="13"/>
      <c r="E35" s="1"/>
      <c r="J35" s="5"/>
      <c r="P35" s="56"/>
      <c r="S35" s="7"/>
      <c r="T35" s="21"/>
      <c r="U35" s="21"/>
      <c r="V35" s="21"/>
      <c r="W35" s="21"/>
      <c r="X35" s="21"/>
      <c r="Y35" s="21"/>
      <c r="Z35" s="21"/>
      <c r="AA35" s="21"/>
      <c r="AB35" s="7"/>
      <c r="AC35" s="21"/>
      <c r="AD35" s="21"/>
      <c r="AE35" s="21"/>
      <c r="AF35" s="21"/>
      <c r="AG35" s="21"/>
      <c r="AH35" s="21"/>
      <c r="AI35" s="20"/>
      <c r="AJ35" s="18"/>
    </row>
    <row r="36" spans="1:36" x14ac:dyDescent="0.2">
      <c r="A36" s="1">
        <v>250</v>
      </c>
      <c r="C36" s="13">
        <v>0.3</v>
      </c>
      <c r="E36" s="1">
        <f>C36*($A$36*730)</f>
        <v>54750</v>
      </c>
      <c r="G36" s="30">
        <f>+W36</f>
        <v>6814.0749999999998</v>
      </c>
      <c r="H36" s="30">
        <f>+AF36</f>
        <v>7329.59</v>
      </c>
      <c r="I36" s="30">
        <f>+H36-G36</f>
        <v>515.51500000000033</v>
      </c>
      <c r="J36" s="56">
        <f>ROUND(+I36/G36,4)</f>
        <v>7.5700000000000003E-2</v>
      </c>
      <c r="K36" s="30">
        <f>ROUND($T$10*$E36,2)</f>
        <v>-104.87</v>
      </c>
      <c r="L36" s="30">
        <f>ROUND($T$11*$E36,2)</f>
        <v>4.01</v>
      </c>
      <c r="M36" s="30">
        <f>ROUND($T$12*$E36,2)</f>
        <v>64.84</v>
      </c>
      <c r="N36" s="30">
        <f>+G36+K36+L36+M36</f>
        <v>6778.0550000000003</v>
      </c>
      <c r="O36" s="30">
        <f>+H36+K36+L36+M36</f>
        <v>7293.5700000000006</v>
      </c>
      <c r="P36" s="56">
        <f>ROUND((O36-N36)/N36,4)</f>
        <v>7.6100000000000001E-2</v>
      </c>
      <c r="S36" s="7">
        <f>$S$20</f>
        <v>90</v>
      </c>
      <c r="T36" s="21">
        <f>$T$17*E36</f>
        <v>1790.325</v>
      </c>
      <c r="U36" s="21">
        <f>ROUND((($A$36*$U$17*5)+($A$36*$U$18*7))/12,2)</f>
        <v>4933.75</v>
      </c>
      <c r="V36" s="21"/>
      <c r="W36" s="21">
        <f>S36+T36+U36</f>
        <v>6814.0749999999998</v>
      </c>
      <c r="X36" s="21"/>
      <c r="Y36" s="21"/>
      <c r="Z36" s="21"/>
      <c r="AA36" s="21"/>
      <c r="AB36" s="7">
        <f>INPUT!$J$25</f>
        <v>90.095000000000013</v>
      </c>
      <c r="AC36" s="21">
        <f>$AC$17*E36</f>
        <v>1790.325</v>
      </c>
      <c r="AD36" s="21">
        <f>ROUND((($A$36*$AD$17*5)+($A$36*$AD$18*7))/12,2)</f>
        <v>5449.17</v>
      </c>
      <c r="AE36" s="21"/>
      <c r="AF36" s="21">
        <f>AB36+AC36+AD36</f>
        <v>7329.59</v>
      </c>
      <c r="AG36" s="21"/>
      <c r="AH36" s="21"/>
      <c r="AI36" s="20">
        <f>AF36-W36</f>
        <v>515.51500000000033</v>
      </c>
      <c r="AJ36" s="18">
        <f>AF36/W36-1</f>
        <v>7.5654435855196933E-2</v>
      </c>
    </row>
    <row r="37" spans="1:36" x14ac:dyDescent="0.2">
      <c r="A37" s="1"/>
      <c r="C37" s="13">
        <v>0.5</v>
      </c>
      <c r="E37" s="1">
        <f>C37*($A$36*730)</f>
        <v>91250</v>
      </c>
      <c r="G37" s="30">
        <f>+W37</f>
        <v>8007.625</v>
      </c>
      <c r="H37" s="30">
        <f>+AF37</f>
        <v>8523.14</v>
      </c>
      <c r="I37" s="30">
        <f>+H37-G37</f>
        <v>515.51499999999942</v>
      </c>
      <c r="J37" s="56">
        <f>ROUND(+I37/G37,4)</f>
        <v>6.4399999999999999E-2</v>
      </c>
      <c r="K37" s="30">
        <f>ROUND($T$10*$E37,2)</f>
        <v>-174.78</v>
      </c>
      <c r="L37" s="30">
        <f>ROUND($T$11*$E37,2)</f>
        <v>6.68</v>
      </c>
      <c r="M37" s="30">
        <f>ROUND($T$12*$E37,2)</f>
        <v>108.07</v>
      </c>
      <c r="N37" s="30">
        <f>+G37+K37+L37+M37</f>
        <v>7947.5950000000003</v>
      </c>
      <c r="O37" s="30">
        <f>+H37+K37+L37+M37</f>
        <v>8463.1099999999988</v>
      </c>
      <c r="P37" s="56">
        <f>ROUND((O37-N37)/N37,4)</f>
        <v>6.4899999999999999E-2</v>
      </c>
      <c r="S37" s="7">
        <f>$S$20</f>
        <v>90</v>
      </c>
      <c r="T37" s="21">
        <f>$T$17*E37</f>
        <v>2983.875</v>
      </c>
      <c r="U37" s="21">
        <f>ROUND((($A$36*$U$17*5)+($A$36*$U$18*7))/12,2)</f>
        <v>4933.75</v>
      </c>
      <c r="V37" s="21"/>
      <c r="W37" s="21">
        <f>S37+T37+U37</f>
        <v>8007.625</v>
      </c>
      <c r="X37" s="21"/>
      <c r="Y37" s="21"/>
      <c r="Z37" s="21"/>
      <c r="AA37" s="21"/>
      <c r="AB37" s="7">
        <f>INPUT!$J$25</f>
        <v>90.095000000000013</v>
      </c>
      <c r="AC37" s="21">
        <f>$AC$17*E37</f>
        <v>2983.875</v>
      </c>
      <c r="AD37" s="21">
        <f>ROUND((($A$36*$AD$17*5)+($A$36*$AD$18*7))/12,2)</f>
        <v>5449.17</v>
      </c>
      <c r="AE37" s="21"/>
      <c r="AF37" s="21">
        <f>AB37+AC37+AD37</f>
        <v>8523.14</v>
      </c>
      <c r="AG37" s="21"/>
      <c r="AH37" s="21"/>
      <c r="AI37" s="20">
        <f>AF37-W37</f>
        <v>515.51499999999942</v>
      </c>
      <c r="AJ37" s="18">
        <f>AF37/W37-1</f>
        <v>6.4378014704734587E-2</v>
      </c>
    </row>
    <row r="38" spans="1:36" x14ac:dyDescent="0.2">
      <c r="A38" s="1"/>
      <c r="C38" s="13">
        <v>0.7</v>
      </c>
      <c r="E38" s="1">
        <f>C38*($A$36*730)</f>
        <v>127749.99999999999</v>
      </c>
      <c r="G38" s="30">
        <f>+W38</f>
        <v>9201.1749999999993</v>
      </c>
      <c r="H38" s="30">
        <f>+AF38</f>
        <v>9716.6899999999987</v>
      </c>
      <c r="I38" s="30">
        <f>+H38-G38</f>
        <v>515.51499999999942</v>
      </c>
      <c r="J38" s="56">
        <f>ROUND(+I38/G38,4)</f>
        <v>5.6000000000000001E-2</v>
      </c>
      <c r="K38" s="30">
        <f>ROUND($T$10*$E38,2)</f>
        <v>-244.69</v>
      </c>
      <c r="L38" s="30">
        <f>ROUND($T$11*$E38,2)</f>
        <v>9.35</v>
      </c>
      <c r="M38" s="30">
        <f>ROUND($T$12*$E38,2)</f>
        <v>151.30000000000001</v>
      </c>
      <c r="N38" s="30">
        <f>+G38+K38+L38+M38</f>
        <v>9117.1349999999984</v>
      </c>
      <c r="O38" s="30">
        <f>+H38+K38+L38+M38</f>
        <v>9632.6499999999978</v>
      </c>
      <c r="P38" s="56">
        <f>ROUND((O38-N38)/N38,4)</f>
        <v>5.6500000000000002E-2</v>
      </c>
      <c r="S38" s="7">
        <f>$S$20</f>
        <v>90</v>
      </c>
      <c r="T38" s="21">
        <f>$T$17*E38</f>
        <v>4177.4249999999993</v>
      </c>
      <c r="U38" s="21">
        <f>ROUND((($A$36*$U$17*5)+($A$36*$U$18*7))/12,2)</f>
        <v>4933.75</v>
      </c>
      <c r="V38" s="21"/>
      <c r="W38" s="21">
        <f>S38+T38+U38</f>
        <v>9201.1749999999993</v>
      </c>
      <c r="X38" s="21"/>
      <c r="Y38" s="21"/>
      <c r="Z38" s="21"/>
      <c r="AA38" s="21"/>
      <c r="AB38" s="7">
        <f>INPUT!$J$25</f>
        <v>90.095000000000013</v>
      </c>
      <c r="AC38" s="21">
        <f>$AC$17*E38</f>
        <v>4177.4249999999993</v>
      </c>
      <c r="AD38" s="21">
        <f>ROUND((($A$36*$AD$17*5)+($A$36*$AD$18*7))/12,2)</f>
        <v>5449.17</v>
      </c>
      <c r="AE38" s="21"/>
      <c r="AF38" s="21">
        <f>AB38+AC38+AD38</f>
        <v>9716.6899999999987</v>
      </c>
      <c r="AG38" s="21"/>
      <c r="AH38" s="21"/>
      <c r="AI38" s="20">
        <f>AF38-W38</f>
        <v>515.51499999999942</v>
      </c>
      <c r="AJ38" s="18">
        <f>AF38/W38-1</f>
        <v>5.6027083497488084E-2</v>
      </c>
    </row>
    <row r="39" spans="1:36" x14ac:dyDescent="0.2">
      <c r="E39" s="1"/>
      <c r="L39" s="30"/>
      <c r="T39" s="21"/>
      <c r="U39" s="21"/>
      <c r="V39" s="21"/>
      <c r="W39" s="21"/>
      <c r="X39" s="21"/>
      <c r="Y39" s="21"/>
      <c r="Z39" s="21"/>
      <c r="AA39" s="21"/>
    </row>
    <row r="40" spans="1:36" x14ac:dyDescent="0.2">
      <c r="A40" s="17" t="s">
        <v>313</v>
      </c>
      <c r="T40" s="21"/>
      <c r="U40" s="21"/>
      <c r="V40" s="21"/>
      <c r="W40" s="21"/>
      <c r="X40" s="21"/>
      <c r="Y40" s="21"/>
      <c r="Z40" s="21"/>
      <c r="AA40" s="21"/>
    </row>
    <row r="41" spans="1:36" x14ac:dyDescent="0.2">
      <c r="A41" s="179" t="str">
        <f>("Average usage = "&amp;TEXT(INPUT!$J$19*1,"0,000")&amp;" kWh per month")</f>
        <v>Average usage = 33,725 kWh per month</v>
      </c>
      <c r="E41" s="1"/>
      <c r="S41" s="7"/>
      <c r="T41" s="21"/>
      <c r="U41" s="12"/>
      <c r="W41" s="12"/>
      <c r="AA41" s="6"/>
      <c r="AC41" s="9"/>
    </row>
    <row r="42" spans="1:36" x14ac:dyDescent="0.2">
      <c r="A42" s="180" t="s">
        <v>314</v>
      </c>
      <c r="E42" s="1"/>
      <c r="S42" s="7"/>
      <c r="T42" s="21"/>
      <c r="U42" s="12"/>
      <c r="W42" s="12"/>
      <c r="AA42" s="6"/>
      <c r="AC42" s="9"/>
    </row>
    <row r="43" spans="1:36" x14ac:dyDescent="0.2">
      <c r="A43" s="181" t="s">
        <v>315</v>
      </c>
    </row>
    <row r="44" spans="1:36" x14ac:dyDescent="0.2">
      <c r="A44" s="180" t="s">
        <v>322</v>
      </c>
    </row>
    <row r="46" spans="1:36" x14ac:dyDescent="0.2">
      <c r="B46" s="180"/>
      <c r="C46" s="180"/>
    </row>
  </sheetData>
  <mergeCells count="5">
    <mergeCell ref="K15:M15"/>
    <mergeCell ref="A1:P1"/>
    <mergeCell ref="A2:P2"/>
    <mergeCell ref="A3:P3"/>
    <mergeCell ref="A4:P4"/>
  </mergeCells>
  <phoneticPr fontId="6" type="noConversion"/>
  <printOptions horizontalCentered="1"/>
  <pageMargins left="0.75" right="0.75" top="1.5" bottom="0.5" header="1" footer="0.5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46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8.140625" customWidth="1"/>
    <col min="2" max="2" width="2.140625" customWidth="1"/>
    <col min="3" max="3" width="7.28515625" bestFit="1" customWidth="1"/>
    <col min="4" max="4" width="2.5703125" customWidth="1"/>
    <col min="5" max="5" width="9.85546875" bestFit="1" customWidth="1"/>
    <col min="6" max="6" width="3" customWidth="1"/>
    <col min="7" max="8" width="12.28515625" bestFit="1" customWidth="1"/>
    <col min="9" max="9" width="11.28515625" bestFit="1" customWidth="1"/>
    <col min="10" max="10" width="9.28515625" bestFit="1" customWidth="1"/>
    <col min="11" max="11" width="11.42578125" customWidth="1"/>
    <col min="12" max="12" width="11.28515625" bestFit="1" customWidth="1"/>
    <col min="13" max="13" width="11.5703125" customWidth="1"/>
    <col min="14" max="15" width="12.28515625" bestFit="1" customWidth="1"/>
    <col min="16" max="16" width="10.85546875" customWidth="1"/>
    <col min="17" max="17" width="5.5703125" customWidth="1"/>
    <col min="18" max="18" width="5" customWidth="1"/>
    <col min="19" max="19" width="10.85546875" customWidth="1"/>
    <col min="20" max="20" width="13.7109375" bestFit="1" customWidth="1"/>
    <col min="21" max="21" width="11.42578125" customWidth="1"/>
    <col min="22" max="22" width="2" customWidth="1"/>
    <col min="23" max="23" width="11.85546875" bestFit="1" customWidth="1"/>
    <col min="24" max="24" width="4.7109375" customWidth="1"/>
    <col min="25" max="25" width="13" customWidth="1"/>
    <col min="26" max="26" width="5" customWidth="1"/>
    <col min="27" max="27" width="3.140625" customWidth="1"/>
    <col min="28" max="28" width="16.28515625" bestFit="1" customWidth="1"/>
    <col min="29" max="30" width="12" bestFit="1" customWidth="1"/>
    <col min="31" max="31" width="4.5703125" customWidth="1"/>
    <col min="32" max="32" width="12" bestFit="1" customWidth="1"/>
    <col min="33" max="33" width="3.28515625" customWidth="1"/>
    <col min="34" max="34" width="12.140625" bestFit="1" customWidth="1"/>
    <col min="35" max="36" width="12.5703125" bestFit="1" customWidth="1"/>
  </cols>
  <sheetData>
    <row r="1" spans="1:42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42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42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42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42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10"/>
      <c r="N5" s="210"/>
      <c r="O5" s="210"/>
      <c r="P5" s="210"/>
    </row>
    <row r="6" spans="1:42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210"/>
      <c r="N6" s="210"/>
      <c r="O6" s="210"/>
      <c r="P6" s="210"/>
    </row>
    <row r="7" spans="1:42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0"/>
      <c r="M7" s="210"/>
      <c r="N7" s="210"/>
      <c r="O7" s="210"/>
      <c r="P7" s="214" t="str">
        <f>+'Rate Case Constants'!C25</f>
        <v>SCHEDULE N</v>
      </c>
    </row>
    <row r="8" spans="1:42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10"/>
      <c r="M8" s="210"/>
      <c r="N8" s="210"/>
      <c r="O8" s="210"/>
      <c r="P8" s="208" t="str">
        <f>+'Rate Case Constants'!L16</f>
        <v>PAGE 9 of 24</v>
      </c>
    </row>
    <row r="9" spans="1:42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</row>
    <row r="10" spans="1:42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>
        <f>+INPUT!G60</f>
        <v>-1.9197224084648626E-3</v>
      </c>
    </row>
    <row r="11" spans="1:42" x14ac:dyDescent="0.2">
      <c r="A11" s="126" t="s">
        <v>267</v>
      </c>
      <c r="B11" s="2"/>
      <c r="C11" s="2"/>
      <c r="S11" s="85" t="s">
        <v>73</v>
      </c>
      <c r="T11" s="286">
        <f>+INPUT!H60</f>
        <v>5.7953048664648814E-5</v>
      </c>
    </row>
    <row r="12" spans="1:42" x14ac:dyDescent="0.2">
      <c r="B12" s="2"/>
      <c r="C12" s="2"/>
      <c r="S12" s="85" t="s">
        <v>72</v>
      </c>
      <c r="T12">
        <f>+INPUT!I60</f>
        <v>1.306009458466926E-3</v>
      </c>
    </row>
    <row r="13" spans="1:42" x14ac:dyDescent="0.2">
      <c r="A13" s="44"/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Y13" s="3" t="s">
        <v>72</v>
      </c>
      <c r="Z13" s="3"/>
      <c r="AG13" s="31"/>
      <c r="AH13" s="3" t="s">
        <v>72</v>
      </c>
      <c r="AI13" s="31"/>
      <c r="AJ13" s="31"/>
      <c r="AK13" s="31"/>
      <c r="AL13" s="31"/>
      <c r="AM13" s="31"/>
      <c r="AN13" s="31"/>
      <c r="AO13" s="31"/>
      <c r="AP13" s="31"/>
    </row>
    <row r="14" spans="1:42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3" t="s">
        <v>1</v>
      </c>
      <c r="W14" s="3" t="s">
        <v>1</v>
      </c>
      <c r="Y14" s="3" t="s">
        <v>1</v>
      </c>
      <c r="Z14" s="3"/>
      <c r="AB14" s="3" t="s">
        <v>9</v>
      </c>
      <c r="AC14" s="3" t="s">
        <v>9</v>
      </c>
      <c r="AD14" s="22" t="s">
        <v>9</v>
      </c>
      <c r="AE14" s="21"/>
      <c r="AF14" s="22" t="s">
        <v>9</v>
      </c>
      <c r="AG14" s="21"/>
      <c r="AH14" s="3" t="s">
        <v>1</v>
      </c>
      <c r="AI14" s="21"/>
      <c r="AK14" s="31"/>
      <c r="AM14" s="31"/>
      <c r="AN14" s="31"/>
    </row>
    <row r="15" spans="1:42" x14ac:dyDescent="0.2">
      <c r="C15" s="3" t="s">
        <v>27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3" t="s">
        <v>28</v>
      </c>
      <c r="V15" s="3"/>
      <c r="W15" s="3" t="s">
        <v>5</v>
      </c>
      <c r="Y15" s="3" t="s">
        <v>76</v>
      </c>
      <c r="Z15" s="3"/>
      <c r="AB15" s="27" t="s">
        <v>55</v>
      </c>
      <c r="AC15" s="3" t="s">
        <v>56</v>
      </c>
      <c r="AD15" s="23" t="s">
        <v>18</v>
      </c>
      <c r="AE15" s="22"/>
      <c r="AF15" s="22" t="s">
        <v>5</v>
      </c>
      <c r="AG15" s="24"/>
      <c r="AH15" s="3" t="s">
        <v>76</v>
      </c>
      <c r="AI15" s="22" t="s">
        <v>6</v>
      </c>
      <c r="AJ15" s="3" t="s">
        <v>8</v>
      </c>
      <c r="AK15" s="47"/>
      <c r="AL15" s="47"/>
      <c r="AM15" s="46"/>
      <c r="AN15" s="46"/>
      <c r="AO15" s="46"/>
      <c r="AP15" s="46"/>
    </row>
    <row r="16" spans="1:42" x14ac:dyDescent="0.2">
      <c r="A16" s="3" t="s">
        <v>51</v>
      </c>
      <c r="C16" s="3" t="s">
        <v>24</v>
      </c>
      <c r="E16" s="3" t="s">
        <v>50</v>
      </c>
      <c r="F16" s="3"/>
      <c r="G16" s="27" t="s">
        <v>4</v>
      </c>
      <c r="H16" s="27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27" t="s">
        <v>4</v>
      </c>
      <c r="O16" s="27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3" t="s">
        <v>57</v>
      </c>
      <c r="V16" s="3"/>
      <c r="W16" s="3" t="s">
        <v>4</v>
      </c>
      <c r="Y16" s="3" t="s">
        <v>3</v>
      </c>
      <c r="Z16" s="3"/>
      <c r="AB16" s="27" t="s">
        <v>3</v>
      </c>
      <c r="AC16" s="3" t="s">
        <v>3</v>
      </c>
      <c r="AD16" s="23" t="s">
        <v>54</v>
      </c>
      <c r="AE16" s="22"/>
      <c r="AF16" s="22" t="s">
        <v>4</v>
      </c>
      <c r="AG16" s="24"/>
      <c r="AH16" s="3" t="s">
        <v>3</v>
      </c>
      <c r="AI16" s="22" t="s">
        <v>7</v>
      </c>
      <c r="AJ16" s="3" t="s">
        <v>7</v>
      </c>
      <c r="AL16" s="31"/>
      <c r="AM16" s="31"/>
      <c r="AN16" s="31"/>
      <c r="AO16" s="31"/>
      <c r="AP16" s="31"/>
    </row>
    <row r="17" spans="1:41" x14ac:dyDescent="0.2">
      <c r="A17" s="3"/>
      <c r="C17" s="3"/>
      <c r="E17" s="3"/>
      <c r="F17" s="3"/>
      <c r="G17" s="3"/>
      <c r="H17" s="3"/>
      <c r="I17" s="3" t="s">
        <v>69</v>
      </c>
      <c r="J17" s="27" t="s">
        <v>70</v>
      </c>
      <c r="K17" s="90"/>
      <c r="L17" s="90"/>
      <c r="M17" s="91"/>
      <c r="N17" s="3" t="s">
        <v>69</v>
      </c>
      <c r="O17" s="3" t="s">
        <v>69</v>
      </c>
      <c r="P17" s="27" t="s">
        <v>70</v>
      </c>
      <c r="Q17" s="3"/>
      <c r="R17" s="3"/>
      <c r="S17" s="27"/>
      <c r="T17" s="42">
        <f>+INPUT!$I$6</f>
        <v>3.1710000000000002E-2</v>
      </c>
      <c r="U17" s="45">
        <f>+INPUT!$I$11</f>
        <v>21.21</v>
      </c>
      <c r="V17" s="44" t="s">
        <v>67</v>
      </c>
      <c r="W17" s="3"/>
      <c r="Y17" s="42"/>
      <c r="Z17" s="42"/>
      <c r="AB17" s="27"/>
      <c r="AC17" s="42">
        <f>+INPUT!$I$27</f>
        <v>3.209E-2</v>
      </c>
      <c r="AD17" s="45">
        <f>INPUT!$I$32</f>
        <v>23.32</v>
      </c>
      <c r="AE17" s="44" t="s">
        <v>67</v>
      </c>
      <c r="AF17" s="22"/>
      <c r="AG17" s="24"/>
      <c r="AH17" s="42"/>
      <c r="AI17" s="22"/>
      <c r="AJ17" s="3"/>
      <c r="AM17" s="31"/>
      <c r="AN17" s="46"/>
      <c r="AO17" s="31"/>
    </row>
    <row r="18" spans="1:41" x14ac:dyDescent="0.2">
      <c r="A18" s="82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S18" s="27"/>
      <c r="T18" s="3" t="s">
        <v>14</v>
      </c>
      <c r="U18" s="45">
        <f>+INPUT!$I$12</f>
        <v>19.02</v>
      </c>
      <c r="V18" s="44" t="s">
        <v>68</v>
      </c>
      <c r="W18" s="3"/>
      <c r="Y18" s="3"/>
      <c r="Z18" s="3"/>
      <c r="AB18" s="27"/>
      <c r="AC18" s="3" t="s">
        <v>14</v>
      </c>
      <c r="AD18" s="45">
        <f>INPUT!$I$33</f>
        <v>20.91</v>
      </c>
      <c r="AE18" s="44" t="s">
        <v>68</v>
      </c>
      <c r="AF18" s="22"/>
      <c r="AG18" s="24"/>
      <c r="AH18" s="3"/>
      <c r="AI18" s="22"/>
      <c r="AJ18" s="3"/>
    </row>
    <row r="19" spans="1:41" x14ac:dyDescent="0.2">
      <c r="A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3"/>
      <c r="Q19" s="3"/>
      <c r="R19" s="3"/>
      <c r="T19" s="3"/>
      <c r="U19" s="3"/>
      <c r="V19" s="3"/>
      <c r="W19" s="3"/>
      <c r="Y19" s="3"/>
      <c r="Z19" s="3"/>
      <c r="AC19" s="22"/>
      <c r="AD19" s="22"/>
      <c r="AE19" s="22"/>
      <c r="AF19" s="22"/>
      <c r="AG19" s="21"/>
      <c r="AH19" s="22"/>
      <c r="AI19" s="21"/>
    </row>
    <row r="20" spans="1:41" x14ac:dyDescent="0.2">
      <c r="A20" s="1">
        <v>50</v>
      </c>
      <c r="C20" s="13">
        <v>0.3</v>
      </c>
      <c r="E20" s="1">
        <f>C20*($A$20*730)</f>
        <v>10950</v>
      </c>
      <c r="G20" s="30">
        <f>+W20</f>
        <v>1583.8544999999999</v>
      </c>
      <c r="H20" s="30">
        <f>+AF20</f>
        <v>1687.2473749999999</v>
      </c>
      <c r="I20" s="30">
        <f>+H20-G20</f>
        <v>103.392875</v>
      </c>
      <c r="J20" s="56">
        <f>ROUND(+I20/G20,4)</f>
        <v>6.5299999999999997E-2</v>
      </c>
      <c r="K20" s="30">
        <f>ROUND($T$10*$E20,2)</f>
        <v>-21.02</v>
      </c>
      <c r="L20" s="30">
        <f>ROUND($T$11*$E20,2)</f>
        <v>0.63</v>
      </c>
      <c r="M20" s="30">
        <f>ROUND($T$12*$E20,2)</f>
        <v>14.3</v>
      </c>
      <c r="N20" s="30">
        <f>+G20+K20+L20+M20</f>
        <v>1577.7645</v>
      </c>
      <c r="O20" s="30">
        <f>+H20+K20+L20+M20</f>
        <v>1681.157375</v>
      </c>
      <c r="P20" s="56">
        <f>ROUND((O20-N20)/N20,4)</f>
        <v>6.5500000000000003E-2</v>
      </c>
      <c r="S20" s="7">
        <f>+INPUT!$I$4</f>
        <v>240</v>
      </c>
      <c r="T20" s="21">
        <f>$T$17*E20</f>
        <v>347.22450000000003</v>
      </c>
      <c r="U20" s="21">
        <f>ROUND((($A$20*$U$17*5)+($A$20*$U$18*7))/12,2)</f>
        <v>996.63</v>
      </c>
      <c r="V20" s="21"/>
      <c r="W20" s="21">
        <f>S20+T20+U20</f>
        <v>1583.8544999999999</v>
      </c>
      <c r="X20" s="21"/>
      <c r="Y20" s="21"/>
      <c r="Z20" s="21"/>
      <c r="AA20" s="21"/>
      <c r="AB20" s="7">
        <f>INPUT!$I$25</f>
        <v>240.15187499999999</v>
      </c>
      <c r="AC20" s="21">
        <f>$AC$17*E20</f>
        <v>351.38549999999998</v>
      </c>
      <c r="AD20" s="21">
        <f>ROUND((($A$20*$AD$17*5)+($A$20*$AD$18*7))/12,2)</f>
        <v>1095.71</v>
      </c>
      <c r="AE20" s="21"/>
      <c r="AF20" s="21">
        <f>AB20+AC20+AD20</f>
        <v>1687.2473749999999</v>
      </c>
      <c r="AG20" s="21"/>
      <c r="AH20" s="21"/>
      <c r="AI20" s="20">
        <f>AF20-W20</f>
        <v>103.392875</v>
      </c>
      <c r="AJ20" s="18">
        <f>AF20/W20-1</f>
        <v>6.5279275968846973E-2</v>
      </c>
    </row>
    <row r="21" spans="1:41" x14ac:dyDescent="0.2">
      <c r="A21" s="1"/>
      <c r="C21" s="13">
        <v>0.5</v>
      </c>
      <c r="E21" s="1">
        <f>C21*($A$20*730)</f>
        <v>18250</v>
      </c>
      <c r="G21" s="30">
        <f>+W21</f>
        <v>1815.3375000000001</v>
      </c>
      <c r="H21" s="30">
        <f>+AF21</f>
        <v>1921.504375</v>
      </c>
      <c r="I21" s="30">
        <f>+H21-G21</f>
        <v>106.16687499999989</v>
      </c>
      <c r="J21" s="56">
        <f>ROUND(+I21/G21,4)</f>
        <v>5.8500000000000003E-2</v>
      </c>
      <c r="K21" s="30">
        <f>ROUND($T$10*$E21,2)</f>
        <v>-35.03</v>
      </c>
      <c r="L21" s="30">
        <f>ROUND($T$11*$E21,2)</f>
        <v>1.06</v>
      </c>
      <c r="M21" s="30">
        <f>ROUND($T$12*$E21,2)</f>
        <v>23.83</v>
      </c>
      <c r="N21" s="30">
        <f>+G21+K21+L21+M21</f>
        <v>1805.1975</v>
      </c>
      <c r="O21" s="30">
        <f>+H21+K21+L21+M21</f>
        <v>1911.3643749999999</v>
      </c>
      <c r="P21" s="56">
        <f>ROUND((O21-N21)/N21,4)</f>
        <v>5.8799999999999998E-2</v>
      </c>
      <c r="S21" s="7">
        <f>$S$20</f>
        <v>240</v>
      </c>
      <c r="T21" s="21">
        <f>$T$17*E21</f>
        <v>578.70749999999998</v>
      </c>
      <c r="U21" s="21">
        <f>ROUND((($A$20*$U$17*5)+($A$20*$U$18*7))/12,2)</f>
        <v>996.63</v>
      </c>
      <c r="V21" s="21"/>
      <c r="W21" s="21">
        <f>S21+T21+U21</f>
        <v>1815.3375000000001</v>
      </c>
      <c r="X21" s="21"/>
      <c r="Y21" s="21"/>
      <c r="Z21" s="21"/>
      <c r="AA21" s="21"/>
      <c r="AB21" s="7">
        <f>+$AB$20</f>
        <v>240.15187499999999</v>
      </c>
      <c r="AC21" s="21">
        <f>$AC$17*E21</f>
        <v>585.64250000000004</v>
      </c>
      <c r="AD21" s="21">
        <f>ROUND((($A$20*$AD$17*5)+($A$20*$AD$18*7))/12,2)</f>
        <v>1095.71</v>
      </c>
      <c r="AE21" s="21"/>
      <c r="AF21" s="21">
        <f>AB21+AC21+AD21</f>
        <v>1921.504375</v>
      </c>
      <c r="AG21" s="21"/>
      <c r="AH21" s="21"/>
      <c r="AI21" s="20">
        <f>AF21-W21</f>
        <v>106.16687499999989</v>
      </c>
      <c r="AJ21" s="18">
        <f>AF21/W21-1</f>
        <v>5.8483271017097271E-2</v>
      </c>
    </row>
    <row r="22" spans="1:41" x14ac:dyDescent="0.2">
      <c r="A22" s="1"/>
      <c r="C22" s="13">
        <v>0.7</v>
      </c>
      <c r="E22" s="1">
        <f>C22*($A$20*730)</f>
        <v>25550</v>
      </c>
      <c r="G22" s="30">
        <f>+W22</f>
        <v>2046.8205000000003</v>
      </c>
      <c r="H22" s="30">
        <f>+AF22</f>
        <v>2155.761375</v>
      </c>
      <c r="I22" s="30">
        <f>+H22-G22</f>
        <v>108.94087499999978</v>
      </c>
      <c r="J22" s="56">
        <f>ROUND(+I22/G22,4)</f>
        <v>5.3199999999999997E-2</v>
      </c>
      <c r="K22" s="30">
        <f>ROUND($T$10*$E22,2)</f>
        <v>-49.05</v>
      </c>
      <c r="L22" s="30">
        <f>ROUND($T$11*$E22,2)</f>
        <v>1.48</v>
      </c>
      <c r="M22" s="30">
        <f>ROUND($T$12*$E22,2)</f>
        <v>33.369999999999997</v>
      </c>
      <c r="N22" s="30">
        <f>+G22+K22+L22+M22</f>
        <v>2032.6205000000002</v>
      </c>
      <c r="O22" s="30">
        <f>+H22+K22+L22+M22</f>
        <v>2141.5613749999998</v>
      </c>
      <c r="P22" s="56">
        <f>ROUND((O22-N22)/N22,4)</f>
        <v>5.3600000000000002E-2</v>
      </c>
      <c r="S22" s="7">
        <f>$S$20</f>
        <v>240</v>
      </c>
      <c r="T22" s="21">
        <f>$T$17*E22</f>
        <v>810.19050000000004</v>
      </c>
      <c r="U22" s="21">
        <f>ROUND((($A$20*$U$17*5)+($A$20*$U$18*7))/12,2)</f>
        <v>996.63</v>
      </c>
      <c r="V22" s="21"/>
      <c r="W22" s="21">
        <f>S22+T22+U22</f>
        <v>2046.8205000000003</v>
      </c>
      <c r="X22" s="21"/>
      <c r="Y22" s="21"/>
      <c r="Z22" s="21"/>
      <c r="AA22" s="21"/>
      <c r="AB22" s="7">
        <f>+$AB$20</f>
        <v>240.15187499999999</v>
      </c>
      <c r="AC22" s="21">
        <f>$AC$17*E22</f>
        <v>819.89949999999999</v>
      </c>
      <c r="AD22" s="21">
        <f>ROUND((($A$20*$AD$17*5)+($A$20*$AD$18*7))/12,2)</f>
        <v>1095.71</v>
      </c>
      <c r="AE22" s="21"/>
      <c r="AF22" s="21">
        <f>AB22+AC22+AD22</f>
        <v>2155.761375</v>
      </c>
      <c r="AG22" s="21"/>
      <c r="AH22" s="21"/>
      <c r="AI22" s="20">
        <f>AF22-W22</f>
        <v>108.94087499999978</v>
      </c>
      <c r="AJ22" s="18">
        <f>AF22/W22-1</f>
        <v>5.3224440052266342E-2</v>
      </c>
    </row>
    <row r="23" spans="1:41" x14ac:dyDescent="0.2">
      <c r="A23" s="1"/>
      <c r="C23" s="13"/>
      <c r="E23" s="1"/>
      <c r="J23" s="5"/>
      <c r="P23" s="56"/>
      <c r="S23" s="7"/>
      <c r="T23" s="21"/>
      <c r="U23" s="21"/>
      <c r="V23" s="21"/>
      <c r="W23" s="21"/>
      <c r="X23" s="21"/>
      <c r="Y23" s="21"/>
      <c r="Z23" s="21"/>
      <c r="AA23" s="21"/>
      <c r="AB23" s="7"/>
      <c r="AC23" s="21"/>
      <c r="AD23" s="21"/>
      <c r="AE23" s="21"/>
      <c r="AF23" s="21"/>
      <c r="AG23" s="21"/>
      <c r="AH23" s="21"/>
      <c r="AI23" s="20"/>
      <c r="AJ23" s="18"/>
    </row>
    <row r="24" spans="1:41" x14ac:dyDescent="0.2">
      <c r="A24" s="1">
        <v>100</v>
      </c>
      <c r="C24" s="13">
        <v>0.3</v>
      </c>
      <c r="E24" s="1">
        <f>C24*($A$24*730)</f>
        <v>21900</v>
      </c>
      <c r="G24" s="30">
        <f>+W24</f>
        <v>2927.6990000000001</v>
      </c>
      <c r="H24" s="30">
        <f>+AF24</f>
        <v>3134.3428750000003</v>
      </c>
      <c r="I24" s="30">
        <f>+H24-G24</f>
        <v>206.64387500000021</v>
      </c>
      <c r="J24" s="56">
        <f>ROUND(+I24/G24,4)</f>
        <v>7.0599999999999996E-2</v>
      </c>
      <c r="K24" s="30">
        <f>ROUND($T$10*$E24,2)</f>
        <v>-42.04</v>
      </c>
      <c r="L24" s="30">
        <f>ROUND($T$11*$E24,2)</f>
        <v>1.27</v>
      </c>
      <c r="M24" s="30">
        <f>ROUND($T$12*$E24,2)</f>
        <v>28.6</v>
      </c>
      <c r="N24" s="30">
        <f>+G24+K24+L24+M24</f>
        <v>2915.529</v>
      </c>
      <c r="O24" s="30">
        <f>+H24+K24+L24+M24</f>
        <v>3122.1728750000002</v>
      </c>
      <c r="P24" s="56">
        <f>ROUND((O24-N24)/N24,4)</f>
        <v>7.0900000000000005E-2</v>
      </c>
      <c r="S24" s="7">
        <f>$S$20</f>
        <v>240</v>
      </c>
      <c r="T24" s="21">
        <f>$T$17*E24</f>
        <v>694.44900000000007</v>
      </c>
      <c r="U24" s="21">
        <f>ROUND((($A$24*$U$17*5)+($A$24*$U$18*7))/12,2)</f>
        <v>1993.25</v>
      </c>
      <c r="V24" s="21"/>
      <c r="W24" s="21">
        <f>S24+T24+U24</f>
        <v>2927.6990000000001</v>
      </c>
      <c r="X24" s="21"/>
      <c r="Y24" s="21"/>
      <c r="Z24" s="21"/>
      <c r="AA24" s="21"/>
      <c r="AB24" s="7">
        <f>+$AB$20</f>
        <v>240.15187499999999</v>
      </c>
      <c r="AC24" s="21">
        <f>$AC$17*E24</f>
        <v>702.77099999999996</v>
      </c>
      <c r="AD24" s="21">
        <f>ROUND((($A$24*$AD$17*5)+($A$24*$AD$18*7))/12,2)</f>
        <v>2191.42</v>
      </c>
      <c r="AE24" s="21"/>
      <c r="AF24" s="21">
        <f>AB24+AC24+AD24</f>
        <v>3134.3428750000003</v>
      </c>
      <c r="AG24" s="25"/>
      <c r="AH24" s="21"/>
      <c r="AI24" s="20">
        <f>AF24-W24</f>
        <v>206.64387500000021</v>
      </c>
      <c r="AJ24" s="18">
        <f>AF24/W24-1</f>
        <v>7.0582349824896751E-2</v>
      </c>
    </row>
    <row r="25" spans="1:41" x14ac:dyDescent="0.2">
      <c r="A25" s="1"/>
      <c r="C25" s="13">
        <v>0.5</v>
      </c>
      <c r="E25" s="1">
        <f>C25*($A$24*730)</f>
        <v>36500</v>
      </c>
      <c r="G25" s="30">
        <f>+W25</f>
        <v>3390.665</v>
      </c>
      <c r="H25" s="30">
        <f>+AF25</f>
        <v>3602.8568750000004</v>
      </c>
      <c r="I25" s="30">
        <f>+H25-G25</f>
        <v>212.19187500000044</v>
      </c>
      <c r="J25" s="56">
        <f>ROUND(+I25/G25,4)</f>
        <v>6.2600000000000003E-2</v>
      </c>
      <c r="K25" s="30">
        <f>ROUND($T$10*$E25,2)</f>
        <v>-70.069999999999993</v>
      </c>
      <c r="L25" s="30">
        <f>ROUND($T$11*$E25,2)</f>
        <v>2.12</v>
      </c>
      <c r="M25" s="30">
        <f>ROUND($T$12*$E25,2)</f>
        <v>47.67</v>
      </c>
      <c r="N25" s="30">
        <f>+G25+K25+L25+M25</f>
        <v>3370.3849999999998</v>
      </c>
      <c r="O25" s="30">
        <f>+H25+K25+L25+M25</f>
        <v>3582.5768750000002</v>
      </c>
      <c r="P25" s="56">
        <f>ROUND((O25-N25)/N25,4)</f>
        <v>6.3E-2</v>
      </c>
      <c r="S25" s="7">
        <f>$S$20</f>
        <v>240</v>
      </c>
      <c r="T25" s="21">
        <f>$T$17*E25</f>
        <v>1157.415</v>
      </c>
      <c r="U25" s="21">
        <f>ROUND((($A$24*$U$17*5)+($A$24*$U$18*7))/12,2)</f>
        <v>1993.25</v>
      </c>
      <c r="V25" s="21"/>
      <c r="W25" s="21">
        <f>S25+T25+U25</f>
        <v>3390.665</v>
      </c>
      <c r="X25" s="21"/>
      <c r="Y25" s="21"/>
      <c r="Z25" s="21"/>
      <c r="AA25" s="21"/>
      <c r="AB25" s="7">
        <f>+$AB$20</f>
        <v>240.15187499999999</v>
      </c>
      <c r="AC25" s="21">
        <f>$AC$17*E25</f>
        <v>1171.2850000000001</v>
      </c>
      <c r="AD25" s="21">
        <f>ROUND((($A$24*$AD$17*5)+($A$24*$AD$18*7))/12,2)</f>
        <v>2191.42</v>
      </c>
      <c r="AE25" s="21"/>
      <c r="AF25" s="21">
        <f>AB25+AC25+AD25</f>
        <v>3602.8568750000004</v>
      </c>
      <c r="AG25" s="25"/>
      <c r="AH25" s="21"/>
      <c r="AI25" s="20">
        <f>AF25-W25</f>
        <v>212.19187500000044</v>
      </c>
      <c r="AJ25" s="18">
        <f>AF25/W25-1</f>
        <v>6.2581197198779748E-2</v>
      </c>
    </row>
    <row r="26" spans="1:41" x14ac:dyDescent="0.2">
      <c r="A26" s="1"/>
      <c r="C26" s="13">
        <v>0.7</v>
      </c>
      <c r="E26" s="1">
        <f>C26*($A$24*730)</f>
        <v>51100</v>
      </c>
      <c r="G26" s="30">
        <f>+W26</f>
        <v>3853.6310000000003</v>
      </c>
      <c r="H26" s="30">
        <f>+AF26</f>
        <v>4071.3708750000001</v>
      </c>
      <c r="I26" s="30">
        <f>+H26-G26</f>
        <v>217.73987499999976</v>
      </c>
      <c r="J26" s="56">
        <f>ROUND(+I26/G26,4)</f>
        <v>5.6500000000000002E-2</v>
      </c>
      <c r="K26" s="30">
        <f>ROUND($T$10*$E26,2)</f>
        <v>-98.1</v>
      </c>
      <c r="L26" s="30">
        <f>ROUND($T$11*$E26,2)</f>
        <v>2.96</v>
      </c>
      <c r="M26" s="30">
        <f>ROUND($T$12*$E26,2)</f>
        <v>66.739999999999995</v>
      </c>
      <c r="N26" s="30">
        <f>+G26+K26+L26+M26</f>
        <v>3825.2310000000002</v>
      </c>
      <c r="O26" s="30">
        <f>+H26+K26+L26+M26</f>
        <v>4042.970875</v>
      </c>
      <c r="P26" s="56">
        <f>ROUND((O26-N26)/N26,4)</f>
        <v>5.6899999999999999E-2</v>
      </c>
      <c r="S26" s="7">
        <f>$S$20</f>
        <v>240</v>
      </c>
      <c r="T26" s="21">
        <f>$T$17*E26</f>
        <v>1620.3810000000001</v>
      </c>
      <c r="U26" s="21">
        <f>ROUND((($A$24*$U$17*5)+($A$24*$U$18*7))/12,2)</f>
        <v>1993.25</v>
      </c>
      <c r="V26" s="21"/>
      <c r="W26" s="21">
        <f>S26+T26+U26</f>
        <v>3853.6310000000003</v>
      </c>
      <c r="X26" s="21"/>
      <c r="Y26" s="21"/>
      <c r="Z26" s="21"/>
      <c r="AA26" s="21"/>
      <c r="AB26" s="7">
        <f>+$AB$20</f>
        <v>240.15187499999999</v>
      </c>
      <c r="AC26" s="21">
        <f>$AC$17*E26</f>
        <v>1639.799</v>
      </c>
      <c r="AD26" s="21">
        <f>ROUND((($A$24*$AD$17*5)+($A$24*$AD$18*7))/12,2)</f>
        <v>2191.42</v>
      </c>
      <c r="AE26" s="21"/>
      <c r="AF26" s="21">
        <f>AB26+AC26+AD26</f>
        <v>4071.3708750000001</v>
      </c>
      <c r="AG26" s="21"/>
      <c r="AH26" s="21"/>
      <c r="AI26" s="20">
        <f>AF26-W26</f>
        <v>217.73987499999976</v>
      </c>
      <c r="AJ26" s="18">
        <f>AF26/W26-1</f>
        <v>5.6502523204738475E-2</v>
      </c>
    </row>
    <row r="27" spans="1:41" x14ac:dyDescent="0.2">
      <c r="A27" s="1"/>
      <c r="C27" s="13"/>
      <c r="E27" s="1"/>
      <c r="J27" s="5"/>
      <c r="P27" s="56"/>
      <c r="S27" s="7"/>
      <c r="T27" s="21"/>
      <c r="U27" s="21"/>
      <c r="V27" s="21"/>
      <c r="W27" s="21"/>
      <c r="X27" s="21"/>
      <c r="Y27" s="21"/>
      <c r="Z27" s="21"/>
      <c r="AA27" s="21"/>
      <c r="AB27" s="7"/>
      <c r="AC27" s="21"/>
      <c r="AD27" s="21"/>
      <c r="AE27" s="21"/>
      <c r="AF27" s="21"/>
      <c r="AG27" s="21"/>
      <c r="AH27" s="21"/>
      <c r="AI27" s="20"/>
      <c r="AJ27" s="18"/>
    </row>
    <row r="28" spans="1:41" x14ac:dyDescent="0.2">
      <c r="A28" s="1">
        <v>150</v>
      </c>
      <c r="C28" s="13">
        <v>0.3</v>
      </c>
      <c r="E28" s="1">
        <f>C28*($A$28*730)</f>
        <v>32850</v>
      </c>
      <c r="G28" s="30">
        <f>+W28</f>
        <v>4271.5535</v>
      </c>
      <c r="H28" s="30">
        <f>+AF28</f>
        <v>4581.4383749999997</v>
      </c>
      <c r="I28" s="30">
        <f>+H28-G28</f>
        <v>309.88487499999974</v>
      </c>
      <c r="J28" s="56">
        <f>ROUND(+I28/G28,4)</f>
        <v>7.2499999999999995E-2</v>
      </c>
      <c r="K28" s="30">
        <f>ROUND($T$10*$E28,2)</f>
        <v>-63.06</v>
      </c>
      <c r="L28" s="30">
        <f>ROUND($T$11*$E28,2)</f>
        <v>1.9</v>
      </c>
      <c r="M28" s="30">
        <f>ROUND($T$12*$E28,2)</f>
        <v>42.9</v>
      </c>
      <c r="N28" s="30">
        <f>+G28+K28+L28+M28</f>
        <v>4253.2934999999989</v>
      </c>
      <c r="O28" s="30">
        <f>+H28+K28+L28+M28</f>
        <v>4563.1783749999986</v>
      </c>
      <c r="P28" s="56">
        <f>ROUND((O28-N28)/N28,4)</f>
        <v>7.2900000000000006E-2</v>
      </c>
      <c r="S28" s="7">
        <f>$S$20</f>
        <v>240</v>
      </c>
      <c r="T28" s="21">
        <f>$T$17*E28</f>
        <v>1041.6735000000001</v>
      </c>
      <c r="U28" s="21">
        <f>ROUND((($A$28*$U$17*5)+($A$28*$U$18*7))/12,2)</f>
        <v>2989.88</v>
      </c>
      <c r="V28" s="21"/>
      <c r="W28" s="21">
        <f>S28+T28+U28</f>
        <v>4271.5535</v>
      </c>
      <c r="X28" s="21"/>
      <c r="Y28" s="21"/>
      <c r="Z28" s="21"/>
      <c r="AA28" s="21"/>
      <c r="AB28" s="7">
        <f>+$AB$20</f>
        <v>240.15187499999999</v>
      </c>
      <c r="AC28" s="21">
        <f>$AC$17*E28</f>
        <v>1054.1565000000001</v>
      </c>
      <c r="AD28" s="21">
        <f>ROUND((($A$28*$AD$17*5)+($A$28*$AD$18*7))/12,2)</f>
        <v>3287.13</v>
      </c>
      <c r="AE28" s="21"/>
      <c r="AF28" s="21">
        <f>AB28+AC28+AD28</f>
        <v>4581.4383749999997</v>
      </c>
      <c r="AG28" s="21"/>
      <c r="AH28" s="21"/>
      <c r="AI28" s="20">
        <f>AF28-W28</f>
        <v>309.88487499999974</v>
      </c>
      <c r="AJ28" s="18">
        <f>AF28/W28-1</f>
        <v>7.2546176701286713E-2</v>
      </c>
    </row>
    <row r="29" spans="1:41" x14ac:dyDescent="0.2">
      <c r="A29" s="1"/>
      <c r="C29" s="13">
        <v>0.5</v>
      </c>
      <c r="E29" s="1">
        <f>C29*($A$28*730)</f>
        <v>54750</v>
      </c>
      <c r="G29" s="30">
        <f>+W29</f>
        <v>4966.0025000000005</v>
      </c>
      <c r="H29" s="30">
        <f>+AF29</f>
        <v>5284.2093750000004</v>
      </c>
      <c r="I29" s="30">
        <f>+H29-G29</f>
        <v>318.20687499999985</v>
      </c>
      <c r="J29" s="56">
        <f>ROUND(+I29/G29,4)</f>
        <v>6.4100000000000004E-2</v>
      </c>
      <c r="K29" s="30">
        <f>ROUND($T$10*$E29,2)</f>
        <v>-105.1</v>
      </c>
      <c r="L29" s="30">
        <f>ROUND($T$11*$E29,2)</f>
        <v>3.17</v>
      </c>
      <c r="M29" s="30">
        <f>ROUND($T$12*$E29,2)</f>
        <v>71.5</v>
      </c>
      <c r="N29" s="30">
        <f>+G29+K29+L29+M29</f>
        <v>4935.5725000000002</v>
      </c>
      <c r="O29" s="30">
        <f>+H29+K29+L29+M29</f>
        <v>5253.7793750000001</v>
      </c>
      <c r="P29" s="56">
        <f>ROUND((O29-N29)/N29,4)</f>
        <v>6.4500000000000002E-2</v>
      </c>
      <c r="S29" s="7">
        <f>$S$20</f>
        <v>240</v>
      </c>
      <c r="T29" s="21">
        <f>$T$17*E29</f>
        <v>1736.1225000000002</v>
      </c>
      <c r="U29" s="21">
        <f>ROUND((($A$28*$U$17*5)+($A$28*$U$18*7))/12,2)</f>
        <v>2989.88</v>
      </c>
      <c r="V29" s="21"/>
      <c r="W29" s="21">
        <f>S29+T29+U29</f>
        <v>4966.0025000000005</v>
      </c>
      <c r="X29" s="21"/>
      <c r="Y29" s="21"/>
      <c r="Z29" s="21"/>
      <c r="AA29" s="21"/>
      <c r="AB29" s="7">
        <f>+$AB$20</f>
        <v>240.15187499999999</v>
      </c>
      <c r="AC29" s="21">
        <f>$AC$17*E29</f>
        <v>1756.9275</v>
      </c>
      <c r="AD29" s="21">
        <f>ROUND((($A$28*$AD$17*5)+($A$28*$AD$18*7))/12,2)</f>
        <v>3287.13</v>
      </c>
      <c r="AE29" s="21"/>
      <c r="AF29" s="21">
        <f>AB29+AC29+AD29</f>
        <v>5284.2093750000004</v>
      </c>
      <c r="AG29" s="21"/>
      <c r="AH29" s="21"/>
      <c r="AI29" s="20">
        <f>AF29-W29</f>
        <v>318.20687499999985</v>
      </c>
      <c r="AJ29" s="18">
        <f>AF29/W29-1</f>
        <v>6.4077067017183298E-2</v>
      </c>
    </row>
    <row r="30" spans="1:41" x14ac:dyDescent="0.2">
      <c r="A30" s="1"/>
      <c r="C30" s="13">
        <v>0.7</v>
      </c>
      <c r="E30" s="1">
        <f>C30*($A$28*730)</f>
        <v>76650</v>
      </c>
      <c r="G30" s="30">
        <f>+W30</f>
        <v>5660.4515000000001</v>
      </c>
      <c r="H30" s="30">
        <f>+AF30</f>
        <v>5986.9803750000001</v>
      </c>
      <c r="I30" s="30">
        <f>+H30-G30</f>
        <v>326.52887499999997</v>
      </c>
      <c r="J30" s="56">
        <f>ROUND(+I30/G30,4)</f>
        <v>5.7700000000000001E-2</v>
      </c>
      <c r="K30" s="30">
        <f>ROUND($T$10*$E30,2)</f>
        <v>-147.15</v>
      </c>
      <c r="L30" s="30">
        <f>ROUND($T$11*$E30,2)</f>
        <v>4.4400000000000004</v>
      </c>
      <c r="M30" s="30">
        <f>ROUND($T$12*$E30,2)</f>
        <v>100.11</v>
      </c>
      <c r="N30" s="30">
        <f>+G30+K30+L30+M30</f>
        <v>5617.8514999999998</v>
      </c>
      <c r="O30" s="30">
        <f>+H30+K30+L30+M30</f>
        <v>5944.3803749999997</v>
      </c>
      <c r="P30" s="56">
        <f>ROUND((O30-N30)/N30,4)</f>
        <v>5.8099999999999999E-2</v>
      </c>
      <c r="S30" s="7">
        <f>$S$20</f>
        <v>240</v>
      </c>
      <c r="T30" s="21">
        <f>$T$17*E30</f>
        <v>2430.5715</v>
      </c>
      <c r="U30" s="21">
        <f>ROUND((($A$28*$U$17*5)+($A$28*$U$18*7))/12,2)</f>
        <v>2989.88</v>
      </c>
      <c r="V30" s="21"/>
      <c r="W30" s="21">
        <f>S30+T30+U30</f>
        <v>5660.4515000000001</v>
      </c>
      <c r="X30" s="21"/>
      <c r="Y30" s="21"/>
      <c r="Z30" s="21"/>
      <c r="AA30" s="21"/>
      <c r="AB30" s="7">
        <f>+$AB$20</f>
        <v>240.15187499999999</v>
      </c>
      <c r="AC30" s="21">
        <f>$AC$17*E30</f>
        <v>2459.6985</v>
      </c>
      <c r="AD30" s="21">
        <f>ROUND((($A$28*$AD$17*5)+($A$28*$AD$18*7))/12,2)</f>
        <v>3287.13</v>
      </c>
      <c r="AE30" s="21"/>
      <c r="AF30" s="21">
        <f>AB30+AC30+AD30</f>
        <v>5986.9803750000001</v>
      </c>
      <c r="AG30" s="21"/>
      <c r="AH30" s="21"/>
      <c r="AI30" s="20">
        <f>AF30-W30</f>
        <v>326.52887499999997</v>
      </c>
      <c r="AJ30" s="18">
        <f>AF30/W30-1</f>
        <v>5.768601232604853E-2</v>
      </c>
    </row>
    <row r="31" spans="1:41" x14ac:dyDescent="0.2">
      <c r="A31" s="1"/>
      <c r="C31" s="13"/>
      <c r="E31" s="1"/>
      <c r="J31" s="5"/>
      <c r="P31" s="56"/>
      <c r="S31" s="7"/>
      <c r="T31" s="21"/>
      <c r="U31" s="21"/>
      <c r="V31" s="21"/>
      <c r="W31" s="21"/>
      <c r="X31" s="21"/>
      <c r="Y31" s="21"/>
      <c r="Z31" s="21"/>
      <c r="AA31" s="21"/>
      <c r="AB31" s="7"/>
      <c r="AC31" s="21"/>
      <c r="AD31" s="21"/>
      <c r="AE31" s="21"/>
      <c r="AF31" s="21"/>
      <c r="AG31" s="21"/>
      <c r="AH31" s="21"/>
      <c r="AI31" s="20"/>
      <c r="AJ31" s="18"/>
    </row>
    <row r="32" spans="1:41" x14ac:dyDescent="0.2">
      <c r="A32" s="1">
        <v>250</v>
      </c>
      <c r="C32" s="13">
        <v>0.3</v>
      </c>
      <c r="E32" s="1">
        <f>C32*($A$32*730)</f>
        <v>54750</v>
      </c>
      <c r="G32" s="30">
        <f>+W32</f>
        <v>6959.2525000000005</v>
      </c>
      <c r="H32" s="30">
        <f>+AF32</f>
        <v>7475.6193750000002</v>
      </c>
      <c r="I32" s="30">
        <f>+H32-G32</f>
        <v>516.36687499999971</v>
      </c>
      <c r="J32" s="56">
        <f>ROUND(+I32/G32,4)</f>
        <v>7.4200000000000002E-2</v>
      </c>
      <c r="K32" s="30">
        <f>ROUND($T$10*$E32,2)</f>
        <v>-105.1</v>
      </c>
      <c r="L32" s="30">
        <f>ROUND($T$11*$E32,2)</f>
        <v>3.17</v>
      </c>
      <c r="M32" s="30">
        <f>ROUND($T$12*$E32,2)</f>
        <v>71.5</v>
      </c>
      <c r="N32" s="30">
        <f>+G32+K32+L32+M32</f>
        <v>6928.8225000000002</v>
      </c>
      <c r="O32" s="30">
        <f>+H32+K32+L32+M32</f>
        <v>7445.1893749999999</v>
      </c>
      <c r="P32" s="56">
        <f>ROUND((O32-N32)/N32,4)</f>
        <v>7.4499999999999997E-2</v>
      </c>
      <c r="S32" s="7">
        <f>$S$20</f>
        <v>240</v>
      </c>
      <c r="T32" s="21">
        <f>$T$17*E32</f>
        <v>1736.1225000000002</v>
      </c>
      <c r="U32" s="21">
        <f>ROUND((($A$32*$U$17*5)+($A$32*$U$18*7))/12,2)</f>
        <v>4983.13</v>
      </c>
      <c r="V32" s="21"/>
      <c r="W32" s="21">
        <f>S32+T32+U32</f>
        <v>6959.2525000000005</v>
      </c>
      <c r="X32" s="21"/>
      <c r="Y32" s="21"/>
      <c r="Z32" s="21"/>
      <c r="AA32" s="21"/>
      <c r="AB32" s="7">
        <f>+$AB$20</f>
        <v>240.15187499999999</v>
      </c>
      <c r="AC32" s="21">
        <f>$AC$17*E32</f>
        <v>1756.9275</v>
      </c>
      <c r="AD32" s="21">
        <f>ROUND((($A$32*$AD$17*5)+($A$32*$AD$18*7))/12,2)</f>
        <v>5478.54</v>
      </c>
      <c r="AE32" s="21"/>
      <c r="AF32" s="21">
        <f>AB32+AC32+AD32</f>
        <v>7475.6193750000002</v>
      </c>
      <c r="AG32" s="21"/>
      <c r="AH32" s="21"/>
      <c r="AI32" s="20">
        <f>AF32-W32</f>
        <v>516.36687499999971</v>
      </c>
      <c r="AJ32" s="18">
        <f>AF32/W32-1</f>
        <v>7.4198611848039775E-2</v>
      </c>
    </row>
    <row r="33" spans="1:36" x14ac:dyDescent="0.2">
      <c r="A33" s="1"/>
      <c r="C33" s="13">
        <v>0.5</v>
      </c>
      <c r="E33" s="1">
        <f>C33*($A$32*730)</f>
        <v>91250</v>
      </c>
      <c r="G33" s="30">
        <f>+W33</f>
        <v>8116.6675000000005</v>
      </c>
      <c r="H33" s="30">
        <f>+AF33</f>
        <v>8646.9043750000001</v>
      </c>
      <c r="I33" s="30">
        <f>+H33-G33</f>
        <v>530.2368749999996</v>
      </c>
      <c r="J33" s="56">
        <f>ROUND(+I33/G33,4)</f>
        <v>6.5299999999999997E-2</v>
      </c>
      <c r="K33" s="30">
        <f>ROUND($T$10*$E33,2)</f>
        <v>-175.17</v>
      </c>
      <c r="L33" s="30">
        <f>ROUND($T$11*$E33,2)</f>
        <v>5.29</v>
      </c>
      <c r="M33" s="30">
        <f>ROUND($T$12*$E33,2)</f>
        <v>119.17</v>
      </c>
      <c r="N33" s="30">
        <f>+G33+K33+L33+M33</f>
        <v>8065.9575000000004</v>
      </c>
      <c r="O33" s="30">
        <f>+H33+K33+L33+M33</f>
        <v>8596.1943750000009</v>
      </c>
      <c r="P33" s="56">
        <f>ROUND((O33-N33)/N33,4)</f>
        <v>6.5699999999999995E-2</v>
      </c>
      <c r="S33" s="7">
        <f>$S$20</f>
        <v>240</v>
      </c>
      <c r="T33" s="21">
        <f>$T$17*E33</f>
        <v>2893.5375000000004</v>
      </c>
      <c r="U33" s="21">
        <f>ROUND((($A$32*$U$17*5)+($A$32*$U$18*7))/12,2)</f>
        <v>4983.13</v>
      </c>
      <c r="V33" s="21"/>
      <c r="W33" s="21">
        <f>S33+T33+U33</f>
        <v>8116.6675000000005</v>
      </c>
      <c r="X33" s="21"/>
      <c r="Y33" s="21"/>
      <c r="Z33" s="21"/>
      <c r="AA33" s="21"/>
      <c r="AB33" s="7">
        <f>+$AB$20</f>
        <v>240.15187499999999</v>
      </c>
      <c r="AC33" s="21">
        <f>$AC$17*E33</f>
        <v>2928.2125000000001</v>
      </c>
      <c r="AD33" s="21">
        <f>ROUND((($A$32*$AD$17*5)+($A$32*$AD$18*7))/12,2)</f>
        <v>5478.54</v>
      </c>
      <c r="AE33" s="21"/>
      <c r="AF33" s="21">
        <f>AB33+AC33+AD33</f>
        <v>8646.9043750000001</v>
      </c>
      <c r="AG33" s="21"/>
      <c r="AH33" s="21"/>
      <c r="AI33" s="20">
        <f>AF33-W33</f>
        <v>530.2368749999996</v>
      </c>
      <c r="AJ33" s="18">
        <f>AF33/W33-1</f>
        <v>6.5326918344258855E-2</v>
      </c>
    </row>
    <row r="34" spans="1:36" x14ac:dyDescent="0.2">
      <c r="A34" s="1"/>
      <c r="C34" s="13">
        <v>0.7</v>
      </c>
      <c r="E34" s="1">
        <f>C34*($A$32*730)</f>
        <v>127749.99999999999</v>
      </c>
      <c r="G34" s="30">
        <f>+W34</f>
        <v>9274.0825000000004</v>
      </c>
      <c r="H34" s="30">
        <f>+AF34</f>
        <v>9818.1893749999981</v>
      </c>
      <c r="I34" s="30">
        <f>+H34-G34</f>
        <v>544.10687499999767</v>
      </c>
      <c r="J34" s="56">
        <f>ROUND(+I34/G34,4)</f>
        <v>5.8700000000000002E-2</v>
      </c>
      <c r="K34" s="30">
        <f>ROUND($T$10*$E34,2)</f>
        <v>-245.24</v>
      </c>
      <c r="L34" s="30">
        <f>ROUND($T$11*$E34,2)</f>
        <v>7.4</v>
      </c>
      <c r="M34" s="30">
        <f>ROUND($T$12*$E34,2)</f>
        <v>166.84</v>
      </c>
      <c r="N34" s="30">
        <f>+G34+K34+L34+M34</f>
        <v>9203.0825000000004</v>
      </c>
      <c r="O34" s="30">
        <f>+H34+K34+L34+M34</f>
        <v>9747.1893749999981</v>
      </c>
      <c r="P34" s="56">
        <f>ROUND((O34-N34)/N34,4)</f>
        <v>5.91E-2</v>
      </c>
      <c r="S34" s="7">
        <f>$S$20</f>
        <v>240</v>
      </c>
      <c r="T34" s="21">
        <f>$T$17*E34</f>
        <v>4050.9524999999999</v>
      </c>
      <c r="U34" s="21">
        <f>ROUND((($A$32*$U$17*5)+($A$32*$U$18*7))/12,2)</f>
        <v>4983.13</v>
      </c>
      <c r="V34" s="21"/>
      <c r="W34" s="21">
        <f>S34+T34+U34</f>
        <v>9274.0825000000004</v>
      </c>
      <c r="X34" s="21"/>
      <c r="Y34" s="21"/>
      <c r="Z34" s="21"/>
      <c r="AA34" s="21"/>
      <c r="AB34" s="7">
        <f>+$AB$20</f>
        <v>240.15187499999999</v>
      </c>
      <c r="AC34" s="21">
        <f>$AC$17*E34</f>
        <v>4099.4974999999995</v>
      </c>
      <c r="AD34" s="21">
        <f>ROUND((($A$32*$AD$17*5)+($A$32*$AD$18*7))/12,2)</f>
        <v>5478.54</v>
      </c>
      <c r="AE34" s="21"/>
      <c r="AF34" s="21">
        <f>AB34+AC34+AD34</f>
        <v>9818.1893749999981</v>
      </c>
      <c r="AG34" s="21"/>
      <c r="AH34" s="21"/>
      <c r="AI34" s="20">
        <f>AF34-W34</f>
        <v>544.10687499999767</v>
      </c>
      <c r="AJ34" s="18">
        <f>AF34/W34-1</f>
        <v>5.8669617722291845E-2</v>
      </c>
    </row>
    <row r="35" spans="1:36" x14ac:dyDescent="0.2">
      <c r="A35" s="1"/>
      <c r="C35" s="13"/>
      <c r="E35" s="1"/>
      <c r="J35" s="5"/>
      <c r="P35" s="56"/>
      <c r="S35" s="7"/>
      <c r="T35" s="21"/>
      <c r="U35" s="21"/>
      <c r="V35" s="21"/>
      <c r="W35" s="21"/>
      <c r="X35" s="21"/>
      <c r="Y35" s="21"/>
      <c r="Z35" s="21"/>
      <c r="AA35" s="21"/>
      <c r="AB35" s="7"/>
      <c r="AC35" s="21"/>
      <c r="AD35" s="21"/>
      <c r="AE35" s="21"/>
      <c r="AF35" s="21"/>
      <c r="AG35" s="21"/>
      <c r="AH35" s="21"/>
      <c r="AI35" s="20"/>
      <c r="AJ35" s="18"/>
    </row>
    <row r="36" spans="1:36" x14ac:dyDescent="0.2">
      <c r="A36" s="1">
        <v>500</v>
      </c>
      <c r="C36" s="13">
        <v>0.3</v>
      </c>
      <c r="E36" s="1">
        <f>C36*($A$36*730)</f>
        <v>109500</v>
      </c>
      <c r="G36" s="30">
        <f>+W36</f>
        <v>13678.495000000001</v>
      </c>
      <c r="H36" s="30">
        <f>+AF36</f>
        <v>14711.086875000001</v>
      </c>
      <c r="I36" s="30">
        <f>+H36-G36</f>
        <v>1032.5918750000001</v>
      </c>
      <c r="J36" s="56">
        <f>ROUND(+I36/G36,4)</f>
        <v>7.5499999999999998E-2</v>
      </c>
      <c r="K36" s="30">
        <f>ROUND($T$10*$E36,2)</f>
        <v>-210.21</v>
      </c>
      <c r="L36" s="30">
        <f>ROUND($T$11*$E36,2)</f>
        <v>6.35</v>
      </c>
      <c r="M36" s="30">
        <f>ROUND($T$12*$E36,2)</f>
        <v>143.01</v>
      </c>
      <c r="N36" s="30">
        <f>+G36+K36+L36+M36</f>
        <v>13617.645000000002</v>
      </c>
      <c r="O36" s="30">
        <f>+H36+K36+L36+M36</f>
        <v>14650.236875000002</v>
      </c>
      <c r="P36" s="56">
        <f>ROUND((O36-N36)/N36,4)</f>
        <v>7.5800000000000006E-2</v>
      </c>
      <c r="S36" s="7">
        <f>$S$20</f>
        <v>240</v>
      </c>
      <c r="T36" s="21">
        <f>$T$17*E36</f>
        <v>3472.2450000000003</v>
      </c>
      <c r="U36" s="21">
        <f>ROUND((($A$36*$U$17*5)+($A$36*$U$18*7))/12,2)</f>
        <v>9966.25</v>
      </c>
      <c r="V36" s="21"/>
      <c r="W36" s="21">
        <f>S36+T36+U36</f>
        <v>13678.495000000001</v>
      </c>
      <c r="X36" s="21"/>
      <c r="Y36" s="21"/>
      <c r="Z36" s="21"/>
      <c r="AA36" s="21"/>
      <c r="AB36" s="7">
        <f>+$AB$20</f>
        <v>240.15187499999999</v>
      </c>
      <c r="AC36" s="21">
        <f>$AC$17*E36</f>
        <v>3513.855</v>
      </c>
      <c r="AD36" s="21">
        <f>ROUND((($A$36*$AD$17*5)+($A$36*$AD$18*7))/12,2)</f>
        <v>10957.08</v>
      </c>
      <c r="AE36" s="21"/>
      <c r="AF36" s="21">
        <f>AB36+AC36+AD36</f>
        <v>14711.086875000001</v>
      </c>
      <c r="AG36" s="21"/>
      <c r="AH36" s="21"/>
      <c r="AI36" s="20">
        <f>AF36-W36</f>
        <v>1032.5918750000001</v>
      </c>
      <c r="AJ36" s="18">
        <f>AF36/W36-1</f>
        <v>7.549016722965507E-2</v>
      </c>
    </row>
    <row r="37" spans="1:36" x14ac:dyDescent="0.2">
      <c r="A37" s="1"/>
      <c r="C37" s="13">
        <v>0.5</v>
      </c>
      <c r="E37" s="1">
        <f>C37*($A$36*730)</f>
        <v>182500</v>
      </c>
      <c r="G37" s="30">
        <f>+W37</f>
        <v>15993.325000000001</v>
      </c>
      <c r="H37" s="30">
        <f>+AF37</f>
        <v>17053.656875000001</v>
      </c>
      <c r="I37" s="30">
        <f>+H37-G37</f>
        <v>1060.3318749999999</v>
      </c>
      <c r="J37" s="56">
        <f>ROUND(+I37/G37,4)</f>
        <v>6.6299999999999998E-2</v>
      </c>
      <c r="K37" s="30">
        <f>ROUND($T$10*$E37,2)</f>
        <v>-350.35</v>
      </c>
      <c r="L37" s="30">
        <f>ROUND($T$11*$E37,2)</f>
        <v>10.58</v>
      </c>
      <c r="M37" s="30">
        <f>ROUND($T$12*$E37,2)</f>
        <v>238.35</v>
      </c>
      <c r="N37" s="30">
        <f>+G37+K37+L37+M37</f>
        <v>15891.905000000001</v>
      </c>
      <c r="O37" s="30">
        <f>+H37+K37+L37+M37</f>
        <v>16952.236875000002</v>
      </c>
      <c r="P37" s="56">
        <f>ROUND((O37-N37)/N37,4)</f>
        <v>6.6699999999999995E-2</v>
      </c>
      <c r="S37" s="7">
        <f>$S$20</f>
        <v>240</v>
      </c>
      <c r="T37" s="21">
        <f>$T$17*E37</f>
        <v>5787.0750000000007</v>
      </c>
      <c r="U37" s="21">
        <f>ROUND((($A$36*$U$17*5)+($A$36*$U$18*7))/12,2)</f>
        <v>9966.25</v>
      </c>
      <c r="V37" s="21"/>
      <c r="W37" s="21">
        <f>S37+T37+U37</f>
        <v>15993.325000000001</v>
      </c>
      <c r="X37" s="21"/>
      <c r="Y37" s="21"/>
      <c r="Z37" s="21"/>
      <c r="AA37" s="21"/>
      <c r="AB37" s="7">
        <f>+$AB$20</f>
        <v>240.15187499999999</v>
      </c>
      <c r="AC37" s="21">
        <f>$AC$17*E37</f>
        <v>5856.4250000000002</v>
      </c>
      <c r="AD37" s="21">
        <f>ROUND((($A$36*$AD$17*5)+($A$36*$AD$18*7))/12,2)</f>
        <v>10957.08</v>
      </c>
      <c r="AE37" s="21"/>
      <c r="AF37" s="21">
        <f>AB37+AC37+AD37</f>
        <v>17053.656875000001</v>
      </c>
      <c r="AG37" s="21"/>
      <c r="AH37" s="21"/>
      <c r="AI37" s="20">
        <f>AF37-W37</f>
        <v>1060.3318749999999</v>
      </c>
      <c r="AJ37" s="18">
        <f>AF37/W37-1</f>
        <v>6.6298401051688716E-2</v>
      </c>
    </row>
    <row r="38" spans="1:36" x14ac:dyDescent="0.2">
      <c r="A38" s="1"/>
      <c r="C38" s="13">
        <v>0.7</v>
      </c>
      <c r="E38" s="1">
        <f>C38*($A$36*730)</f>
        <v>255499.99999999997</v>
      </c>
      <c r="G38" s="30">
        <f>+W38</f>
        <v>18308.154999999999</v>
      </c>
      <c r="H38" s="30">
        <f>+AF38</f>
        <v>19396.226875</v>
      </c>
      <c r="I38" s="30">
        <f>+H38-G38</f>
        <v>1088.0718750000015</v>
      </c>
      <c r="J38" s="56">
        <f>ROUND(+I38/G38,4)</f>
        <v>5.9400000000000001E-2</v>
      </c>
      <c r="K38" s="30">
        <f>ROUND($T$10*$E38,2)</f>
        <v>-490.49</v>
      </c>
      <c r="L38" s="30">
        <f>ROUND($T$11*$E38,2)</f>
        <v>14.81</v>
      </c>
      <c r="M38" s="30">
        <f>ROUND($T$12*$E38,2)</f>
        <v>333.69</v>
      </c>
      <c r="N38" s="30">
        <f>+G38+K38+L38+M38</f>
        <v>18166.164999999997</v>
      </c>
      <c r="O38" s="30">
        <f>+H38+K38+L38+M38</f>
        <v>19254.236874999999</v>
      </c>
      <c r="P38" s="56">
        <f>ROUND((O38-N38)/N38,4)</f>
        <v>5.9900000000000002E-2</v>
      </c>
      <c r="S38" s="7">
        <f>$S$20</f>
        <v>240</v>
      </c>
      <c r="T38" s="21">
        <f>$T$17*E38</f>
        <v>8101.9049999999997</v>
      </c>
      <c r="U38" s="21">
        <f>ROUND((($A$36*$U$17*5)+($A$36*$U$18*7))/12,2)</f>
        <v>9966.25</v>
      </c>
      <c r="V38" s="21"/>
      <c r="W38" s="21">
        <f>S38+T38+U38</f>
        <v>18308.154999999999</v>
      </c>
      <c r="X38" s="21"/>
      <c r="Y38" s="21"/>
      <c r="Z38" s="21"/>
      <c r="AA38" s="21"/>
      <c r="AB38" s="7">
        <f>+$AB$20</f>
        <v>240.15187499999999</v>
      </c>
      <c r="AC38" s="21">
        <f>$AC$17*E38</f>
        <v>8198.994999999999</v>
      </c>
      <c r="AD38" s="21">
        <f>ROUND((($A$36*$AD$17*5)+($A$36*$AD$18*7))/12,2)</f>
        <v>10957.08</v>
      </c>
      <c r="AE38" s="21"/>
      <c r="AF38" s="21">
        <f>AB38+AC38+AD38</f>
        <v>19396.226875</v>
      </c>
      <c r="AG38" s="21"/>
      <c r="AH38" s="21"/>
      <c r="AI38" s="20">
        <f>AF38-W38</f>
        <v>1088.0718750000015</v>
      </c>
      <c r="AJ38" s="18">
        <f>AF38/W38-1</f>
        <v>5.9430995367911299E-2</v>
      </c>
    </row>
    <row r="39" spans="1:36" x14ac:dyDescent="0.2">
      <c r="E39" s="1"/>
      <c r="L39" s="30"/>
      <c r="T39" s="21"/>
      <c r="U39" s="21"/>
      <c r="V39" s="21"/>
      <c r="W39" s="21"/>
      <c r="X39" s="21"/>
      <c r="Y39" s="21"/>
      <c r="Z39" s="21"/>
      <c r="AA39" s="21"/>
    </row>
    <row r="40" spans="1:36" x14ac:dyDescent="0.2">
      <c r="A40" s="17" t="s">
        <v>313</v>
      </c>
      <c r="T40" s="21"/>
      <c r="U40" s="21"/>
      <c r="V40" s="21"/>
      <c r="W40" s="21"/>
      <c r="X40" s="21"/>
      <c r="Y40" s="21"/>
      <c r="Z40" s="21"/>
      <c r="AA40" s="21"/>
    </row>
    <row r="41" spans="1:36" x14ac:dyDescent="0.2">
      <c r="A41" s="179" t="str">
        <f>("Average usage = "&amp;TEXT(INPUT!$I$19*1,"0,000")&amp;" kWh per month")</f>
        <v>Average usage = 58,355 kWh per month</v>
      </c>
      <c r="E41" s="1"/>
      <c r="S41" s="7"/>
      <c r="T41" s="21"/>
      <c r="U41" s="12"/>
      <c r="W41" s="12"/>
      <c r="AA41" s="6"/>
      <c r="AC41" s="9"/>
    </row>
    <row r="42" spans="1:36" x14ac:dyDescent="0.2">
      <c r="A42" s="180" t="s">
        <v>314</v>
      </c>
      <c r="E42" s="1"/>
      <c r="S42" s="7"/>
      <c r="T42" s="21"/>
      <c r="U42" s="12"/>
      <c r="W42" s="12"/>
      <c r="AA42" s="6"/>
      <c r="AC42" s="9"/>
    </row>
    <row r="43" spans="1:36" x14ac:dyDescent="0.2">
      <c r="A43" s="181" t="s">
        <v>315</v>
      </c>
    </row>
    <row r="44" spans="1:36" x14ac:dyDescent="0.2">
      <c r="A44" s="181" t="s">
        <v>322</v>
      </c>
    </row>
    <row r="46" spans="1:36" x14ac:dyDescent="0.2">
      <c r="A46" s="180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N68"/>
  <sheetViews>
    <sheetView view="pageBreakPreview" zoomScale="85" zoomScaleNormal="100" zoomScaleSheetLayoutView="85" workbookViewId="0">
      <selection sqref="A1:Q1"/>
    </sheetView>
  </sheetViews>
  <sheetFormatPr defaultRowHeight="12.75" x14ac:dyDescent="0.2"/>
  <cols>
    <col min="1" max="2" width="7.140625" customWidth="1"/>
    <col min="3" max="3" width="2.42578125" customWidth="1"/>
    <col min="4" max="4" width="6.5703125" customWidth="1"/>
    <col min="5" max="5" width="1.85546875" customWidth="1"/>
    <col min="6" max="6" width="9.5703125" customWidth="1"/>
    <col min="7" max="7" width="2" customWidth="1"/>
    <col min="8" max="8" width="13.42578125" bestFit="1" customWidth="1"/>
    <col min="9" max="9" width="14.7109375" customWidth="1"/>
    <col min="10" max="10" width="11.28515625" bestFit="1" customWidth="1"/>
    <col min="11" max="11" width="9.85546875" customWidth="1"/>
    <col min="12" max="12" width="14.85546875" bestFit="1" customWidth="1"/>
    <col min="13" max="13" width="11.28515625" bestFit="1" customWidth="1"/>
    <col min="14" max="14" width="12.42578125" customWidth="1"/>
    <col min="15" max="16" width="13.42578125" bestFit="1" customWidth="1"/>
    <col min="17" max="19" width="9.85546875" customWidth="1"/>
    <col min="20" max="20" width="10" customWidth="1"/>
    <col min="21" max="21" width="14.85546875" bestFit="1" customWidth="1"/>
    <col min="22" max="22" width="12.5703125" bestFit="1" customWidth="1"/>
    <col min="23" max="23" width="12.7109375" bestFit="1" customWidth="1"/>
    <col min="24" max="24" width="12" bestFit="1" customWidth="1"/>
    <col min="25" max="25" width="13" bestFit="1" customWidth="1"/>
    <col min="26" max="26" width="3.140625" customWidth="1"/>
    <col min="27" max="27" width="14.42578125" customWidth="1"/>
    <col min="28" max="28" width="3.85546875" customWidth="1"/>
    <col min="29" max="29" width="2.42578125" customWidth="1"/>
    <col min="30" max="30" width="14.42578125" bestFit="1" customWidth="1"/>
    <col min="31" max="31" width="12.7109375" bestFit="1" customWidth="1"/>
    <col min="32" max="32" width="11.5703125" bestFit="1" customWidth="1"/>
    <col min="33" max="33" width="13.85546875" bestFit="1" customWidth="1"/>
    <col min="34" max="34" width="11.5703125" bestFit="1" customWidth="1"/>
    <col min="35" max="35" width="12.7109375" bestFit="1" customWidth="1"/>
    <col min="36" max="36" width="12.7109375" customWidth="1"/>
    <col min="37" max="37" width="11.140625" customWidth="1"/>
    <col min="38" max="38" width="11.42578125" bestFit="1" customWidth="1"/>
    <col min="39" max="39" width="10.7109375" customWidth="1"/>
    <col min="40" max="40" width="11.42578125" bestFit="1" customWidth="1"/>
  </cols>
  <sheetData>
    <row r="1" spans="1:40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40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T2" t="s">
        <v>20</v>
      </c>
      <c r="U2" s="1">
        <v>5598303</v>
      </c>
      <c r="V2" s="377">
        <f>U2/U3</f>
        <v>0.88809949221796947</v>
      </c>
    </row>
    <row r="3" spans="1:40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T3" t="s">
        <v>26</v>
      </c>
      <c r="U3" s="1">
        <v>6303689</v>
      </c>
      <c r="V3" s="377"/>
    </row>
    <row r="4" spans="1:40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T4" t="s">
        <v>20</v>
      </c>
      <c r="U4" s="1">
        <v>4173971</v>
      </c>
      <c r="V4" s="377">
        <f>U4/U5</f>
        <v>0.88668194047463522</v>
      </c>
    </row>
    <row r="5" spans="1:40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10"/>
      <c r="O5" s="210"/>
      <c r="P5" s="210"/>
      <c r="Q5" s="210"/>
      <c r="T5" t="s">
        <v>26</v>
      </c>
      <c r="U5" s="1">
        <v>4707405</v>
      </c>
      <c r="V5" s="377"/>
    </row>
    <row r="6" spans="1:40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210"/>
      <c r="O6" s="210"/>
      <c r="P6" s="210"/>
      <c r="Q6" s="210"/>
      <c r="T6" t="s">
        <v>20</v>
      </c>
      <c r="U6" s="1">
        <v>4068245</v>
      </c>
      <c r="V6" s="377">
        <f>U6/U7</f>
        <v>0.88660333253860568</v>
      </c>
    </row>
    <row r="7" spans="1:40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10"/>
      <c r="N7" s="210"/>
      <c r="O7" s="210"/>
      <c r="P7" s="210"/>
      <c r="Q7" s="214" t="str">
        <f>+'Rate Case Constants'!C25</f>
        <v>SCHEDULE N</v>
      </c>
      <c r="T7" t="s">
        <v>26</v>
      </c>
      <c r="U7" s="1">
        <v>4588574</v>
      </c>
      <c r="V7" s="377"/>
    </row>
    <row r="8" spans="1:40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10"/>
      <c r="N8" s="210"/>
      <c r="O8" s="210"/>
      <c r="P8" s="210"/>
      <c r="Q8" s="208" t="str">
        <f>+'Rate Case Constants'!L17</f>
        <v>PAGE 10 of 24</v>
      </c>
      <c r="U8" s="377"/>
      <c r="V8" s="377"/>
    </row>
    <row r="9" spans="1:40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10"/>
      <c r="N9" s="210"/>
      <c r="O9" s="210"/>
      <c r="P9" s="210"/>
      <c r="Q9" s="208" t="str">
        <f>+'Rate Case Constants'!C36</f>
        <v>WITNESS:   R. M. CONROY</v>
      </c>
    </row>
    <row r="10" spans="1:40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T10" s="85" t="s">
        <v>71</v>
      </c>
      <c r="U10">
        <f>+INPUT!G61</f>
        <v>-1.9138607330984607E-3</v>
      </c>
    </row>
    <row r="11" spans="1:40" x14ac:dyDescent="0.2">
      <c r="A11" s="126" t="s">
        <v>266</v>
      </c>
      <c r="B11" s="126"/>
      <c r="T11" s="85" t="s">
        <v>73</v>
      </c>
      <c r="U11">
        <f>+INPUT!H61</f>
        <v>4.5112911000382015E-5</v>
      </c>
      <c r="W11" s="61" t="s">
        <v>162</v>
      </c>
      <c r="AE11" s="61" t="s">
        <v>162</v>
      </c>
    </row>
    <row r="12" spans="1:40" x14ac:dyDescent="0.2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85" t="s">
        <v>72</v>
      </c>
      <c r="U12">
        <f>+INPUT!I61</f>
        <v>1.5091809894474072E-3</v>
      </c>
    </row>
    <row r="13" spans="1:40" x14ac:dyDescent="0.2">
      <c r="A13" s="44"/>
      <c r="B13" s="44"/>
      <c r="H13" s="87" t="s">
        <v>303</v>
      </c>
      <c r="I13" s="88" t="s">
        <v>304</v>
      </c>
      <c r="J13" s="88" t="s">
        <v>305</v>
      </c>
      <c r="K13" s="87" t="s">
        <v>306</v>
      </c>
      <c r="L13" s="87" t="s">
        <v>307</v>
      </c>
      <c r="M13" s="87" t="s">
        <v>308</v>
      </c>
      <c r="N13" s="87" t="s">
        <v>309</v>
      </c>
      <c r="O13" s="87" t="s">
        <v>310</v>
      </c>
      <c r="P13" s="87" t="s">
        <v>311</v>
      </c>
      <c r="Q13" s="87" t="s">
        <v>312</v>
      </c>
      <c r="V13" s="3" t="s">
        <v>1</v>
      </c>
      <c r="W13" s="3" t="s">
        <v>1</v>
      </c>
      <c r="X13" s="3" t="s">
        <v>1</v>
      </c>
      <c r="AA13" s="3" t="s">
        <v>72</v>
      </c>
      <c r="AE13" s="21"/>
      <c r="AF13" s="22" t="s">
        <v>9</v>
      </c>
      <c r="AG13" s="22" t="s">
        <v>9</v>
      </c>
      <c r="AH13" s="22" t="s">
        <v>9</v>
      </c>
      <c r="AI13" s="21"/>
      <c r="AJ13" s="3" t="s">
        <v>72</v>
      </c>
    </row>
    <row r="14" spans="1:40" x14ac:dyDescent="0.2">
      <c r="H14" s="200" t="s">
        <v>327</v>
      </c>
      <c r="I14" s="200" t="s">
        <v>327</v>
      </c>
      <c r="L14" s="17"/>
      <c r="M14" s="17"/>
      <c r="N14" s="17"/>
      <c r="O14" s="3" t="s">
        <v>5</v>
      </c>
      <c r="P14" s="3" t="s">
        <v>5</v>
      </c>
      <c r="T14" s="3" t="s">
        <v>1</v>
      </c>
      <c r="U14" s="3" t="s">
        <v>1</v>
      </c>
      <c r="V14" s="3" t="s">
        <v>34</v>
      </c>
      <c r="W14" s="3" t="s">
        <v>30</v>
      </c>
      <c r="X14" s="3" t="s">
        <v>22</v>
      </c>
      <c r="Y14" s="3" t="s">
        <v>1</v>
      </c>
      <c r="Z14" s="3"/>
      <c r="AA14" s="3" t="s">
        <v>1</v>
      </c>
      <c r="AD14" s="3" t="s">
        <v>9</v>
      </c>
      <c r="AE14" s="3" t="s">
        <v>9</v>
      </c>
      <c r="AF14" s="22" t="s">
        <v>34</v>
      </c>
      <c r="AG14" s="22" t="s">
        <v>30</v>
      </c>
      <c r="AH14" s="22" t="s">
        <v>22</v>
      </c>
      <c r="AI14" s="22" t="s">
        <v>9</v>
      </c>
      <c r="AJ14" s="3" t="s">
        <v>1</v>
      </c>
      <c r="AL14" s="3"/>
    </row>
    <row r="15" spans="1:40" x14ac:dyDescent="0.2">
      <c r="D15" s="3" t="s">
        <v>23</v>
      </c>
      <c r="F15" s="3"/>
      <c r="G15" s="3"/>
      <c r="H15" s="3" t="s">
        <v>1</v>
      </c>
      <c r="I15" s="3" t="s">
        <v>74</v>
      </c>
      <c r="J15" s="3"/>
      <c r="K15" s="3"/>
      <c r="L15" s="392" t="s">
        <v>251</v>
      </c>
      <c r="M15" s="392"/>
      <c r="N15" s="393"/>
      <c r="O15" s="3" t="s">
        <v>1</v>
      </c>
      <c r="P15" s="3" t="s">
        <v>74</v>
      </c>
      <c r="Q15" s="3"/>
      <c r="R15" s="3"/>
      <c r="S15" s="3"/>
      <c r="T15" s="3" t="s">
        <v>2</v>
      </c>
      <c r="U15" s="3" t="s">
        <v>56</v>
      </c>
      <c r="V15" s="3" t="s">
        <v>25</v>
      </c>
      <c r="W15" s="3" t="s">
        <v>25</v>
      </c>
      <c r="X15" s="3" t="s">
        <v>18</v>
      </c>
      <c r="Y15" s="3" t="s">
        <v>5</v>
      </c>
      <c r="Z15" s="3"/>
      <c r="AA15" s="3" t="s">
        <v>76</v>
      </c>
      <c r="AD15" s="27" t="s">
        <v>55</v>
      </c>
      <c r="AE15" s="3" t="s">
        <v>56</v>
      </c>
      <c r="AF15" s="22" t="s">
        <v>25</v>
      </c>
      <c r="AG15" s="22" t="s">
        <v>25</v>
      </c>
      <c r="AH15" s="22" t="s">
        <v>18</v>
      </c>
      <c r="AI15" s="22" t="s">
        <v>5</v>
      </c>
      <c r="AJ15" s="3" t="s">
        <v>76</v>
      </c>
      <c r="AL15" s="3" t="s">
        <v>6</v>
      </c>
      <c r="AM15" s="3"/>
      <c r="AN15" s="3" t="s">
        <v>8</v>
      </c>
    </row>
    <row r="16" spans="1:40" x14ac:dyDescent="0.2">
      <c r="A16" s="3" t="s">
        <v>20</v>
      </c>
      <c r="B16" s="3" t="s">
        <v>26</v>
      </c>
      <c r="D16" s="3" t="s">
        <v>24</v>
      </c>
      <c r="F16" s="3" t="s">
        <v>0</v>
      </c>
      <c r="G16" s="3"/>
      <c r="H16" s="3" t="s">
        <v>4</v>
      </c>
      <c r="I16" s="3" t="s">
        <v>4</v>
      </c>
      <c r="J16" s="3" t="s">
        <v>75</v>
      </c>
      <c r="K16" s="3" t="s">
        <v>75</v>
      </c>
      <c r="L16" s="87" t="s">
        <v>337</v>
      </c>
      <c r="M16" s="87" t="s">
        <v>73</v>
      </c>
      <c r="N16" s="87" t="s">
        <v>72</v>
      </c>
      <c r="O16" s="3" t="s">
        <v>4</v>
      </c>
      <c r="P16" s="3" t="s">
        <v>4</v>
      </c>
      <c r="Q16" s="3" t="s">
        <v>75</v>
      </c>
      <c r="R16" s="3"/>
      <c r="S16" s="3"/>
      <c r="T16" s="27" t="s">
        <v>3</v>
      </c>
      <c r="U16" s="3" t="s">
        <v>3</v>
      </c>
      <c r="V16" s="3" t="s">
        <v>3</v>
      </c>
      <c r="W16" s="3" t="s">
        <v>3</v>
      </c>
      <c r="X16" s="3" t="s">
        <v>3</v>
      </c>
      <c r="Y16" s="3" t="s">
        <v>4</v>
      </c>
      <c r="Z16" s="3"/>
      <c r="AA16" s="3" t="s">
        <v>3</v>
      </c>
      <c r="AD16" s="27" t="s">
        <v>3</v>
      </c>
      <c r="AE16" s="3" t="s">
        <v>3</v>
      </c>
      <c r="AF16" s="22" t="s">
        <v>3</v>
      </c>
      <c r="AG16" s="22" t="s">
        <v>3</v>
      </c>
      <c r="AH16" s="22" t="s">
        <v>3</v>
      </c>
      <c r="AI16" s="22" t="s">
        <v>4</v>
      </c>
      <c r="AJ16" s="3" t="s">
        <v>3</v>
      </c>
      <c r="AL16" s="3" t="s">
        <v>7</v>
      </c>
      <c r="AM16" s="3"/>
      <c r="AN16" s="3" t="s">
        <v>7</v>
      </c>
    </row>
    <row r="17" spans="1:40" x14ac:dyDescent="0.2">
      <c r="A17" s="211"/>
      <c r="B17" s="211"/>
      <c r="C17" s="10"/>
      <c r="D17" s="211"/>
      <c r="E17" s="10"/>
      <c r="F17" s="211"/>
      <c r="G17" s="211"/>
      <c r="H17" s="211"/>
      <c r="I17" s="211"/>
      <c r="J17" s="211" t="s">
        <v>69</v>
      </c>
      <c r="K17" s="59" t="s">
        <v>70</v>
      </c>
      <c r="L17" s="212"/>
      <c r="M17" s="212"/>
      <c r="N17" s="213"/>
      <c r="O17" s="211" t="s">
        <v>69</v>
      </c>
      <c r="P17" s="211" t="s">
        <v>69</v>
      </c>
      <c r="Q17" s="59" t="s">
        <v>70</v>
      </c>
      <c r="R17" s="3"/>
      <c r="S17" s="3"/>
      <c r="T17" s="27"/>
      <c r="U17" s="42">
        <f>+INPUT!$L$6</f>
        <v>3.2289999999999999E-2</v>
      </c>
      <c r="V17" s="43">
        <f>+INPUT!$L$13</f>
        <v>8.09</v>
      </c>
      <c r="W17" s="43">
        <f>+INPUT!$L$14</f>
        <v>6.41</v>
      </c>
      <c r="X17" s="43">
        <f>+INPUT!$L$15</f>
        <v>3.03</v>
      </c>
      <c r="Y17" s="3"/>
      <c r="Z17" s="3"/>
      <c r="AA17" s="42"/>
      <c r="AD17" s="27"/>
      <c r="AE17" s="42">
        <f>+INPUT!$L$27</f>
        <v>3.2480000000000002E-2</v>
      </c>
      <c r="AF17" s="43">
        <f>+INPUT!$L$34</f>
        <v>8.17</v>
      </c>
      <c r="AG17" s="43">
        <f>+INPUT!$L$35</f>
        <v>6.47</v>
      </c>
      <c r="AH17" s="43">
        <f>+INPUT!$L$36</f>
        <v>2.65</v>
      </c>
      <c r="AI17" s="22"/>
      <c r="AJ17" s="42"/>
      <c r="AL17" s="3"/>
      <c r="AM17" s="3"/>
      <c r="AN17" s="3"/>
    </row>
    <row r="18" spans="1:40" x14ac:dyDescent="0.2">
      <c r="A18" s="16"/>
      <c r="B18" s="16"/>
      <c r="C18" s="16"/>
      <c r="D18" s="82"/>
      <c r="E18" s="16"/>
      <c r="F18" s="82"/>
      <c r="G18" s="82"/>
      <c r="H18" s="82"/>
      <c r="I18" s="82"/>
      <c r="J18" s="204" t="str">
        <f>("[ "&amp;I13&amp;" - "&amp;H13&amp;" ]")</f>
        <v>[ B - A ]</v>
      </c>
      <c r="K18" s="204" t="str">
        <f>("[ "&amp;J13&amp;" / "&amp;H13&amp;" ]")</f>
        <v>[ C / A ]</v>
      </c>
      <c r="L18" s="205"/>
      <c r="M18" s="205"/>
      <c r="N18" s="205"/>
      <c r="O18" s="204" t="str">
        <f>("["&amp;H13&amp;"+"&amp;$L$13&amp;"+"&amp;$M$13&amp;"+"&amp;$N$13&amp;"]")</f>
        <v>[A+E+F+G]</v>
      </c>
      <c r="P18" s="204" t="str">
        <f>("["&amp;I13&amp;"+"&amp;$L$13&amp;"+"&amp;$M$13&amp;"+"&amp;$N$13&amp;"]")</f>
        <v>[B+E+F+G]</v>
      </c>
      <c r="Q18" s="204" t="str">
        <f>("[("&amp;P13&amp;" - "&amp;O13&amp;")/"&amp;O13&amp;"]")</f>
        <v>[(I - H)/H]</v>
      </c>
      <c r="R18" s="3"/>
      <c r="S18" s="3"/>
      <c r="U18" s="3" t="s">
        <v>14</v>
      </c>
      <c r="V18" s="3" t="s">
        <v>19</v>
      </c>
      <c r="W18" s="3" t="s">
        <v>19</v>
      </c>
      <c r="X18" s="3" t="s">
        <v>19</v>
      </c>
      <c r="Y18" s="3"/>
      <c r="Z18" s="3"/>
      <c r="AA18" s="3"/>
      <c r="AD18" s="27"/>
      <c r="AE18" s="3" t="s">
        <v>14</v>
      </c>
      <c r="AF18" s="3" t="s">
        <v>58</v>
      </c>
      <c r="AG18" s="3" t="s">
        <v>58</v>
      </c>
      <c r="AH18" s="3" t="s">
        <v>58</v>
      </c>
      <c r="AI18" s="22"/>
      <c r="AJ18" s="3"/>
      <c r="AL18" s="3"/>
      <c r="AM18" s="3"/>
      <c r="AN18" s="3"/>
    </row>
    <row r="19" spans="1:40" x14ac:dyDescent="0.2">
      <c r="D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V19" s="3"/>
      <c r="W19" s="3"/>
      <c r="X19" s="3"/>
      <c r="Y19" s="3"/>
      <c r="Z19" s="3"/>
      <c r="AD19" s="27"/>
      <c r="AE19" s="3"/>
      <c r="AF19" s="22"/>
      <c r="AG19" s="22"/>
      <c r="AH19" s="22"/>
      <c r="AI19" s="22"/>
      <c r="AL19" s="3"/>
      <c r="AM19" s="3"/>
      <c r="AN19" s="3"/>
    </row>
    <row r="20" spans="1:40" x14ac:dyDescent="0.2">
      <c r="A20" s="133">
        <f>B20*AVERAGE($V$2:$V$6)</f>
        <v>221.78206376926755</v>
      </c>
      <c r="B20" s="133">
        <v>250</v>
      </c>
      <c r="C20" s="1"/>
      <c r="D20" s="13">
        <v>0.3</v>
      </c>
      <c r="F20" s="1">
        <f>D20*($B$20*730)</f>
        <v>54750</v>
      </c>
      <c r="G20" s="1"/>
      <c r="H20" s="21">
        <f>+Y20</f>
        <v>5855.7170778752607</v>
      </c>
      <c r="I20" s="21">
        <f>+AI20</f>
        <v>6301.0587500000001</v>
      </c>
      <c r="J20" s="30">
        <f>+I20-H20</f>
        <v>445.34167212473949</v>
      </c>
      <c r="K20" s="56">
        <f>ROUND(+J20/H20,4)</f>
        <v>7.6100000000000001E-2</v>
      </c>
      <c r="L20" s="30">
        <f>ROUND($U$10*$F20,2)</f>
        <v>-104.78</v>
      </c>
      <c r="M20" s="30">
        <f>ROUND($U$11*$F20,2)</f>
        <v>2.4700000000000002</v>
      </c>
      <c r="N20" s="30">
        <f>ROUND($U$12*$F20,2)</f>
        <v>82.63</v>
      </c>
      <c r="O20" s="30">
        <f>+H20+L20+M20+N20</f>
        <v>5836.0370778752613</v>
      </c>
      <c r="P20" s="30">
        <f>+I20+L20+M20+N20</f>
        <v>6281.3787500000008</v>
      </c>
      <c r="Q20" s="56">
        <f>ROUND((P20-O20)/O20,4)</f>
        <v>7.6300000000000007E-2</v>
      </c>
      <c r="R20" s="1"/>
      <c r="T20" s="7">
        <f>+INPUT!$L$4</f>
        <v>200</v>
      </c>
      <c r="U20" s="21">
        <f>$U$17*F20</f>
        <v>1767.8775000000001</v>
      </c>
      <c r="V20" s="21">
        <f>$V$17*$A$20</f>
        <v>1794.2168958933744</v>
      </c>
      <c r="W20" s="21">
        <f>$W$17*$A$20</f>
        <v>1421.6230287610051</v>
      </c>
      <c r="X20" s="21">
        <f>$X$17*$A$20</f>
        <v>671.99965322088065</v>
      </c>
      <c r="Y20" s="26">
        <f>T20+U20+V20+W20+X20</f>
        <v>5855.7170778752607</v>
      </c>
      <c r="Z20" s="26"/>
      <c r="AA20" s="21"/>
      <c r="AD20" s="7">
        <f>INPUT!$L$25</f>
        <v>200.27874999999997</v>
      </c>
      <c r="AE20" s="21">
        <f>$AE$17*F20</f>
        <v>1778.2800000000002</v>
      </c>
      <c r="AF20" s="21">
        <f>$B$20*$AF$17</f>
        <v>2042.5</v>
      </c>
      <c r="AG20" s="21">
        <f>$B$20*$AG$17</f>
        <v>1617.5</v>
      </c>
      <c r="AH20" s="21">
        <f>$B$20*$AH$17</f>
        <v>662.5</v>
      </c>
      <c r="AI20" s="26">
        <f>AD20+AE20+AF20+AG20+AH20</f>
        <v>6301.0587500000001</v>
      </c>
      <c r="AJ20" s="21"/>
      <c r="AK20" s="17"/>
      <c r="AL20" s="7">
        <f>AI20-Y20</f>
        <v>445.34167212473949</v>
      </c>
      <c r="AN20" s="18">
        <f>AI20/Y20-1</f>
        <v>7.6052457146090768E-2</v>
      </c>
    </row>
    <row r="21" spans="1:40" x14ac:dyDescent="0.2">
      <c r="A21" s="5"/>
      <c r="B21" s="5"/>
      <c r="D21" s="13">
        <v>0.5</v>
      </c>
      <c r="F21" s="1">
        <f>D21*($B$20*730)</f>
        <v>91250</v>
      </c>
      <c r="G21" s="1"/>
      <c r="H21" s="30">
        <f t="shared" ref="H21:H38" si="0">+Y21</f>
        <v>7034.3020778752598</v>
      </c>
      <c r="I21" s="30">
        <f>+AI21</f>
        <v>7486.5787500000006</v>
      </c>
      <c r="J21" s="30">
        <f>+I21-H21</f>
        <v>452.2766721247408</v>
      </c>
      <c r="K21" s="56">
        <f>ROUND(+J21/H21,4)</f>
        <v>6.4299999999999996E-2</v>
      </c>
      <c r="L21" s="30">
        <f>ROUND($U$10*$F21,2)</f>
        <v>-174.64</v>
      </c>
      <c r="M21" s="30">
        <f>ROUND($U$11*$F21,2)</f>
        <v>4.12</v>
      </c>
      <c r="N21" s="30">
        <f>ROUND($U$12*$F21,2)</f>
        <v>137.71</v>
      </c>
      <c r="O21" s="30">
        <f>+H21+L21+M21+N21</f>
        <v>7001.4920778752594</v>
      </c>
      <c r="P21" s="30">
        <f>+I21+L21+M21+N21</f>
        <v>7453.7687500000002</v>
      </c>
      <c r="Q21" s="56">
        <f>ROUND((P21-O21)/O21,4)</f>
        <v>6.4600000000000005E-2</v>
      </c>
      <c r="R21" s="1"/>
      <c r="T21" s="7">
        <f>$T$20</f>
        <v>200</v>
      </c>
      <c r="U21" s="21">
        <f>$U$17*F21</f>
        <v>2946.4625000000001</v>
      </c>
      <c r="V21" s="21">
        <f>$V$17*$A$20</f>
        <v>1794.2168958933744</v>
      </c>
      <c r="W21" s="21">
        <f>$W$17*$A$20</f>
        <v>1421.6230287610051</v>
      </c>
      <c r="X21" s="21">
        <f>$X$17*$A$20</f>
        <v>671.99965322088065</v>
      </c>
      <c r="Y21" s="26">
        <f>T21+U21+V21+W21+X21</f>
        <v>7034.3020778752598</v>
      </c>
      <c r="Z21" s="26"/>
      <c r="AA21" s="21"/>
      <c r="AD21" s="7">
        <f>$AD$20</f>
        <v>200.27874999999997</v>
      </c>
      <c r="AE21" s="21">
        <f>$AE$17*F21</f>
        <v>2963.8</v>
      </c>
      <c r="AF21" s="21">
        <f>$B$20*$AF$17</f>
        <v>2042.5</v>
      </c>
      <c r="AG21" s="21">
        <f>$B$20*$AG$17</f>
        <v>1617.5</v>
      </c>
      <c r="AH21" s="21">
        <f>$B$20*$AH$17</f>
        <v>662.5</v>
      </c>
      <c r="AI21" s="26">
        <f>AD21+AE21+AF21+AG21+AH21</f>
        <v>7486.5787500000006</v>
      </c>
      <c r="AJ21" s="21"/>
      <c r="AK21" s="17"/>
      <c r="AL21" s="7">
        <f>AI21-Y21</f>
        <v>452.2766721247408</v>
      </c>
      <c r="AN21" s="18">
        <f>AI21/Y21-1</f>
        <v>6.4295884242343115E-2</v>
      </c>
    </row>
    <row r="22" spans="1:40" x14ac:dyDescent="0.2">
      <c r="A22" s="5"/>
      <c r="B22" s="5"/>
      <c r="D22" s="13">
        <v>0.7</v>
      </c>
      <c r="F22" s="1">
        <f>D22*($B$20*730)</f>
        <v>127749.99999999999</v>
      </c>
      <c r="G22" s="1"/>
      <c r="H22" s="30">
        <f t="shared" si="0"/>
        <v>8212.8870778752607</v>
      </c>
      <c r="I22" s="30">
        <f>+AI22</f>
        <v>8672.098750000001</v>
      </c>
      <c r="J22" s="30">
        <f>+I22-H22</f>
        <v>459.21167212474029</v>
      </c>
      <c r="K22" s="56">
        <f>ROUND(+J22/H22,4)</f>
        <v>5.5899999999999998E-2</v>
      </c>
      <c r="L22" s="30">
        <f>ROUND($U$10*$F22,2)</f>
        <v>-244.5</v>
      </c>
      <c r="M22" s="30">
        <f>ROUND($U$11*$F22,2)</f>
        <v>5.76</v>
      </c>
      <c r="N22" s="30">
        <f>ROUND($U$12*$F22,2)</f>
        <v>192.8</v>
      </c>
      <c r="O22" s="30">
        <f>+H22+L22+M22+N22</f>
        <v>8166.9470778752611</v>
      </c>
      <c r="P22" s="30">
        <f>+I22+L22+M22+N22</f>
        <v>8626.1587500000005</v>
      </c>
      <c r="Q22" s="56">
        <f>ROUND((P22-O22)/O22,4)</f>
        <v>5.62E-2</v>
      </c>
      <c r="R22" s="1"/>
      <c r="T22" s="7">
        <f>$T$20</f>
        <v>200</v>
      </c>
      <c r="U22" s="21">
        <f>$U$17*F22</f>
        <v>4125.0474999999997</v>
      </c>
      <c r="V22" s="21">
        <f>$V$17*$A$20</f>
        <v>1794.2168958933744</v>
      </c>
      <c r="W22" s="21">
        <f>$W$17*$A$20</f>
        <v>1421.6230287610051</v>
      </c>
      <c r="X22" s="21">
        <f>$X$17*$A$20</f>
        <v>671.99965322088065</v>
      </c>
      <c r="Y22" s="26">
        <f>T22+U22+V22+W22+X22</f>
        <v>8212.8870778752607</v>
      </c>
      <c r="Z22" s="26"/>
      <c r="AA22" s="21"/>
      <c r="AD22" s="7">
        <f>$AD$20</f>
        <v>200.27874999999997</v>
      </c>
      <c r="AE22" s="21">
        <f>$AE$17*F22</f>
        <v>4149.32</v>
      </c>
      <c r="AF22" s="21">
        <f>$B$20*$AF$17</f>
        <v>2042.5</v>
      </c>
      <c r="AG22" s="21">
        <f>$B$20*$AG$17</f>
        <v>1617.5</v>
      </c>
      <c r="AH22" s="21">
        <f>$B$20*$AH$17</f>
        <v>662.5</v>
      </c>
      <c r="AI22" s="26">
        <f>AD22+AE22+AF22+AG22+AH22</f>
        <v>8672.098750000001</v>
      </c>
      <c r="AJ22" s="21"/>
      <c r="AK22" s="17"/>
      <c r="AL22" s="7">
        <f>AI22-Y22</f>
        <v>459.21167212474029</v>
      </c>
      <c r="AN22" s="18">
        <f>AI22/Y22-1</f>
        <v>5.5913549981931876E-2</v>
      </c>
    </row>
    <row r="23" spans="1:40" x14ac:dyDescent="0.2">
      <c r="A23" s="5"/>
      <c r="B23" s="5"/>
      <c r="D23" s="13"/>
      <c r="F23" s="1"/>
      <c r="G23" s="1"/>
      <c r="H23" s="30"/>
      <c r="I23" s="30"/>
      <c r="K23" s="5"/>
      <c r="L23" s="1"/>
      <c r="M23" s="1"/>
      <c r="N23" s="1"/>
      <c r="Q23" s="56"/>
      <c r="R23" s="1"/>
      <c r="T23" s="7"/>
      <c r="U23" s="21"/>
      <c r="V23" s="21"/>
      <c r="W23" s="21"/>
      <c r="X23" s="21"/>
      <c r="Y23" s="26"/>
      <c r="Z23" s="26"/>
      <c r="AD23" s="7"/>
      <c r="AE23" s="21"/>
      <c r="AF23" s="21"/>
      <c r="AG23" s="21"/>
      <c r="AH23" s="21"/>
      <c r="AI23" s="26"/>
      <c r="AK23" s="17"/>
      <c r="AL23" s="6"/>
      <c r="AN23" s="6"/>
    </row>
    <row r="24" spans="1:40" x14ac:dyDescent="0.2">
      <c r="A24" s="133">
        <f>B24*AVERAGE($V$2:$V$6)</f>
        <v>443.5641275385351</v>
      </c>
      <c r="B24" s="133">
        <v>500</v>
      </c>
      <c r="C24" s="1"/>
      <c r="D24" s="13">
        <v>0.3</v>
      </c>
      <c r="F24" s="1">
        <f>D24*($B$24*730)</f>
        <v>109500</v>
      </c>
      <c r="G24" s="1"/>
      <c r="H24" s="30">
        <f t="shared" si="0"/>
        <v>11511.434155750521</v>
      </c>
      <c r="I24" s="30">
        <f>+AI24</f>
        <v>12401.838750000001</v>
      </c>
      <c r="J24" s="30">
        <f>+I24-H24</f>
        <v>890.40459424947949</v>
      </c>
      <c r="K24" s="56">
        <f>ROUND(+J24/H24,4)</f>
        <v>7.7299999999999994E-2</v>
      </c>
      <c r="L24" s="30">
        <f>ROUND($U$10*$F24,2)</f>
        <v>-209.57</v>
      </c>
      <c r="M24" s="30">
        <f>ROUND($U$11*$F24,2)</f>
        <v>4.9400000000000004</v>
      </c>
      <c r="N24" s="30">
        <f>ROUND($U$12*$F24,2)</f>
        <v>165.26</v>
      </c>
      <c r="O24" s="30">
        <f>+H24+L24+M24+N24</f>
        <v>11472.064155750522</v>
      </c>
      <c r="P24" s="30">
        <f>+I24+L24+M24+N24</f>
        <v>12362.468750000002</v>
      </c>
      <c r="Q24" s="56">
        <f>ROUND((P24-O24)/O24,4)</f>
        <v>7.7600000000000002E-2</v>
      </c>
      <c r="R24" s="1"/>
      <c r="T24" s="7">
        <f>$T$20</f>
        <v>200</v>
      </c>
      <c r="U24" s="21">
        <f>$U$17*F24</f>
        <v>3535.7550000000001</v>
      </c>
      <c r="V24" s="21">
        <f>$V$17*$A$24</f>
        <v>3588.4337917867488</v>
      </c>
      <c r="W24" s="21">
        <f>$W$17*$A$24</f>
        <v>2843.2460575220102</v>
      </c>
      <c r="X24" s="21">
        <f>$X$17*$A$24</f>
        <v>1343.9993064417613</v>
      </c>
      <c r="Y24" s="26">
        <f>T24+U24+V24+W24+X24</f>
        <v>11511.434155750521</v>
      </c>
      <c r="Z24" s="26"/>
      <c r="AA24" s="21"/>
      <c r="AD24" s="7">
        <f>$AD$20</f>
        <v>200.27874999999997</v>
      </c>
      <c r="AE24" s="21">
        <f>$AE$17*F24</f>
        <v>3556.5600000000004</v>
      </c>
      <c r="AF24" s="21">
        <f>$B$24*$AF$17</f>
        <v>4085</v>
      </c>
      <c r="AG24" s="21">
        <f>$B$24*$AG$17</f>
        <v>3235</v>
      </c>
      <c r="AH24" s="21">
        <f>$B$24*$AH$17</f>
        <v>1325</v>
      </c>
      <c r="AI24" s="26">
        <f>AD24+AE24+AF24+AG24+AH24</f>
        <v>12401.838750000001</v>
      </c>
      <c r="AJ24" s="21"/>
      <c r="AK24" s="17"/>
      <c r="AL24" s="7">
        <f>AI24-Y24</f>
        <v>890.40459424947949</v>
      </c>
      <c r="AM24" s="10"/>
      <c r="AN24" s="18">
        <f>AI24/Y24-1</f>
        <v>7.7349579748469344E-2</v>
      </c>
    </row>
    <row r="25" spans="1:40" x14ac:dyDescent="0.2">
      <c r="A25" s="5"/>
      <c r="B25" s="5"/>
      <c r="D25" s="13">
        <v>0.5</v>
      </c>
      <c r="F25" s="1">
        <f>D25*($B$24*730)</f>
        <v>182500</v>
      </c>
      <c r="G25" s="1"/>
      <c r="H25" s="30">
        <f t="shared" si="0"/>
        <v>13868.60415575052</v>
      </c>
      <c r="I25" s="30">
        <f>+AI25</f>
        <v>14772.87875</v>
      </c>
      <c r="J25" s="30">
        <f>+I25-H25</f>
        <v>904.27459424948029</v>
      </c>
      <c r="K25" s="56">
        <f>ROUND(+J25/H25,4)</f>
        <v>6.5199999999999994E-2</v>
      </c>
      <c r="L25" s="30">
        <f>ROUND($U$10*$F25,2)</f>
        <v>-349.28</v>
      </c>
      <c r="M25" s="30">
        <f>ROUND($U$11*$F25,2)</f>
        <v>8.23</v>
      </c>
      <c r="N25" s="30">
        <f>ROUND($U$12*$F25,2)</f>
        <v>275.43</v>
      </c>
      <c r="O25" s="30">
        <f>+H25+L25+M25+N25</f>
        <v>13802.984155750519</v>
      </c>
      <c r="P25" s="30">
        <f>+I25+L25+M25+N25</f>
        <v>14707.258749999999</v>
      </c>
      <c r="Q25" s="56">
        <f>ROUND((P25-O25)/O25,4)</f>
        <v>6.5500000000000003E-2</v>
      </c>
      <c r="R25" s="1"/>
      <c r="T25" s="7">
        <f>$T$20</f>
        <v>200</v>
      </c>
      <c r="U25" s="21">
        <f>$U$17*F25</f>
        <v>5892.9250000000002</v>
      </c>
      <c r="V25" s="21">
        <f>$V$17*$A$24</f>
        <v>3588.4337917867488</v>
      </c>
      <c r="W25" s="21">
        <f>$W$17*$A$24</f>
        <v>2843.2460575220102</v>
      </c>
      <c r="X25" s="21">
        <f>$X$17*$A$24</f>
        <v>1343.9993064417613</v>
      </c>
      <c r="Y25" s="26">
        <f>T25+U25+V25+W25+X25</f>
        <v>13868.60415575052</v>
      </c>
      <c r="Z25" s="26"/>
      <c r="AA25" s="21"/>
      <c r="AD25" s="7">
        <f>$AD$20</f>
        <v>200.27874999999997</v>
      </c>
      <c r="AE25" s="21">
        <f>$AE$17*F25</f>
        <v>5927.6</v>
      </c>
      <c r="AF25" s="21">
        <f>$B$24*$AF$17</f>
        <v>4085</v>
      </c>
      <c r="AG25" s="21">
        <f>$B$24*$AG$17</f>
        <v>3235</v>
      </c>
      <c r="AH25" s="21">
        <f>$B$24*$AH$17</f>
        <v>1325</v>
      </c>
      <c r="AI25" s="26">
        <f>AD25+AE25+AF25+AG25+AH25</f>
        <v>14772.87875</v>
      </c>
      <c r="AJ25" s="21"/>
      <c r="AK25" s="17"/>
      <c r="AL25" s="7">
        <f>AI25-Y25</f>
        <v>904.27459424948029</v>
      </c>
      <c r="AM25" s="10"/>
      <c r="AN25" s="18">
        <f>AI25/Y25-1</f>
        <v>6.5202999818444463E-2</v>
      </c>
    </row>
    <row r="26" spans="1:40" x14ac:dyDescent="0.2">
      <c r="A26" s="5"/>
      <c r="B26" s="5"/>
      <c r="D26" s="13">
        <v>0.7</v>
      </c>
      <c r="F26" s="1">
        <f>D26*($B$24*730)</f>
        <v>255499.99999999997</v>
      </c>
      <c r="G26" s="1"/>
      <c r="H26" s="30">
        <f t="shared" si="0"/>
        <v>16225.77415575052</v>
      </c>
      <c r="I26" s="30">
        <f>+AI26</f>
        <v>17143.918749999997</v>
      </c>
      <c r="J26" s="30">
        <f>+I26-H26</f>
        <v>918.14459424947745</v>
      </c>
      <c r="K26" s="56">
        <f>ROUND(+J26/H26,4)</f>
        <v>5.6599999999999998E-2</v>
      </c>
      <c r="L26" s="30">
        <f>ROUND($U$10*$F26,2)</f>
        <v>-488.99</v>
      </c>
      <c r="M26" s="30">
        <f>ROUND($U$11*$F26,2)</f>
        <v>11.53</v>
      </c>
      <c r="N26" s="30">
        <f>ROUND($U$12*$F26,2)</f>
        <v>385.6</v>
      </c>
      <c r="O26" s="30">
        <f>+H26+L26+M26+N26</f>
        <v>16133.914155750521</v>
      </c>
      <c r="P26" s="30">
        <f>+I26+L26+M26+N26</f>
        <v>17052.058749999993</v>
      </c>
      <c r="Q26" s="56">
        <f>ROUND((P26-O26)/O26,4)</f>
        <v>5.6899999999999999E-2</v>
      </c>
      <c r="R26" s="1"/>
      <c r="T26" s="7">
        <f>$T$20</f>
        <v>200</v>
      </c>
      <c r="U26" s="21">
        <f>$U$17*F26</f>
        <v>8250.0949999999993</v>
      </c>
      <c r="V26" s="21">
        <f>$V$17*$A$24</f>
        <v>3588.4337917867488</v>
      </c>
      <c r="W26" s="21">
        <f>$W$17*$A$24</f>
        <v>2843.2460575220102</v>
      </c>
      <c r="X26" s="21">
        <f>$X$17*$A$24</f>
        <v>1343.9993064417613</v>
      </c>
      <c r="Y26" s="26">
        <f>T26+U26+V26+W26+X26</f>
        <v>16225.77415575052</v>
      </c>
      <c r="Z26" s="26"/>
      <c r="AA26" s="21"/>
      <c r="AD26" s="7">
        <f>$AD$20</f>
        <v>200.27874999999997</v>
      </c>
      <c r="AE26" s="21">
        <f>$AE$17*F26</f>
        <v>8298.64</v>
      </c>
      <c r="AF26" s="21">
        <f>$B$24*$AF$17</f>
        <v>4085</v>
      </c>
      <c r="AG26" s="21">
        <f>$B$24*$AG$17</f>
        <v>3235</v>
      </c>
      <c r="AH26" s="21">
        <f>$B$24*$AH$17</f>
        <v>1325</v>
      </c>
      <c r="AI26" s="26">
        <f>AD26+AE26+AF26+AG26+AH26</f>
        <v>17143.918749999997</v>
      </c>
      <c r="AJ26" s="21"/>
      <c r="AK26" s="17"/>
      <c r="AL26" s="7">
        <f>AI26-Y26</f>
        <v>918.14459424947745</v>
      </c>
      <c r="AN26" s="18">
        <f>AI26/Y26-1</f>
        <v>5.658556475865173E-2</v>
      </c>
    </row>
    <row r="27" spans="1:40" x14ac:dyDescent="0.2">
      <c r="A27" s="5"/>
      <c r="B27" s="5"/>
      <c r="D27" s="13"/>
      <c r="F27" s="1"/>
      <c r="G27" s="1"/>
      <c r="H27" s="30"/>
      <c r="I27" s="30"/>
      <c r="K27" s="5"/>
      <c r="L27" s="1"/>
      <c r="M27" s="1"/>
      <c r="N27" s="1"/>
      <c r="Q27" s="56"/>
      <c r="R27" s="1"/>
      <c r="T27" s="7"/>
      <c r="U27" s="21"/>
      <c r="V27" s="21"/>
      <c r="W27" s="21"/>
      <c r="X27" s="21"/>
      <c r="Y27" s="26"/>
      <c r="Z27" s="26"/>
      <c r="AD27" s="7"/>
      <c r="AE27" s="21"/>
      <c r="AF27" s="21"/>
      <c r="AG27" s="21"/>
      <c r="AH27" s="21"/>
      <c r="AI27" s="26"/>
      <c r="AK27" s="17"/>
      <c r="AL27" s="6"/>
      <c r="AN27" s="6"/>
    </row>
    <row r="28" spans="1:40" x14ac:dyDescent="0.2">
      <c r="A28" s="133">
        <f>B28*AVERAGE($V$2:$V$6)</f>
        <v>887.12825507707021</v>
      </c>
      <c r="B28" s="133">
        <v>1000</v>
      </c>
      <c r="C28" s="1"/>
      <c r="D28" s="13">
        <v>0.3</v>
      </c>
      <c r="F28" s="1">
        <f>D28*($B$28*730)</f>
        <v>219000</v>
      </c>
      <c r="G28" s="1"/>
      <c r="H28" s="30">
        <f t="shared" si="0"/>
        <v>22822.868311501043</v>
      </c>
      <c r="I28" s="30">
        <f>+AI28</f>
        <v>24603.39875</v>
      </c>
      <c r="J28" s="30">
        <f>+I28-H28</f>
        <v>1780.5304384989577</v>
      </c>
      <c r="K28" s="56">
        <f>ROUND(+J28/H28,4)</f>
        <v>7.8E-2</v>
      </c>
      <c r="L28" s="30">
        <f>ROUND($U$10*$F28,2)</f>
        <v>-419.14</v>
      </c>
      <c r="M28" s="30">
        <f>ROUND($U$11*$F28,2)</f>
        <v>9.8800000000000008</v>
      </c>
      <c r="N28" s="30">
        <f>ROUND($U$12*$F28,2)</f>
        <v>330.51</v>
      </c>
      <c r="O28" s="30">
        <f>+H28+L28+M28+N28</f>
        <v>22744.118311501043</v>
      </c>
      <c r="P28" s="30">
        <f>+I28+L28+M28+N28</f>
        <v>24524.64875</v>
      </c>
      <c r="Q28" s="56">
        <f>ROUND((P28-O28)/O28,4)</f>
        <v>7.8299999999999995E-2</v>
      </c>
      <c r="R28" s="1"/>
      <c r="T28" s="7">
        <f>$T$20</f>
        <v>200</v>
      </c>
      <c r="U28" s="21">
        <f>$U$17*F28</f>
        <v>7071.51</v>
      </c>
      <c r="V28" s="21">
        <f>$V$17*$A$28</f>
        <v>7176.8675835734975</v>
      </c>
      <c r="W28" s="21">
        <f>$W$17*$A$28</f>
        <v>5686.4921150440205</v>
      </c>
      <c r="X28" s="21">
        <f>$X$17*$A$28</f>
        <v>2687.9986128835226</v>
      </c>
      <c r="Y28" s="26">
        <f>T28+U28+V28+W28+X28</f>
        <v>22822.868311501043</v>
      </c>
      <c r="Z28" s="26"/>
      <c r="AA28" s="21"/>
      <c r="AD28" s="7">
        <f>$AD$20</f>
        <v>200.27874999999997</v>
      </c>
      <c r="AE28" s="21">
        <f>$AE$17*F28</f>
        <v>7113.1200000000008</v>
      </c>
      <c r="AF28" s="21">
        <f>$B$28*$AF$17</f>
        <v>8170</v>
      </c>
      <c r="AG28" s="21">
        <f>$B$28*$AG$17</f>
        <v>6470</v>
      </c>
      <c r="AH28" s="21">
        <f>$B$28*$AH$17</f>
        <v>2650</v>
      </c>
      <c r="AI28" s="26">
        <f>AD28+AE28+AF28+AG28+AH28</f>
        <v>24603.39875</v>
      </c>
      <c r="AJ28" s="21"/>
      <c r="AK28" s="17"/>
      <c r="AL28" s="7">
        <f>AI28-Y28</f>
        <v>1780.5304384989577</v>
      </c>
      <c r="AN28" s="18">
        <f>AI28/Y28-1</f>
        <v>7.8015191350935487E-2</v>
      </c>
    </row>
    <row r="29" spans="1:40" x14ac:dyDescent="0.2">
      <c r="A29" s="5"/>
      <c r="B29" s="5"/>
      <c r="D29" s="13">
        <v>0.5</v>
      </c>
      <c r="F29" s="1">
        <f>D29*($B$28*730)</f>
        <v>365000</v>
      </c>
      <c r="G29" s="1"/>
      <c r="H29" s="30">
        <f t="shared" si="0"/>
        <v>27537.208311501039</v>
      </c>
      <c r="I29" s="30">
        <f>+AI29</f>
        <v>29345.478750000002</v>
      </c>
      <c r="J29" s="30">
        <f>+I29-H29</f>
        <v>1808.2704384989629</v>
      </c>
      <c r="K29" s="56">
        <f>ROUND(+J29/H29,4)</f>
        <v>6.5699999999999995E-2</v>
      </c>
      <c r="L29" s="30">
        <f>ROUND($U$10*$F29,2)</f>
        <v>-698.56</v>
      </c>
      <c r="M29" s="30">
        <f>ROUND($U$11*$F29,2)</f>
        <v>16.47</v>
      </c>
      <c r="N29" s="30">
        <f>ROUND($U$12*$F29,2)</f>
        <v>550.85</v>
      </c>
      <c r="O29" s="30">
        <f>+H29+L29+M29+N29</f>
        <v>27405.968311501038</v>
      </c>
      <c r="P29" s="30">
        <f>+I29+L29+M29+N29</f>
        <v>29214.23875</v>
      </c>
      <c r="Q29" s="56">
        <f>ROUND((P29-O29)/O29,4)</f>
        <v>6.6000000000000003E-2</v>
      </c>
      <c r="R29" s="1"/>
      <c r="T29" s="7">
        <f>$T$20</f>
        <v>200</v>
      </c>
      <c r="U29" s="21">
        <f>$U$17*F29</f>
        <v>11785.85</v>
      </c>
      <c r="V29" s="21">
        <f>$V$17*$A$28</f>
        <v>7176.8675835734975</v>
      </c>
      <c r="W29" s="21">
        <f>$W$17*$A$28</f>
        <v>5686.4921150440205</v>
      </c>
      <c r="X29" s="21">
        <f>$X$17*$A$28</f>
        <v>2687.9986128835226</v>
      </c>
      <c r="Y29" s="26">
        <f>T29+U29+V29+W29+X29</f>
        <v>27537.208311501039</v>
      </c>
      <c r="Z29" s="26"/>
      <c r="AA29" s="21"/>
      <c r="AD29" s="7">
        <f>$AD$20</f>
        <v>200.27874999999997</v>
      </c>
      <c r="AE29" s="21">
        <f>$AE$17*F29</f>
        <v>11855.2</v>
      </c>
      <c r="AF29" s="21">
        <f>$B$28*$AF$17</f>
        <v>8170</v>
      </c>
      <c r="AG29" s="21">
        <f>$B$28*$AG$17</f>
        <v>6470</v>
      </c>
      <c r="AH29" s="21">
        <f>$B$28*$AH$17</f>
        <v>2650</v>
      </c>
      <c r="AI29" s="26">
        <f>AD29+AE29+AF29+AG29+AH29</f>
        <v>29345.478750000002</v>
      </c>
      <c r="AJ29" s="21"/>
      <c r="AK29" s="17"/>
      <c r="AL29" s="7">
        <f>AI29-Y29</f>
        <v>1808.2704384989629</v>
      </c>
      <c r="AN29" s="18">
        <f>AI29/Y29-1</f>
        <v>6.5666440041553864E-2</v>
      </c>
    </row>
    <row r="30" spans="1:40" x14ac:dyDescent="0.2">
      <c r="A30" s="5"/>
      <c r="B30" s="5"/>
      <c r="D30" s="13">
        <v>0.7</v>
      </c>
      <c r="F30" s="1">
        <f>D30*($B$28*730)</f>
        <v>510999.99999999994</v>
      </c>
      <c r="G30" s="1"/>
      <c r="H30" s="30">
        <f t="shared" si="0"/>
        <v>32251.548311501039</v>
      </c>
      <c r="I30" s="30">
        <f>+AI30</f>
        <v>34087.558749999997</v>
      </c>
      <c r="J30" s="30">
        <f>+I30-H30</f>
        <v>1836.0104384989572</v>
      </c>
      <c r="K30" s="56">
        <f>ROUND(+J30/H30,4)</f>
        <v>5.6899999999999999E-2</v>
      </c>
      <c r="L30" s="30">
        <f>ROUND($U$10*$F30,2)</f>
        <v>-977.98</v>
      </c>
      <c r="M30" s="30">
        <f>ROUND($U$11*$F30,2)</f>
        <v>23.05</v>
      </c>
      <c r="N30" s="30">
        <f>ROUND($U$12*$F30,2)</f>
        <v>771.19</v>
      </c>
      <c r="O30" s="30">
        <f>+H30+L30+M30+N30</f>
        <v>32067.808311501038</v>
      </c>
      <c r="P30" s="30">
        <f>+I30+L30+M30+N30</f>
        <v>33903.818749999999</v>
      </c>
      <c r="Q30" s="56">
        <f>ROUND((P30-O30)/O30,4)</f>
        <v>5.7299999999999997E-2</v>
      </c>
      <c r="R30" s="1"/>
      <c r="T30" s="7">
        <f>$T$20</f>
        <v>200</v>
      </c>
      <c r="U30" s="21">
        <f>$U$17*F30</f>
        <v>16500.189999999999</v>
      </c>
      <c r="V30" s="21">
        <f>$V$17*$A$28</f>
        <v>7176.8675835734975</v>
      </c>
      <c r="W30" s="21">
        <f>$W$17*$A$28</f>
        <v>5686.4921150440205</v>
      </c>
      <c r="X30" s="21">
        <f>$X$17*$A$28</f>
        <v>2687.9986128835226</v>
      </c>
      <c r="Y30" s="26">
        <f>T30+U30+V30+W30+X30</f>
        <v>32251.548311501039</v>
      </c>
      <c r="Z30" s="26"/>
      <c r="AA30" s="21"/>
      <c r="AD30" s="7">
        <f>$AD$20</f>
        <v>200.27874999999997</v>
      </c>
      <c r="AE30" s="21">
        <f>$AE$17*F30</f>
        <v>16597.28</v>
      </c>
      <c r="AF30" s="21">
        <f>$B$28*$AF$17</f>
        <v>8170</v>
      </c>
      <c r="AG30" s="21">
        <f>$B$28*$AG$17</f>
        <v>6470</v>
      </c>
      <c r="AH30" s="21">
        <f>$B$28*$AH$17</f>
        <v>2650</v>
      </c>
      <c r="AI30" s="26">
        <f>AD30+AE30+AF30+AG30+AH30</f>
        <v>34087.558749999997</v>
      </c>
      <c r="AJ30" s="21"/>
      <c r="AK30" s="17"/>
      <c r="AL30" s="7">
        <f>AI30-Y30</f>
        <v>1836.0104384989572</v>
      </c>
      <c r="AN30" s="18">
        <f>AI30/Y30-1</f>
        <v>5.6927823147151946E-2</v>
      </c>
    </row>
    <row r="31" spans="1:40" x14ac:dyDescent="0.2">
      <c r="A31" s="5"/>
      <c r="B31" s="5"/>
      <c r="D31" s="13"/>
      <c r="F31" s="1"/>
      <c r="G31" s="1"/>
      <c r="H31" s="30"/>
      <c r="I31" s="30"/>
      <c r="K31" s="5"/>
      <c r="L31" s="1"/>
      <c r="M31" s="1"/>
      <c r="N31" s="1"/>
      <c r="Q31" s="56"/>
      <c r="R31" s="1"/>
      <c r="T31" s="7"/>
      <c r="U31" s="21"/>
      <c r="V31" s="21"/>
      <c r="W31" s="21"/>
      <c r="X31" s="21"/>
      <c r="Y31" s="26"/>
      <c r="Z31" s="26"/>
      <c r="AD31" s="7"/>
      <c r="AE31" s="21"/>
      <c r="AF31" s="21"/>
      <c r="AG31" s="21"/>
      <c r="AH31" s="21"/>
      <c r="AI31" s="26"/>
      <c r="AK31" s="17"/>
      <c r="AL31" s="6"/>
      <c r="AN31" s="6"/>
    </row>
    <row r="32" spans="1:40" x14ac:dyDescent="0.2">
      <c r="A32" s="133">
        <f>B32*AVERAGE($V$2:$V$6)</f>
        <v>2217.8206376926755</v>
      </c>
      <c r="B32" s="133">
        <v>2500</v>
      </c>
      <c r="C32" s="1"/>
      <c r="D32" s="13">
        <v>0.3</v>
      </c>
      <c r="F32" s="1">
        <f>D32*($B$32*730)</f>
        <v>547500</v>
      </c>
      <c r="G32" s="1"/>
      <c r="H32" s="30">
        <f t="shared" si="0"/>
        <v>56757.170778752596</v>
      </c>
      <c r="I32" s="30">
        <f>+AI32</f>
        <v>61208.078750000001</v>
      </c>
      <c r="J32" s="30">
        <f>+I32-H32</f>
        <v>4450.9079712474049</v>
      </c>
      <c r="K32" s="56">
        <f>ROUND(+J32/H32,4)</f>
        <v>7.8399999999999997E-2</v>
      </c>
      <c r="L32" s="30">
        <f>ROUND($U$10*$F32,2)</f>
        <v>-1047.8399999999999</v>
      </c>
      <c r="M32" s="30">
        <f>ROUND($U$11*$F32,2)</f>
        <v>24.7</v>
      </c>
      <c r="N32" s="30">
        <f>ROUND($U$12*$F32,2)</f>
        <v>826.28</v>
      </c>
      <c r="O32" s="30">
        <f>+H32+L32+M32+N32</f>
        <v>56560.310778752595</v>
      </c>
      <c r="P32" s="30">
        <f>+I32+L32+M32+N32</f>
        <v>61011.21875</v>
      </c>
      <c r="Q32" s="56">
        <f>ROUND((P32-O32)/O32,4)</f>
        <v>7.8700000000000006E-2</v>
      </c>
      <c r="R32" s="1"/>
      <c r="T32" s="7">
        <f>$T$20</f>
        <v>200</v>
      </c>
      <c r="U32" s="21">
        <f>$U$17*F32</f>
        <v>17678.774999999998</v>
      </c>
      <c r="V32" s="21">
        <f>$V$17*$A$32</f>
        <v>17942.168958933744</v>
      </c>
      <c r="W32" s="21">
        <f>$W$17*$A$32</f>
        <v>14216.230287610051</v>
      </c>
      <c r="X32" s="21">
        <f>$X$17*$A$32</f>
        <v>6719.9965322088065</v>
      </c>
      <c r="Y32" s="26">
        <f>T32+U32+V32+W32+X32</f>
        <v>56757.170778752596</v>
      </c>
      <c r="Z32" s="26"/>
      <c r="AA32" s="21"/>
      <c r="AD32" s="7">
        <f>$AD$20</f>
        <v>200.27874999999997</v>
      </c>
      <c r="AE32" s="21">
        <f>$AE$17*F32</f>
        <v>17782.8</v>
      </c>
      <c r="AF32" s="21">
        <f>$B$32*$AF$17</f>
        <v>20425</v>
      </c>
      <c r="AG32" s="21">
        <f>$B$32*$AG$17</f>
        <v>16175</v>
      </c>
      <c r="AH32" s="21">
        <f>$B$32*$AH$17</f>
        <v>6625</v>
      </c>
      <c r="AI32" s="26">
        <f>AD32+AE32+AF32+AG32+AH32</f>
        <v>61208.078750000001</v>
      </c>
      <c r="AJ32" s="21"/>
      <c r="AK32" s="17"/>
      <c r="AL32" s="7">
        <f>AI32-Y32</f>
        <v>4450.9079712474049</v>
      </c>
      <c r="AN32" s="18">
        <f>AI32/Y32-1</f>
        <v>7.8420187443762224E-2</v>
      </c>
    </row>
    <row r="33" spans="1:40" x14ac:dyDescent="0.2">
      <c r="A33" s="5"/>
      <c r="B33" s="5"/>
      <c r="D33" s="13">
        <v>0.5</v>
      </c>
      <c r="F33" s="1">
        <f>D33*($B$32*730)</f>
        <v>912500</v>
      </c>
      <c r="G33" s="1"/>
      <c r="H33" s="30">
        <f t="shared" si="0"/>
        <v>68543.020778752601</v>
      </c>
      <c r="I33" s="30">
        <f>+AI33</f>
        <v>73063.278749999998</v>
      </c>
      <c r="J33" s="30">
        <f>+I33-H33</f>
        <v>4520.2579712473962</v>
      </c>
      <c r="K33" s="56">
        <f>ROUND(+J33/H33,4)</f>
        <v>6.59E-2</v>
      </c>
      <c r="L33" s="30">
        <f>ROUND($U$10*$F33,2)</f>
        <v>-1746.4</v>
      </c>
      <c r="M33" s="30">
        <f>ROUND($U$11*$F33,2)</f>
        <v>41.17</v>
      </c>
      <c r="N33" s="30">
        <f>ROUND($U$12*$F33,2)</f>
        <v>1377.13</v>
      </c>
      <c r="O33" s="30">
        <f>+H33+L33+M33+N33</f>
        <v>68214.92077875261</v>
      </c>
      <c r="P33" s="30">
        <f>+I33+L33+M33+N33</f>
        <v>72735.178750000006</v>
      </c>
      <c r="Q33" s="56">
        <f>ROUND((P33-O33)/O33,4)</f>
        <v>6.6299999999999998E-2</v>
      </c>
      <c r="R33" s="1"/>
      <c r="T33" s="7">
        <f>$T$20</f>
        <v>200</v>
      </c>
      <c r="U33" s="21">
        <f>$U$17*F33</f>
        <v>29464.625</v>
      </c>
      <c r="V33" s="21">
        <f>$V$17*$A$32</f>
        <v>17942.168958933744</v>
      </c>
      <c r="W33" s="21">
        <f t="shared" ref="W33:W34" si="1">$W$17*$A$32</f>
        <v>14216.230287610051</v>
      </c>
      <c r="X33" s="21">
        <f>$X$17*$A$32</f>
        <v>6719.9965322088065</v>
      </c>
      <c r="Y33" s="26">
        <f>T33+U33+V33+W33+X33</f>
        <v>68543.020778752601</v>
      </c>
      <c r="Z33" s="26"/>
      <c r="AA33" s="21"/>
      <c r="AD33" s="7">
        <f>$AD$20</f>
        <v>200.27874999999997</v>
      </c>
      <c r="AE33" s="21">
        <f>$AE$17*F33</f>
        <v>29638</v>
      </c>
      <c r="AF33" s="21">
        <f>$B$32*$AF$17</f>
        <v>20425</v>
      </c>
      <c r="AG33" s="21">
        <f>$B$32*$AG$17</f>
        <v>16175</v>
      </c>
      <c r="AH33" s="21">
        <f>$B$32*$AH$17</f>
        <v>6625</v>
      </c>
      <c r="AI33" s="26">
        <f>AD33+AE33+AF33+AG33+AH33</f>
        <v>73063.278749999998</v>
      </c>
      <c r="AJ33" s="21"/>
      <c r="AK33" s="17"/>
      <c r="AL33" s="7">
        <f>AI33-Y33</f>
        <v>4520.2579712473962</v>
      </c>
      <c r="AN33" s="18">
        <f>AI33/Y33-1</f>
        <v>6.5947749601497296E-2</v>
      </c>
    </row>
    <row r="34" spans="1:40" x14ac:dyDescent="0.2">
      <c r="A34" s="5"/>
      <c r="B34" s="5"/>
      <c r="D34" s="13">
        <v>0.7</v>
      </c>
      <c r="F34" s="1">
        <f>D34*($B$32*730)</f>
        <v>1277500</v>
      </c>
      <c r="G34" s="1"/>
      <c r="H34" s="30">
        <f t="shared" si="0"/>
        <v>80328.870778752607</v>
      </c>
      <c r="I34" s="30">
        <f>+AI34</f>
        <v>84918.478750000009</v>
      </c>
      <c r="J34" s="30">
        <f>+I34-H34</f>
        <v>4589.607971247402</v>
      </c>
      <c r="K34" s="56">
        <f>ROUND(+J34/H34,4)</f>
        <v>5.7099999999999998E-2</v>
      </c>
      <c r="L34" s="30">
        <f>ROUND($U$10*$F34,2)</f>
        <v>-2444.96</v>
      </c>
      <c r="M34" s="30">
        <f>ROUND($U$11*$F34,2)</f>
        <v>57.63</v>
      </c>
      <c r="N34" s="30">
        <f>ROUND($U$12*$F34,2)</f>
        <v>1927.98</v>
      </c>
      <c r="O34" s="30">
        <f>+H34+L34+M34+N34</f>
        <v>79869.520778752601</v>
      </c>
      <c r="P34" s="30">
        <f>+I34+L34+M34+N34</f>
        <v>84459.128750000003</v>
      </c>
      <c r="Q34" s="56">
        <f>ROUND((P34-O34)/O34,4)</f>
        <v>5.7500000000000002E-2</v>
      </c>
      <c r="R34" s="1"/>
      <c r="T34" s="7">
        <f>$T$20</f>
        <v>200</v>
      </c>
      <c r="U34" s="21">
        <f>$U$17*F34</f>
        <v>41250.474999999999</v>
      </c>
      <c r="V34" s="21">
        <f>$V$17*$A$32</f>
        <v>17942.168958933744</v>
      </c>
      <c r="W34" s="21">
        <f t="shared" si="1"/>
        <v>14216.230287610051</v>
      </c>
      <c r="X34" s="21">
        <f>$X$17*$A$32</f>
        <v>6719.9965322088065</v>
      </c>
      <c r="Y34" s="26">
        <f>T34+U34+V34+W34+X34</f>
        <v>80328.870778752607</v>
      </c>
      <c r="Z34" s="26"/>
      <c r="AA34" s="21"/>
      <c r="AD34" s="7">
        <f>$AD$20</f>
        <v>200.27874999999997</v>
      </c>
      <c r="AE34" s="21">
        <f>$AE$17*F34</f>
        <v>41493.200000000004</v>
      </c>
      <c r="AF34" s="21">
        <f>$B$32*$AF$17</f>
        <v>20425</v>
      </c>
      <c r="AG34" s="21">
        <f>$B$32*$AG$17</f>
        <v>16175</v>
      </c>
      <c r="AH34" s="21">
        <f>$B$32*$AH$17</f>
        <v>6625</v>
      </c>
      <c r="AI34" s="26">
        <f>AD34+AE34+AF34+AG34+AH34</f>
        <v>84918.478750000009</v>
      </c>
      <c r="AJ34" s="21"/>
      <c r="AK34" s="17"/>
      <c r="AL34" s="7">
        <f>AI34-Y34</f>
        <v>4589.607971247402</v>
      </c>
      <c r="AN34" s="18">
        <f>AI34/Y34-1</f>
        <v>5.7135223323236062E-2</v>
      </c>
    </row>
    <row r="35" spans="1:40" x14ac:dyDescent="0.2">
      <c r="A35" s="5"/>
      <c r="B35" s="5"/>
      <c r="D35" s="13"/>
      <c r="F35" s="1"/>
      <c r="G35" s="1"/>
      <c r="H35" s="30"/>
      <c r="I35" s="30"/>
      <c r="K35" s="5"/>
      <c r="L35" s="1"/>
      <c r="M35" s="1"/>
      <c r="N35" s="1"/>
      <c r="Q35" s="56"/>
      <c r="R35" s="1"/>
      <c r="T35" s="7"/>
      <c r="U35" s="21"/>
      <c r="V35" s="21"/>
      <c r="W35" s="21"/>
      <c r="X35" s="21"/>
      <c r="Y35" s="26"/>
      <c r="Z35" s="26"/>
      <c r="AD35" s="7"/>
      <c r="AE35" s="21"/>
      <c r="AF35" s="21"/>
      <c r="AG35" s="21"/>
      <c r="AH35" s="21"/>
      <c r="AI35" s="26"/>
      <c r="AK35" s="17"/>
      <c r="AL35" s="6"/>
      <c r="AN35" s="6"/>
    </row>
    <row r="36" spans="1:40" x14ac:dyDescent="0.2">
      <c r="A36" s="133">
        <f>B36*AVERAGE($V$2:$V$6)</f>
        <v>4435.641275385351</v>
      </c>
      <c r="B36" s="133">
        <v>5000</v>
      </c>
      <c r="C36" s="1"/>
      <c r="D36" s="13">
        <v>0.3</v>
      </c>
      <c r="F36" s="1">
        <f>D36*($B$36*730)</f>
        <v>1095000</v>
      </c>
      <c r="G36" s="1"/>
      <c r="H36" s="30">
        <f t="shared" si="0"/>
        <v>113314.34155750519</v>
      </c>
      <c r="I36" s="30">
        <f>+AI36</f>
        <v>122215.87875</v>
      </c>
      <c r="J36" s="30">
        <f>+I36-H36</f>
        <v>8901.5371924948122</v>
      </c>
      <c r="K36" s="56">
        <f>ROUND(+J36/H36,4)</f>
        <v>7.8600000000000003E-2</v>
      </c>
      <c r="L36" s="30">
        <f>ROUND($U$10*$F36,2)</f>
        <v>-2095.6799999999998</v>
      </c>
      <c r="M36" s="30">
        <f>ROUND($U$11*$F36,2)</f>
        <v>49.4</v>
      </c>
      <c r="N36" s="30">
        <f>ROUND($U$12*$F36,2)</f>
        <v>1652.55</v>
      </c>
      <c r="O36" s="30">
        <f>+H36+L36+M36+N36</f>
        <v>112920.6115575052</v>
      </c>
      <c r="P36" s="30">
        <f>+I36+L36+M36+N36</f>
        <v>121822.14875000001</v>
      </c>
      <c r="Q36" s="56">
        <f>ROUND((P36-O36)/O36,4)</f>
        <v>7.8799999999999995E-2</v>
      </c>
      <c r="R36" s="1"/>
      <c r="T36" s="7">
        <f>$T$20</f>
        <v>200</v>
      </c>
      <c r="U36" s="21">
        <f>$U$17*F36</f>
        <v>35357.549999999996</v>
      </c>
      <c r="V36" s="21">
        <f>$V$17*$A$36</f>
        <v>35884.337917867488</v>
      </c>
      <c r="W36" s="21">
        <f>$W$17*$A$36</f>
        <v>28432.460575220102</v>
      </c>
      <c r="X36" s="21">
        <f t="shared" ref="X36:X38" si="2">$X$17*$A$36</f>
        <v>13439.993064417613</v>
      </c>
      <c r="Y36" s="26">
        <f>T36+U36+V36+W36+X36</f>
        <v>113314.34155750519</v>
      </c>
      <c r="Z36" s="26"/>
      <c r="AA36" s="21"/>
      <c r="AD36" s="7">
        <f>$AD$20</f>
        <v>200.27874999999997</v>
      </c>
      <c r="AE36" s="21">
        <f>$AE$17*F36</f>
        <v>35565.599999999999</v>
      </c>
      <c r="AF36" s="21">
        <f>$B$36*$AF$17</f>
        <v>40850</v>
      </c>
      <c r="AG36" s="21">
        <f>$B$36*$AG$17</f>
        <v>32350</v>
      </c>
      <c r="AH36" s="21">
        <f>$B$36*$AH$17</f>
        <v>13250</v>
      </c>
      <c r="AI36" s="26">
        <f>AD36+AE36+AF36+AG36+AH36</f>
        <v>122215.87875</v>
      </c>
      <c r="AJ36" s="21"/>
      <c r="AK36" s="17"/>
      <c r="AL36" s="7">
        <f>AI36-Y36</f>
        <v>8901.5371924948122</v>
      </c>
      <c r="AN36" s="18">
        <f>AI36/Y36-1</f>
        <v>7.8556139233068034E-2</v>
      </c>
    </row>
    <row r="37" spans="1:40" x14ac:dyDescent="0.2">
      <c r="D37" s="13">
        <v>0.5</v>
      </c>
      <c r="F37" s="1">
        <f>D37*($B$36*730)</f>
        <v>1825000</v>
      </c>
      <c r="G37" s="1"/>
      <c r="H37" s="30">
        <f t="shared" si="0"/>
        <v>136886.0415575052</v>
      </c>
      <c r="I37" s="30">
        <f>+AI37</f>
        <v>145926.27875</v>
      </c>
      <c r="J37" s="30">
        <f>+I37-H37</f>
        <v>9040.2371924947947</v>
      </c>
      <c r="K37" s="56">
        <f>ROUND(+J37/H37,4)</f>
        <v>6.6000000000000003E-2</v>
      </c>
      <c r="L37" s="30">
        <f>ROUND($U$10*$F37,2)</f>
        <v>-3492.8</v>
      </c>
      <c r="M37" s="30">
        <f>ROUND($U$11*$F37,2)</f>
        <v>82.33</v>
      </c>
      <c r="N37" s="30">
        <f>ROUND($U$12*$F37,2)</f>
        <v>2754.26</v>
      </c>
      <c r="O37" s="30">
        <f>+H37+L37+M37+N37</f>
        <v>136229.83155750521</v>
      </c>
      <c r="P37" s="30">
        <f>+I37+L37+M37+N37</f>
        <v>145270.06875000001</v>
      </c>
      <c r="Q37" s="56">
        <f>ROUND((P37-O37)/O37,4)</f>
        <v>6.6400000000000001E-2</v>
      </c>
      <c r="R37" s="1"/>
      <c r="T37" s="7">
        <f>$T$20</f>
        <v>200</v>
      </c>
      <c r="U37" s="21">
        <f>$U$17*F37</f>
        <v>58929.25</v>
      </c>
      <c r="V37" s="21">
        <f>$V$17*$A$36</f>
        <v>35884.337917867488</v>
      </c>
      <c r="W37" s="21">
        <f>$W$17*$A$36</f>
        <v>28432.460575220102</v>
      </c>
      <c r="X37" s="21">
        <f t="shared" si="2"/>
        <v>13439.993064417613</v>
      </c>
      <c r="Y37" s="26">
        <f>T37+U37+V37+W37+X37</f>
        <v>136886.0415575052</v>
      </c>
      <c r="Z37" s="26"/>
      <c r="AA37" s="21"/>
      <c r="AD37" s="7">
        <f>$AD$20</f>
        <v>200.27874999999997</v>
      </c>
      <c r="AE37" s="21">
        <f>$AE$17*F37</f>
        <v>59276</v>
      </c>
      <c r="AF37" s="21">
        <f>$B$36*$AF$17</f>
        <v>40850</v>
      </c>
      <c r="AG37" s="21">
        <f>$B$36*$AG$17</f>
        <v>32350</v>
      </c>
      <c r="AH37" s="21">
        <f>$B$36*$AH$17</f>
        <v>13250</v>
      </c>
      <c r="AI37" s="26">
        <f>AD37+AE37+AF37+AG37+AH37</f>
        <v>145926.27875</v>
      </c>
      <c r="AJ37" s="21"/>
      <c r="AK37" s="17"/>
      <c r="AL37" s="7">
        <f>AI37-Y37</f>
        <v>9040.2371924947947</v>
      </c>
      <c r="AN37" s="18">
        <f>AI37/Y37-1</f>
        <v>6.6042067471846932E-2</v>
      </c>
    </row>
    <row r="38" spans="1:40" x14ac:dyDescent="0.2">
      <c r="D38" s="13">
        <v>0.7</v>
      </c>
      <c r="F38" s="1">
        <f>D38*($B$36*730)</f>
        <v>2555000</v>
      </c>
      <c r="G38" s="1"/>
      <c r="H38" s="30">
        <f t="shared" si="0"/>
        <v>160457.74155750521</v>
      </c>
      <c r="I38" s="30">
        <f>+AI38</f>
        <v>169636.67875000002</v>
      </c>
      <c r="J38" s="30">
        <f>+I38-H38</f>
        <v>9178.9371924948064</v>
      </c>
      <c r="K38" s="56">
        <f>ROUND(+J38/H38,4)</f>
        <v>5.7200000000000001E-2</v>
      </c>
      <c r="L38" s="30">
        <f>ROUND($U$10*$F38,2)</f>
        <v>-4889.91</v>
      </c>
      <c r="M38" s="30">
        <f>ROUND($U$11*$F38,2)</f>
        <v>115.26</v>
      </c>
      <c r="N38" s="30">
        <f>ROUND($U$12*$F38,2)</f>
        <v>3855.96</v>
      </c>
      <c r="O38" s="30">
        <f>+H38+L38+M38+N38</f>
        <v>159539.05155750521</v>
      </c>
      <c r="P38" s="30">
        <f>+I38+L38+M38+N38</f>
        <v>168717.98875000002</v>
      </c>
      <c r="Q38" s="56">
        <f>ROUND((P38-O38)/O38,4)</f>
        <v>5.7500000000000002E-2</v>
      </c>
      <c r="R38" s="1"/>
      <c r="T38" s="7">
        <f>$T$20</f>
        <v>200</v>
      </c>
      <c r="U38" s="21">
        <f>$U$17*F38</f>
        <v>82500.95</v>
      </c>
      <c r="V38" s="21">
        <f>$V$17*$A$36</f>
        <v>35884.337917867488</v>
      </c>
      <c r="W38" s="21">
        <f>$W$17*$A$36</f>
        <v>28432.460575220102</v>
      </c>
      <c r="X38" s="21">
        <f t="shared" si="2"/>
        <v>13439.993064417613</v>
      </c>
      <c r="Y38" s="26">
        <f>T38+U38+V38+W38+X38</f>
        <v>160457.74155750521</v>
      </c>
      <c r="Z38" s="26"/>
      <c r="AA38" s="21"/>
      <c r="AD38" s="7">
        <f>$AD$20</f>
        <v>200.27874999999997</v>
      </c>
      <c r="AE38" s="21">
        <f>$AE$17*F38</f>
        <v>82986.400000000009</v>
      </c>
      <c r="AF38" s="21">
        <f>$B$36*$AF$17</f>
        <v>40850</v>
      </c>
      <c r="AG38" s="21">
        <f>$B$36*$AG$17</f>
        <v>32350</v>
      </c>
      <c r="AH38" s="21">
        <f>$B$36*$AH$17</f>
        <v>13250</v>
      </c>
      <c r="AI38" s="26">
        <f>AD38+AE38+AF38+AG38+AH38</f>
        <v>169636.67875000002</v>
      </c>
      <c r="AJ38" s="21"/>
      <c r="AK38" s="17"/>
      <c r="AL38" s="7">
        <f>AI38-Y38</f>
        <v>9178.9371924948064</v>
      </c>
      <c r="AN38" s="18">
        <f>AI38/Y38-1</f>
        <v>5.7204701396132096E-2</v>
      </c>
    </row>
    <row r="39" spans="1:40" x14ac:dyDescent="0.2">
      <c r="U39" s="21"/>
      <c r="V39" s="21"/>
      <c r="W39" s="21"/>
      <c r="X39" s="21"/>
      <c r="Y39" s="21"/>
      <c r="Z39" s="21"/>
    </row>
    <row r="40" spans="1:40" x14ac:dyDescent="0.2">
      <c r="A40" s="17" t="s">
        <v>313</v>
      </c>
      <c r="B40" s="17"/>
      <c r="U40" s="21"/>
      <c r="V40" s="21"/>
      <c r="W40" s="21"/>
      <c r="X40" s="21"/>
      <c r="Y40" s="21"/>
      <c r="Z40" s="21"/>
    </row>
    <row r="41" spans="1:40" x14ac:dyDescent="0.2">
      <c r="A41" s="179" t="str">
        <f>("Average usage = "&amp;TEXT(INPUT!$L$19*1,"0,000")&amp;" kWh per month")</f>
        <v>Average usage = 208,133 kWh per month</v>
      </c>
      <c r="B41" s="179"/>
      <c r="U41" s="21"/>
      <c r="V41" s="21"/>
      <c r="W41" s="21"/>
      <c r="X41" s="21"/>
      <c r="Y41" s="21"/>
      <c r="Z41" s="21"/>
    </row>
    <row r="42" spans="1:40" x14ac:dyDescent="0.2">
      <c r="A42" s="180" t="s">
        <v>314</v>
      </c>
      <c r="B42" s="180"/>
      <c r="D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AF42" s="32"/>
      <c r="AG42" s="21"/>
      <c r="AH42" s="21"/>
      <c r="AI42" s="21"/>
      <c r="AJ42" s="21"/>
      <c r="AK42" s="21"/>
      <c r="AL42" s="6"/>
    </row>
    <row r="43" spans="1:40" x14ac:dyDescent="0.2">
      <c r="A43" s="182" t="s">
        <v>162</v>
      </c>
      <c r="B43" s="18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U43" s="12"/>
      <c r="AF43" s="9"/>
    </row>
    <row r="44" spans="1:40" x14ac:dyDescent="0.2">
      <c r="A44" s="182" t="s">
        <v>322</v>
      </c>
      <c r="B44" s="18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B44" s="3"/>
      <c r="AC44" s="2"/>
      <c r="AD44" s="3"/>
      <c r="AF44" s="3"/>
    </row>
    <row r="45" spans="1:40" x14ac:dyDescent="0.2">
      <c r="A45" s="61"/>
      <c r="B45" s="61"/>
      <c r="AF45" s="9"/>
    </row>
    <row r="46" spans="1:40" x14ac:dyDescent="0.2">
      <c r="T46" s="3"/>
      <c r="X46" s="3"/>
      <c r="AB46" s="3"/>
      <c r="AF46" s="9"/>
    </row>
    <row r="47" spans="1:40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B47" s="3"/>
      <c r="AC47" s="2"/>
      <c r="AD47" s="3"/>
      <c r="AF47" s="3"/>
    </row>
    <row r="48" spans="1:40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B48" s="3"/>
      <c r="AC48" s="2"/>
      <c r="AD48" s="3"/>
      <c r="AF48" s="3"/>
    </row>
    <row r="49" spans="3:32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  <c r="V49" s="3"/>
      <c r="W49" s="3"/>
      <c r="X49" s="3"/>
      <c r="Y49" s="3"/>
      <c r="Z49" s="3"/>
    </row>
    <row r="50" spans="3:32" x14ac:dyDescent="0.2">
      <c r="C50" s="180"/>
      <c r="F50" s="1"/>
      <c r="G50" s="1"/>
      <c r="H50" s="1"/>
      <c r="I50" s="1"/>
      <c r="J50" s="1"/>
      <c r="K50" s="1"/>
      <c r="L50" s="377"/>
      <c r="M50" s="377"/>
      <c r="N50" s="1"/>
      <c r="O50" s="1"/>
      <c r="P50" s="1"/>
      <c r="Q50" s="1"/>
      <c r="R50" s="1"/>
      <c r="T50" s="7"/>
      <c r="U50" s="12"/>
      <c r="X50" s="12"/>
      <c r="Y50" s="12"/>
      <c r="Z50" s="12"/>
      <c r="AB50" s="6"/>
      <c r="AD50" s="6"/>
      <c r="AF50" s="9"/>
    </row>
    <row r="51" spans="3:32" x14ac:dyDescent="0.2">
      <c r="F51" s="1"/>
      <c r="G51" s="1"/>
      <c r="H51" s="1"/>
      <c r="I51" s="1"/>
      <c r="J51" s="1"/>
      <c r="K51" s="1"/>
      <c r="N51" s="1"/>
      <c r="O51" s="1"/>
      <c r="P51" s="1"/>
      <c r="Q51" s="1"/>
      <c r="R51" s="1"/>
      <c r="T51" s="7"/>
      <c r="U51" s="12"/>
      <c r="X51" s="12"/>
      <c r="Y51" s="12"/>
      <c r="Z51" s="12"/>
      <c r="AB51" s="6"/>
      <c r="AD51" s="6"/>
      <c r="AF51" s="9"/>
    </row>
    <row r="52" spans="3:32" x14ac:dyDescent="0.2">
      <c r="F52" s="1"/>
      <c r="G52" s="1"/>
      <c r="H52" s="1"/>
      <c r="I52" s="1"/>
      <c r="J52" s="1"/>
      <c r="K52" s="1"/>
      <c r="N52" s="1"/>
      <c r="O52" s="1"/>
      <c r="P52" s="1"/>
      <c r="Q52" s="1"/>
      <c r="R52" s="1"/>
      <c r="T52" s="7"/>
      <c r="U52" s="12"/>
      <c r="X52" s="12"/>
      <c r="Y52" s="12"/>
      <c r="Z52" s="12"/>
      <c r="AB52" s="6"/>
      <c r="AD52" s="6"/>
      <c r="AF52" s="9"/>
    </row>
    <row r="53" spans="3:32" x14ac:dyDescent="0.2">
      <c r="F53" s="1"/>
      <c r="G53" s="1"/>
      <c r="H53" s="1"/>
      <c r="I53" s="1"/>
      <c r="J53" s="1"/>
      <c r="K53" s="1"/>
      <c r="N53" s="1"/>
      <c r="O53" s="1"/>
      <c r="P53" s="1"/>
      <c r="Q53" s="1"/>
      <c r="R53" s="1"/>
      <c r="T53" s="7"/>
      <c r="U53" s="12"/>
      <c r="X53" s="12"/>
      <c r="Y53" s="12"/>
      <c r="Z53" s="12"/>
      <c r="AB53" s="6"/>
      <c r="AC53" s="10"/>
      <c r="AD53" s="6"/>
      <c r="AE53" s="10"/>
      <c r="AF53" s="9"/>
    </row>
    <row r="54" spans="3:32" x14ac:dyDescent="0.2">
      <c r="F54" s="1"/>
      <c r="G54" s="1"/>
      <c r="H54" s="1"/>
      <c r="I54" s="1"/>
      <c r="J54" s="1"/>
      <c r="K54" s="1"/>
      <c r="N54" s="1"/>
      <c r="O54" s="1"/>
      <c r="P54" s="1"/>
      <c r="Q54" s="1"/>
      <c r="R54" s="1"/>
      <c r="T54" s="7"/>
      <c r="U54" s="12"/>
      <c r="X54" s="12"/>
      <c r="Y54" s="12"/>
      <c r="Z54" s="12"/>
      <c r="AB54" s="6"/>
      <c r="AC54" s="10"/>
      <c r="AD54" s="6"/>
      <c r="AE54" s="10"/>
      <c r="AF54" s="9"/>
    </row>
    <row r="55" spans="3:32" x14ac:dyDescent="0.2">
      <c r="F55" s="1"/>
      <c r="G55" s="1"/>
      <c r="H55" s="1"/>
      <c r="I55" s="1"/>
      <c r="J55" s="1"/>
      <c r="K55" s="1"/>
      <c r="N55" s="1"/>
      <c r="O55" s="1"/>
      <c r="P55" s="1"/>
      <c r="Q55" s="1"/>
      <c r="R55" s="1"/>
      <c r="T55" s="7"/>
      <c r="U55" s="12"/>
      <c r="X55" s="12"/>
      <c r="Y55" s="12"/>
      <c r="Z55" s="12"/>
      <c r="AB55" s="6"/>
      <c r="AD55" s="6"/>
      <c r="AF55" s="9"/>
    </row>
    <row r="56" spans="3:32" x14ac:dyDescent="0.2">
      <c r="F56" s="1"/>
      <c r="G56" s="1"/>
      <c r="H56" s="1"/>
      <c r="I56" s="1"/>
      <c r="J56" s="1"/>
      <c r="K56" s="1"/>
      <c r="N56" s="1"/>
      <c r="O56" s="1"/>
      <c r="P56" s="1"/>
      <c r="Q56" s="1"/>
      <c r="R56" s="1"/>
      <c r="T56" s="7"/>
      <c r="U56" s="12"/>
      <c r="X56" s="12"/>
      <c r="Y56" s="12"/>
      <c r="Z56" s="12"/>
      <c r="AB56" s="6"/>
      <c r="AD56" s="6"/>
      <c r="AF56" s="9"/>
    </row>
    <row r="57" spans="3:32" x14ac:dyDescent="0.2">
      <c r="F57" s="1"/>
      <c r="G57" s="1"/>
      <c r="H57" s="1"/>
      <c r="I57" s="1"/>
      <c r="J57" s="1"/>
      <c r="K57" s="1"/>
      <c r="N57" s="1"/>
      <c r="O57" s="1"/>
      <c r="P57" s="1"/>
      <c r="Q57" s="1"/>
      <c r="R57" s="1"/>
      <c r="T57" s="7"/>
      <c r="U57" s="12"/>
      <c r="X57" s="12"/>
      <c r="Y57" s="12"/>
      <c r="Z57" s="12"/>
      <c r="AB57" s="6"/>
      <c r="AD57" s="6"/>
      <c r="AF57" s="9"/>
    </row>
    <row r="58" spans="3:32" x14ac:dyDescent="0.2">
      <c r="F58" s="1"/>
      <c r="G58" s="1"/>
      <c r="H58" s="1"/>
      <c r="I58" s="1"/>
      <c r="J58" s="1"/>
      <c r="K58" s="1"/>
      <c r="L58" s="377"/>
      <c r="M58" s="377"/>
      <c r="N58" s="1"/>
      <c r="O58" s="1"/>
      <c r="P58" s="1"/>
      <c r="Q58" s="1"/>
      <c r="R58" s="1"/>
      <c r="T58" s="7"/>
      <c r="U58" s="12"/>
      <c r="X58" s="12"/>
      <c r="Y58" s="12"/>
      <c r="Z58" s="12"/>
      <c r="AB58" s="6"/>
      <c r="AD58" s="6"/>
      <c r="AF58" s="9"/>
    </row>
    <row r="59" spans="3:32" x14ac:dyDescent="0.2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7"/>
      <c r="U59" s="12"/>
      <c r="X59" s="12"/>
      <c r="Y59" s="12"/>
      <c r="Z59" s="12"/>
      <c r="AB59" s="6"/>
      <c r="AD59" s="6"/>
      <c r="AF59" s="9"/>
    </row>
    <row r="60" spans="3:32" ht="6.75" customHeight="1" x14ac:dyDescent="0.2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T60" s="7"/>
      <c r="U60" s="12"/>
      <c r="X60" s="12"/>
      <c r="Y60" s="12"/>
      <c r="Z60" s="12"/>
      <c r="AB60" s="6"/>
      <c r="AD60" s="6"/>
      <c r="AF60" s="9"/>
    </row>
    <row r="61" spans="3:32" x14ac:dyDescent="0.2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7"/>
      <c r="U61" s="12"/>
      <c r="X61" s="12"/>
      <c r="Y61" s="12"/>
      <c r="Z61" s="12"/>
      <c r="AB61" s="6"/>
      <c r="AD61" s="6"/>
      <c r="AF61" s="9"/>
    </row>
    <row r="62" spans="3:32" x14ac:dyDescent="0.2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T62" s="7"/>
      <c r="U62" s="12"/>
      <c r="X62" s="12"/>
      <c r="Y62" s="12"/>
      <c r="Z62" s="12"/>
      <c r="AB62" s="6"/>
      <c r="AD62" s="6"/>
      <c r="AF62" s="9"/>
    </row>
    <row r="63" spans="3:32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T63" s="7"/>
      <c r="U63" s="12"/>
      <c r="X63" s="12"/>
      <c r="Y63" s="12"/>
      <c r="Z63" s="12"/>
      <c r="AB63" s="6"/>
      <c r="AD63" s="6"/>
      <c r="AF63" s="9"/>
    </row>
    <row r="64" spans="3:32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T64" s="7"/>
      <c r="U64" s="12"/>
      <c r="X64" s="12"/>
      <c r="Y64" s="12"/>
      <c r="Z64" s="12"/>
      <c r="AB64" s="6"/>
      <c r="AD64" s="6"/>
      <c r="AF64" s="9"/>
    </row>
    <row r="65" spans="6:36" x14ac:dyDescent="0.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  <c r="V65" s="3"/>
      <c r="W65" s="3"/>
      <c r="X65" s="3"/>
      <c r="Y65" s="3"/>
      <c r="Z65" s="3"/>
    </row>
    <row r="66" spans="6:36" x14ac:dyDescent="0.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  <c r="V66" s="3"/>
      <c r="W66" s="3"/>
      <c r="X66" s="3"/>
      <c r="Y66" s="3"/>
      <c r="Z66" s="3"/>
    </row>
    <row r="67" spans="6:36" x14ac:dyDescent="0.2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AF67" s="9"/>
    </row>
    <row r="68" spans="6:36" x14ac:dyDescent="0.2">
      <c r="AI68" s="4"/>
      <c r="AJ68" s="4"/>
    </row>
  </sheetData>
  <mergeCells count="5">
    <mergeCell ref="A1:Q1"/>
    <mergeCell ref="L15:N15"/>
    <mergeCell ref="A2:Q2"/>
    <mergeCell ref="A3:Q3"/>
    <mergeCell ref="A4:Q4"/>
  </mergeCells>
  <printOptions horizontalCentered="1"/>
  <pageMargins left="0.75" right="0.75" top="1.5" bottom="0.5" header="1" footer="0.5"/>
  <pageSetup scale="7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7.140625" customWidth="1"/>
    <col min="2" max="2" width="1.85546875" customWidth="1"/>
    <col min="3" max="3" width="6.5703125" customWidth="1"/>
    <col min="4" max="4" width="1.85546875" customWidth="1"/>
    <col min="5" max="5" width="10.85546875" bestFit="1" customWidth="1"/>
    <col min="6" max="6" width="1.5703125" customWidth="1"/>
    <col min="7" max="7" width="15.140625" bestFit="1" customWidth="1"/>
    <col min="8" max="8" width="14.7109375" customWidth="1"/>
    <col min="9" max="9" width="13.42578125" bestFit="1" customWidth="1"/>
    <col min="10" max="10" width="9.85546875" customWidth="1"/>
    <col min="11" max="11" width="12.85546875" bestFit="1" customWidth="1"/>
    <col min="12" max="12" width="12.28515625" bestFit="1" customWidth="1"/>
    <col min="13" max="13" width="13.42578125" bestFit="1" customWidth="1"/>
    <col min="14" max="15" width="15.140625" bestFit="1" customWidth="1"/>
    <col min="16" max="16" width="9.85546875" customWidth="1"/>
    <col min="17" max="17" width="3.5703125" customWidth="1"/>
    <col min="18" max="18" width="3" customWidth="1"/>
    <col min="19" max="19" width="10" customWidth="1"/>
    <col min="20" max="20" width="13.5703125" customWidth="1"/>
    <col min="21" max="21" width="12.5703125" bestFit="1" customWidth="1"/>
    <col min="22" max="23" width="12.7109375" bestFit="1" customWidth="1"/>
    <col min="24" max="24" width="14.42578125" bestFit="1" customWidth="1"/>
    <col min="25" max="25" width="2.5703125" customWidth="1"/>
    <col min="26" max="26" width="5.85546875" customWidth="1"/>
    <col min="27" max="27" width="1.5703125" customWidth="1"/>
    <col min="28" max="28" width="2.42578125" customWidth="1"/>
    <col min="29" max="29" width="9.42578125" customWidth="1"/>
    <col min="30" max="31" width="12.7109375" bestFit="1" customWidth="1"/>
    <col min="32" max="32" width="13.85546875" bestFit="1" customWidth="1"/>
    <col min="33" max="33" width="12.7109375" bestFit="1" customWidth="1"/>
    <col min="34" max="34" width="14.42578125" bestFit="1" customWidth="1"/>
    <col min="35" max="35" width="8" customWidth="1"/>
    <col min="36" max="36" width="2.42578125" customWidth="1"/>
    <col min="37" max="37" width="12" bestFit="1" customWidth="1"/>
    <col min="38" max="38" width="10.7109375" customWidth="1"/>
    <col min="39" max="39" width="11.42578125" bestFit="1" customWidth="1"/>
  </cols>
  <sheetData>
    <row r="1" spans="1:39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39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39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</row>
    <row r="4" spans="1:39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</row>
    <row r="5" spans="1:39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2"/>
      <c r="N5" s="2"/>
      <c r="O5" s="2"/>
      <c r="P5" s="2"/>
    </row>
    <row r="6" spans="1:39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  <c r="M6" s="2"/>
      <c r="N6" s="2"/>
      <c r="O6" s="2"/>
      <c r="P6" s="2"/>
    </row>
    <row r="7" spans="1:39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"/>
      <c r="M7" s="2"/>
      <c r="N7" s="2"/>
      <c r="O7" s="2"/>
      <c r="P7" s="203" t="str">
        <f>+'Rate Case Constants'!C25</f>
        <v>SCHEDULE N</v>
      </c>
    </row>
    <row r="8" spans="1:39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"/>
      <c r="M8" s="2"/>
      <c r="N8" s="2"/>
      <c r="O8" s="2"/>
      <c r="P8" s="202" t="str">
        <f>+'Rate Case Constants'!L18</f>
        <v>PAGE 11 of 24</v>
      </c>
    </row>
    <row r="9" spans="1:3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</row>
    <row r="10" spans="1:39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>
        <f>+INPUT!G62</f>
        <v>-1.9196862512213342E-3</v>
      </c>
    </row>
    <row r="11" spans="1:39" x14ac:dyDescent="0.2">
      <c r="A11" s="126" t="s">
        <v>265</v>
      </c>
      <c r="S11" s="85" t="s">
        <v>73</v>
      </c>
      <c r="T11">
        <f>+INPUT!H62</f>
        <v>2.2488110573959211E-5</v>
      </c>
      <c r="V11" s="61" t="s">
        <v>162</v>
      </c>
      <c r="AD11" s="61" t="s">
        <v>162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5" t="s">
        <v>72</v>
      </c>
      <c r="T12">
        <f>+INPUT!I62</f>
        <v>1.6732661277648953E-3</v>
      </c>
    </row>
    <row r="13" spans="1:39" x14ac:dyDescent="0.2">
      <c r="A13" s="44"/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U13" s="3" t="s">
        <v>1</v>
      </c>
      <c r="V13" s="3" t="s">
        <v>1</v>
      </c>
      <c r="W13" s="3" t="s">
        <v>1</v>
      </c>
      <c r="Z13" s="3" t="s">
        <v>72</v>
      </c>
      <c r="AD13" s="21"/>
      <c r="AE13" s="22" t="s">
        <v>9</v>
      </c>
      <c r="AF13" s="22" t="s">
        <v>9</v>
      </c>
      <c r="AG13" s="22" t="s">
        <v>9</v>
      </c>
      <c r="AH13" s="21"/>
      <c r="AI13" s="3" t="s">
        <v>72</v>
      </c>
    </row>
    <row r="14" spans="1:39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2" t="s">
        <v>34</v>
      </c>
      <c r="AF14" s="22" t="s">
        <v>30</v>
      </c>
      <c r="AG14" s="22" t="s">
        <v>22</v>
      </c>
      <c r="AH14" s="22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76</v>
      </c>
      <c r="AC15" s="27" t="s">
        <v>55</v>
      </c>
      <c r="AD15" s="3" t="s">
        <v>56</v>
      </c>
      <c r="AE15" s="22" t="s">
        <v>25</v>
      </c>
      <c r="AF15" s="22" t="s">
        <v>25</v>
      </c>
      <c r="AG15" s="22" t="s">
        <v>18</v>
      </c>
      <c r="AH15" s="22" t="s">
        <v>5</v>
      </c>
      <c r="AI15" s="3" t="s">
        <v>76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3" t="s">
        <v>4</v>
      </c>
      <c r="H16" s="3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3" t="s">
        <v>4</v>
      </c>
      <c r="O16" s="3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7" t="s">
        <v>3</v>
      </c>
      <c r="AD16" s="3" t="s">
        <v>3</v>
      </c>
      <c r="AE16" s="22" t="s">
        <v>3</v>
      </c>
      <c r="AF16" s="22" t="s">
        <v>3</v>
      </c>
      <c r="AG16" s="22" t="s">
        <v>3</v>
      </c>
      <c r="AH16" s="22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3"/>
      <c r="H17" s="3"/>
      <c r="I17" s="3" t="s">
        <v>69</v>
      </c>
      <c r="J17" s="27" t="s">
        <v>70</v>
      </c>
      <c r="K17" s="90"/>
      <c r="L17" s="90"/>
      <c r="M17" s="91"/>
      <c r="N17" s="3" t="s">
        <v>69</v>
      </c>
      <c r="O17" s="3" t="s">
        <v>69</v>
      </c>
      <c r="P17" s="27" t="s">
        <v>70</v>
      </c>
      <c r="Q17" s="3"/>
      <c r="R17" s="3"/>
      <c r="S17" s="27"/>
      <c r="T17" s="42">
        <f>+INPUT!$K$6</f>
        <v>3.1359999999999999E-2</v>
      </c>
      <c r="U17" s="43">
        <f>+INPUT!$K$13</f>
        <v>6.71</v>
      </c>
      <c r="V17" s="43">
        <f>+INPUT!$K$14</f>
        <v>5.31</v>
      </c>
      <c r="W17" s="43">
        <f>+INPUT!$K$15</f>
        <v>3.03</v>
      </c>
      <c r="X17" s="3"/>
      <c r="Y17" s="3"/>
      <c r="Z17" s="42"/>
      <c r="AC17" s="27"/>
      <c r="AD17" s="42">
        <f>+INPUT!$K$27</f>
        <v>3.1609999999999999E-2</v>
      </c>
      <c r="AE17" s="43">
        <f>+INPUT!$K$34</f>
        <v>7.79</v>
      </c>
      <c r="AF17" s="43">
        <f>+INPUT!$K$35</f>
        <v>6.16</v>
      </c>
      <c r="AG17" s="43">
        <f>+INPUT!$K$36</f>
        <v>2.87</v>
      </c>
      <c r="AH17" s="22"/>
      <c r="AI17" s="42"/>
      <c r="AK17" s="3"/>
      <c r="AL17" s="3"/>
      <c r="AM17" s="3"/>
    </row>
    <row r="18" spans="1:39" x14ac:dyDescent="0.2">
      <c r="A18" s="16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T18" s="3" t="s">
        <v>14</v>
      </c>
      <c r="U18" s="3" t="s">
        <v>58</v>
      </c>
      <c r="V18" s="3" t="s">
        <v>58</v>
      </c>
      <c r="W18" s="3" t="s">
        <v>58</v>
      </c>
      <c r="X18" s="3"/>
      <c r="Y18" s="3"/>
      <c r="Z18" s="3"/>
      <c r="AC18" s="27"/>
      <c r="AD18" s="3" t="s">
        <v>14</v>
      </c>
      <c r="AE18" s="3" t="s">
        <v>58</v>
      </c>
      <c r="AF18" s="3" t="s">
        <v>58</v>
      </c>
      <c r="AG18" s="3" t="s">
        <v>58</v>
      </c>
      <c r="AH18" s="22"/>
      <c r="AI18" s="3"/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3"/>
      <c r="V19" s="3"/>
      <c r="W19" s="3"/>
      <c r="X19" s="3"/>
      <c r="Y19" s="3"/>
      <c r="AC19" s="27"/>
      <c r="AD19" s="3"/>
      <c r="AE19" s="22"/>
      <c r="AF19" s="22"/>
      <c r="AG19" s="22"/>
      <c r="AH19" s="22"/>
      <c r="AK19" s="3"/>
      <c r="AL19" s="3"/>
      <c r="AM19" s="3"/>
    </row>
    <row r="20" spans="1:39" x14ac:dyDescent="0.2">
      <c r="A20" s="1">
        <v>500</v>
      </c>
      <c r="B20" s="1"/>
      <c r="C20" s="13">
        <v>0.3</v>
      </c>
      <c r="E20" s="1">
        <f>C20*($A$20*730)</f>
        <v>109500</v>
      </c>
      <c r="F20" s="1"/>
      <c r="G20" s="30">
        <f>+X20</f>
        <v>11288.92</v>
      </c>
      <c r="H20" s="30">
        <f>+AH20</f>
        <v>12201.237499999999</v>
      </c>
      <c r="I20" s="30">
        <f>+H20-G20</f>
        <v>912.3174999999992</v>
      </c>
      <c r="J20" s="56">
        <f>ROUND(+I20/G20,4)</f>
        <v>8.0799999999999997E-2</v>
      </c>
      <c r="K20" s="30">
        <f>ROUND($T$10*$E20,2)</f>
        <v>-210.21</v>
      </c>
      <c r="L20" s="30">
        <f>ROUND($T$11*$E20,2)</f>
        <v>2.46</v>
      </c>
      <c r="M20" s="30">
        <f>ROUND($T$12*$E20,2)</f>
        <v>183.22</v>
      </c>
      <c r="N20" s="30">
        <f>+G20+K20+L20+M20</f>
        <v>11264.39</v>
      </c>
      <c r="O20" s="30">
        <f>+H20+K20+L20+M20</f>
        <v>12176.707499999999</v>
      </c>
      <c r="P20" s="56">
        <f>ROUND((O20-N20)/N20,4)</f>
        <v>8.1000000000000003E-2</v>
      </c>
      <c r="Q20" s="1"/>
      <c r="S20" s="7">
        <f>+INPUT!$K$4</f>
        <v>330</v>
      </c>
      <c r="T20" s="21">
        <f>$T$17*E20</f>
        <v>3433.92</v>
      </c>
      <c r="U20" s="21">
        <f>$U$17*$A$20</f>
        <v>3355</v>
      </c>
      <c r="V20" s="21">
        <f>$V$17*$A$20</f>
        <v>2655</v>
      </c>
      <c r="W20" s="21">
        <f>$W$17*$A$20</f>
        <v>1515</v>
      </c>
      <c r="X20" s="26">
        <f>S20+T20+U20+V20+W20</f>
        <v>11288.92</v>
      </c>
      <c r="Y20" s="26"/>
      <c r="Z20" s="21"/>
      <c r="AC20" s="7">
        <f>INPUT!$K$25</f>
        <v>329.9425</v>
      </c>
      <c r="AD20" s="21">
        <f>$AD$17*E20</f>
        <v>3461.2950000000001</v>
      </c>
      <c r="AE20" s="21">
        <f>$A$20*$AE$17</f>
        <v>3895</v>
      </c>
      <c r="AF20" s="21">
        <f>$A$20*$AF$17</f>
        <v>3080</v>
      </c>
      <c r="AG20" s="21">
        <f>$A$20*$AG$17</f>
        <v>1435</v>
      </c>
      <c r="AH20" s="26">
        <f>AC20+AD20+AE20+AF20+AG20</f>
        <v>12201.237499999999</v>
      </c>
      <c r="AI20" s="21"/>
      <c r="AJ20" s="17"/>
      <c r="AK20" s="7">
        <f>AH20-X20</f>
        <v>912.3174999999992</v>
      </c>
      <c r="AM20" s="18">
        <f>AH20/X20-1</f>
        <v>8.0815303855461762E-2</v>
      </c>
    </row>
    <row r="21" spans="1:39" x14ac:dyDescent="0.2">
      <c r="C21" s="13">
        <v>0.5</v>
      </c>
      <c r="E21" s="1">
        <f>C21*($A$20*730)</f>
        <v>182500</v>
      </c>
      <c r="F21" s="1"/>
      <c r="G21" s="30">
        <f t="shared" ref="G21:G38" si="0">+X21</f>
        <v>13578.2</v>
      </c>
      <c r="H21" s="30">
        <f>+AH21</f>
        <v>14508.7675</v>
      </c>
      <c r="I21" s="30">
        <f>+H21-G21</f>
        <v>930.5674999999992</v>
      </c>
      <c r="J21" s="56">
        <f>ROUND(+I21/G21,4)</f>
        <v>6.8500000000000005E-2</v>
      </c>
      <c r="K21" s="30">
        <f>ROUND($T$10*$E21,2)</f>
        <v>-350.34</v>
      </c>
      <c r="L21" s="30">
        <f>ROUND($T$11*$E21,2)</f>
        <v>4.0999999999999996</v>
      </c>
      <c r="M21" s="30">
        <f>ROUND($T$12*$E21,2)</f>
        <v>305.37</v>
      </c>
      <c r="N21" s="30">
        <f>+G21+K21+L21+M21</f>
        <v>13537.330000000002</v>
      </c>
      <c r="O21" s="30">
        <f>+H21+K21+L21+M21</f>
        <v>14467.897500000001</v>
      </c>
      <c r="P21" s="56">
        <f>ROUND((O21-N21)/N21,4)</f>
        <v>6.8699999999999997E-2</v>
      </c>
      <c r="Q21" s="1"/>
      <c r="S21" s="7">
        <f>$S$20</f>
        <v>330</v>
      </c>
      <c r="T21" s="21">
        <f>$T$17*E21</f>
        <v>5723.2</v>
      </c>
      <c r="U21" s="21">
        <f>$U$17*$A$20</f>
        <v>3355</v>
      </c>
      <c r="V21" s="21">
        <f>$V$17*$A$20</f>
        <v>2655</v>
      </c>
      <c r="W21" s="21">
        <f>$W$17*$A$20</f>
        <v>1515</v>
      </c>
      <c r="X21" s="26">
        <f>S21+T21+U21+V21+W21</f>
        <v>13578.2</v>
      </c>
      <c r="Y21" s="26"/>
      <c r="Z21" s="21"/>
      <c r="AC21" s="7">
        <f>$AC$20</f>
        <v>329.9425</v>
      </c>
      <c r="AD21" s="21">
        <f>$AD$17*E21</f>
        <v>5768.8249999999998</v>
      </c>
      <c r="AE21" s="21">
        <f>$A$20*$AE$17</f>
        <v>3895</v>
      </c>
      <c r="AF21" s="21">
        <f>$A$20*$AF$17</f>
        <v>3080</v>
      </c>
      <c r="AG21" s="21">
        <f>$A$20*$AG$17</f>
        <v>1435</v>
      </c>
      <c r="AH21" s="26">
        <f>AC21+AD21+AE21+AF21+AG21</f>
        <v>14508.7675</v>
      </c>
      <c r="AI21" s="21"/>
      <c r="AJ21" s="17"/>
      <c r="AK21" s="7">
        <f>AH21-X21</f>
        <v>930.5674999999992</v>
      </c>
      <c r="AM21" s="18">
        <f>AH21/X21-1</f>
        <v>6.8533936751557611E-2</v>
      </c>
    </row>
    <row r="22" spans="1:39" x14ac:dyDescent="0.2">
      <c r="C22" s="13">
        <v>0.7</v>
      </c>
      <c r="E22" s="1">
        <f>C22*($A$20*730)</f>
        <v>255499.99999999997</v>
      </c>
      <c r="F22" s="1"/>
      <c r="G22" s="30">
        <f t="shared" si="0"/>
        <v>15867.48</v>
      </c>
      <c r="H22" s="30">
        <f>+AH22</f>
        <v>16816.297500000001</v>
      </c>
      <c r="I22" s="30">
        <f>+H22-G22</f>
        <v>948.81750000000102</v>
      </c>
      <c r="J22" s="56">
        <f>ROUND(+I22/G22,4)</f>
        <v>5.9799999999999999E-2</v>
      </c>
      <c r="K22" s="30">
        <f>ROUND($T$10*$E22,2)</f>
        <v>-490.48</v>
      </c>
      <c r="L22" s="30">
        <f>ROUND($T$11*$E22,2)</f>
        <v>5.75</v>
      </c>
      <c r="M22" s="30">
        <f>ROUND($T$12*$E22,2)</f>
        <v>427.52</v>
      </c>
      <c r="N22" s="30">
        <f>+G22+K22+L22+M22</f>
        <v>15810.27</v>
      </c>
      <c r="O22" s="30">
        <f>+H22+K22+L22+M22</f>
        <v>16759.087500000001</v>
      </c>
      <c r="P22" s="56">
        <f>ROUND((O22-N22)/N22,4)</f>
        <v>0.06</v>
      </c>
      <c r="Q22" s="1"/>
      <c r="S22" s="7">
        <f>$S$20</f>
        <v>330</v>
      </c>
      <c r="T22" s="21">
        <f>$T$17*E22</f>
        <v>8012.4799999999987</v>
      </c>
      <c r="U22" s="21">
        <f>$U$17*$A$20</f>
        <v>3355</v>
      </c>
      <c r="V22" s="21">
        <f>$V$17*$A$20</f>
        <v>2655</v>
      </c>
      <c r="W22" s="21">
        <f>$W$17*$A$20</f>
        <v>1515</v>
      </c>
      <c r="X22" s="26">
        <f>S22+T22+U22+V22+W22</f>
        <v>15867.48</v>
      </c>
      <c r="Y22" s="26"/>
      <c r="Z22" s="21"/>
      <c r="AC22" s="7">
        <f>$AC$20</f>
        <v>329.9425</v>
      </c>
      <c r="AD22" s="21">
        <f>$AD$17*E22</f>
        <v>8076.3549999999987</v>
      </c>
      <c r="AE22" s="21">
        <f>$A$20*$AE$17</f>
        <v>3895</v>
      </c>
      <c r="AF22" s="21">
        <f>$A$20*$AF$17</f>
        <v>3080</v>
      </c>
      <c r="AG22" s="21">
        <f>$A$20*$AG$17</f>
        <v>1435</v>
      </c>
      <c r="AH22" s="26">
        <f>AC22+AD22+AE22+AF22+AG22</f>
        <v>16816.297500000001</v>
      </c>
      <c r="AI22" s="21"/>
      <c r="AJ22" s="17"/>
      <c r="AK22" s="7">
        <f>AH22-X22</f>
        <v>948.81750000000102</v>
      </c>
      <c r="AM22" s="18">
        <f>AH22/X22-1</f>
        <v>5.9796357077494422E-2</v>
      </c>
    </row>
    <row r="23" spans="1:39" x14ac:dyDescent="0.2">
      <c r="C23" s="13"/>
      <c r="E23" s="1"/>
      <c r="F23" s="1"/>
      <c r="G23" s="30"/>
      <c r="H23" s="30"/>
      <c r="J23" s="5"/>
      <c r="K23" s="1"/>
      <c r="L23" s="1"/>
      <c r="M23" s="1"/>
      <c r="P23" s="56"/>
      <c r="Q23" s="1"/>
      <c r="S23" s="7"/>
      <c r="T23" s="21"/>
      <c r="U23" s="21"/>
      <c r="V23" s="21"/>
      <c r="W23" s="21"/>
      <c r="X23" s="26"/>
      <c r="Y23" s="26"/>
      <c r="AC23" s="7"/>
      <c r="AD23" s="21"/>
      <c r="AE23" s="21"/>
      <c r="AF23" s="21"/>
      <c r="AG23" s="21"/>
      <c r="AH23" s="26"/>
      <c r="AJ23" s="17"/>
      <c r="AK23" s="6"/>
      <c r="AM23" s="6"/>
    </row>
    <row r="24" spans="1:39" x14ac:dyDescent="0.2">
      <c r="A24" s="1">
        <v>5000</v>
      </c>
      <c r="B24" s="1"/>
      <c r="C24" s="13">
        <v>0.3</v>
      </c>
      <c r="E24" s="1">
        <f>C24*($A$24*730)</f>
        <v>1095000</v>
      </c>
      <c r="F24" s="1"/>
      <c r="G24" s="30">
        <f t="shared" si="0"/>
        <v>109919.2</v>
      </c>
      <c r="H24" s="30">
        <f>+AH24</f>
        <v>119042.89249999999</v>
      </c>
      <c r="I24" s="30">
        <f>+H24-G24</f>
        <v>9123.6924999999901</v>
      </c>
      <c r="J24" s="56">
        <f>ROUND(+I24/G24,4)</f>
        <v>8.3000000000000004E-2</v>
      </c>
      <c r="K24" s="30">
        <f>ROUND($T$10*$E24,2)</f>
        <v>-2102.06</v>
      </c>
      <c r="L24" s="30">
        <f>ROUND($T$11*$E24,2)</f>
        <v>24.62</v>
      </c>
      <c r="M24" s="30">
        <f>ROUND($T$12*$E24,2)</f>
        <v>1832.23</v>
      </c>
      <c r="N24" s="30">
        <f>+G24+K24+L24+M24</f>
        <v>109673.98999999999</v>
      </c>
      <c r="O24" s="30">
        <f>+H24+K24+L24+M24</f>
        <v>118797.68249999998</v>
      </c>
      <c r="P24" s="56">
        <f>ROUND((O24-N24)/N24,4)</f>
        <v>8.3199999999999996E-2</v>
      </c>
      <c r="Q24" s="1"/>
      <c r="S24" s="7">
        <f>$S$20</f>
        <v>330</v>
      </c>
      <c r="T24" s="21">
        <f>$T$17*E24</f>
        <v>34339.199999999997</v>
      </c>
      <c r="U24" s="21">
        <f>$U$17*$A$24</f>
        <v>33550</v>
      </c>
      <c r="V24" s="21">
        <f>$V$17*$A$24</f>
        <v>26549.999999999996</v>
      </c>
      <c r="W24" s="21">
        <f>$W$17*$A$24</f>
        <v>15149.999999999998</v>
      </c>
      <c r="X24" s="26">
        <f>S24+T24+U24+V24+W24</f>
        <v>109919.2</v>
      </c>
      <c r="Y24" s="26"/>
      <c r="Z24" s="21"/>
      <c r="AC24" s="7">
        <f>$AC$20</f>
        <v>329.9425</v>
      </c>
      <c r="AD24" s="21">
        <f>$AD$17*E24</f>
        <v>34612.949999999997</v>
      </c>
      <c r="AE24" s="21">
        <f>$A$24*$AE$17</f>
        <v>38950</v>
      </c>
      <c r="AF24" s="21">
        <f>$A$24*$AF$17</f>
        <v>30800</v>
      </c>
      <c r="AG24" s="21">
        <f>$A$24*$AG$17</f>
        <v>14350</v>
      </c>
      <c r="AH24" s="26">
        <f>AC24+AD24+AE24+AF24+AG24</f>
        <v>119042.89249999999</v>
      </c>
      <c r="AI24" s="21"/>
      <c r="AJ24" s="17"/>
      <c r="AK24" s="7">
        <f>AH24-X24</f>
        <v>9123.6924999999901</v>
      </c>
      <c r="AL24" s="10"/>
      <c r="AM24" s="18">
        <f>AH24/X24-1</f>
        <v>8.3003629029323234E-2</v>
      </c>
    </row>
    <row r="25" spans="1:39" x14ac:dyDescent="0.2">
      <c r="C25" s="13">
        <v>0.5</v>
      </c>
      <c r="E25" s="1">
        <f>C25*($A$24*730)</f>
        <v>1825000</v>
      </c>
      <c r="F25" s="1"/>
      <c r="G25" s="30">
        <f t="shared" si="0"/>
        <v>132812</v>
      </c>
      <c r="H25" s="30">
        <f>+AH25</f>
        <v>142118.1925</v>
      </c>
      <c r="I25" s="30">
        <f>+H25-G25</f>
        <v>9306.1925000000047</v>
      </c>
      <c r="J25" s="56">
        <f>ROUND(+I25/G25,4)</f>
        <v>7.0099999999999996E-2</v>
      </c>
      <c r="K25" s="30">
        <f>ROUND($T$10*$E25,2)</f>
        <v>-3503.43</v>
      </c>
      <c r="L25" s="30">
        <f>ROUND($T$11*$E25,2)</f>
        <v>41.04</v>
      </c>
      <c r="M25" s="30">
        <f>ROUND($T$12*$E25,2)</f>
        <v>3053.71</v>
      </c>
      <c r="N25" s="30">
        <f>+G25+K25+L25+M25</f>
        <v>132403.32</v>
      </c>
      <c r="O25" s="30">
        <f>+H25+K25+L25+M25</f>
        <v>141709.51250000001</v>
      </c>
      <c r="P25" s="56">
        <f>ROUND((O25-N25)/N25,4)</f>
        <v>7.0300000000000001E-2</v>
      </c>
      <c r="Q25" s="1"/>
      <c r="S25" s="7">
        <f>$S$20</f>
        <v>330</v>
      </c>
      <c r="T25" s="21">
        <f>$T$17*E25</f>
        <v>57232</v>
      </c>
      <c r="U25" s="21">
        <f>$U$17*$A$24</f>
        <v>33550</v>
      </c>
      <c r="V25" s="21">
        <f>$V$17*$A$24</f>
        <v>26549.999999999996</v>
      </c>
      <c r="W25" s="21">
        <f>$W$17*$A$24</f>
        <v>15149.999999999998</v>
      </c>
      <c r="X25" s="26">
        <f>S25+T25+U25+V25+W25</f>
        <v>132812</v>
      </c>
      <c r="Y25" s="26"/>
      <c r="Z25" s="21"/>
      <c r="AC25" s="7">
        <f>$AC$20</f>
        <v>329.9425</v>
      </c>
      <c r="AD25" s="21">
        <f>$AD$17*E25</f>
        <v>57688.25</v>
      </c>
      <c r="AE25" s="21">
        <f>$A$24*$AE$17</f>
        <v>38950</v>
      </c>
      <c r="AF25" s="21">
        <f>$A$24*$AF$17</f>
        <v>30800</v>
      </c>
      <c r="AG25" s="21">
        <f>$A$24*$AG$17</f>
        <v>14350</v>
      </c>
      <c r="AH25" s="26">
        <f>AC25+AD25+AE25+AF25+AG25</f>
        <v>142118.1925</v>
      </c>
      <c r="AI25" s="21"/>
      <c r="AJ25" s="17"/>
      <c r="AK25" s="7">
        <f>AH25-X25</f>
        <v>9306.1925000000047</v>
      </c>
      <c r="AL25" s="10"/>
      <c r="AM25" s="18">
        <f>AH25/X25-1</f>
        <v>7.0070419088636537E-2</v>
      </c>
    </row>
    <row r="26" spans="1:39" x14ac:dyDescent="0.2">
      <c r="C26" s="13">
        <v>0.7</v>
      </c>
      <c r="E26" s="1">
        <f>C26*($A$24*730)</f>
        <v>2555000</v>
      </c>
      <c r="F26" s="1"/>
      <c r="G26" s="30">
        <f t="shared" si="0"/>
        <v>155704.79999999999</v>
      </c>
      <c r="H26" s="30">
        <f>+AH26</f>
        <v>165193.49249999999</v>
      </c>
      <c r="I26" s="30">
        <f>+H26-G26</f>
        <v>9488.6925000000047</v>
      </c>
      <c r="J26" s="56">
        <f>ROUND(+I26/G26,4)</f>
        <v>6.0900000000000003E-2</v>
      </c>
      <c r="K26" s="30">
        <f>ROUND($T$10*$E26,2)</f>
        <v>-4904.8</v>
      </c>
      <c r="L26" s="30">
        <f>ROUND($T$11*$E26,2)</f>
        <v>57.46</v>
      </c>
      <c r="M26" s="30">
        <f>ROUND($T$12*$E26,2)</f>
        <v>4275.1899999999996</v>
      </c>
      <c r="N26" s="30">
        <f>+G26+K26+L26+M26</f>
        <v>155132.65</v>
      </c>
      <c r="O26" s="30">
        <f>+H26+K26+L26+M26</f>
        <v>164621.3425</v>
      </c>
      <c r="P26" s="56">
        <f>ROUND((O26-N26)/N26,4)</f>
        <v>6.1199999999999997E-2</v>
      </c>
      <c r="Q26" s="1"/>
      <c r="S26" s="7">
        <f>$S$20</f>
        <v>330</v>
      </c>
      <c r="T26" s="21">
        <f>$T$17*E26</f>
        <v>80124.800000000003</v>
      </c>
      <c r="U26" s="21">
        <f>$U$17*$A$24</f>
        <v>33550</v>
      </c>
      <c r="V26" s="21">
        <f>$V$17*$A$24</f>
        <v>26549.999999999996</v>
      </c>
      <c r="W26" s="21">
        <f>$W$17*$A$24</f>
        <v>15149.999999999998</v>
      </c>
      <c r="X26" s="26">
        <f>S26+T26+U26+V26+W26</f>
        <v>155704.79999999999</v>
      </c>
      <c r="Y26" s="26"/>
      <c r="Z26" s="21"/>
      <c r="AC26" s="7">
        <f>$AC$20</f>
        <v>329.9425</v>
      </c>
      <c r="AD26" s="21">
        <f>$AD$17*E26</f>
        <v>80763.55</v>
      </c>
      <c r="AE26" s="21">
        <f>$A$24*$AE$17</f>
        <v>38950</v>
      </c>
      <c r="AF26" s="21">
        <f>$A$24*$AF$17</f>
        <v>30800</v>
      </c>
      <c r="AG26" s="21">
        <f>$A$24*$AG$17</f>
        <v>14350</v>
      </c>
      <c r="AH26" s="26">
        <f>AC26+AD26+AE26+AF26+AG26</f>
        <v>165193.49249999999</v>
      </c>
      <c r="AI26" s="21"/>
      <c r="AJ26" s="17"/>
      <c r="AK26" s="7">
        <f>AH26-X26</f>
        <v>9488.6925000000047</v>
      </c>
      <c r="AM26" s="18">
        <f>AH26/X26-1</f>
        <v>6.0940269664133684E-2</v>
      </c>
    </row>
    <row r="27" spans="1:39" x14ac:dyDescent="0.2">
      <c r="C27" s="13"/>
      <c r="E27" s="1"/>
      <c r="F27" s="1"/>
      <c r="G27" s="30"/>
      <c r="H27" s="30"/>
      <c r="J27" s="5"/>
      <c r="K27" s="1"/>
      <c r="L27" s="1"/>
      <c r="M27" s="1"/>
      <c r="P27" s="56"/>
      <c r="Q27" s="1"/>
      <c r="S27" s="7"/>
      <c r="T27" s="21"/>
      <c r="U27" s="21"/>
      <c r="V27" s="21"/>
      <c r="W27" s="21"/>
      <c r="X27" s="26"/>
      <c r="Y27" s="26"/>
      <c r="AC27" s="7"/>
      <c r="AD27" s="21"/>
      <c r="AE27" s="21"/>
      <c r="AF27" s="21"/>
      <c r="AG27" s="21"/>
      <c r="AH27" s="26"/>
      <c r="AJ27" s="17"/>
      <c r="AK27" s="6"/>
      <c r="AM27" s="6"/>
    </row>
    <row r="28" spans="1:39" x14ac:dyDescent="0.2">
      <c r="A28" s="1">
        <v>10000</v>
      </c>
      <c r="B28" s="1"/>
      <c r="C28" s="13">
        <v>0.3</v>
      </c>
      <c r="E28" s="1">
        <f>C28*($A$28*730)</f>
        <v>2190000</v>
      </c>
      <c r="F28" s="1"/>
      <c r="G28" s="30">
        <f t="shared" si="0"/>
        <v>219508.4</v>
      </c>
      <c r="H28" s="30">
        <f>+AH28</f>
        <v>237755.8425</v>
      </c>
      <c r="I28" s="30">
        <f>+H28-G28</f>
        <v>18247.442500000005</v>
      </c>
      <c r="J28" s="56">
        <f>ROUND(+I28/G28,4)</f>
        <v>8.3099999999999993E-2</v>
      </c>
      <c r="K28" s="30">
        <f>ROUND($T$10*$E28,2)</f>
        <v>-4204.1099999999997</v>
      </c>
      <c r="L28" s="30">
        <f>ROUND($T$11*$E28,2)</f>
        <v>49.25</v>
      </c>
      <c r="M28" s="30">
        <f>ROUND($T$12*$E28,2)</f>
        <v>3664.45</v>
      </c>
      <c r="N28" s="30">
        <f>+G28+K28+L28+M28</f>
        <v>219017.99000000002</v>
      </c>
      <c r="O28" s="30">
        <f>+H28+K28+L28+M28</f>
        <v>237265.43250000002</v>
      </c>
      <c r="P28" s="56">
        <f>ROUND((O28-N28)/N28,4)</f>
        <v>8.3299999999999999E-2</v>
      </c>
      <c r="Q28" s="1"/>
      <c r="S28" s="7">
        <f>$S$20</f>
        <v>330</v>
      </c>
      <c r="T28" s="21">
        <f>$T$17*E28</f>
        <v>68678.399999999994</v>
      </c>
      <c r="U28" s="21">
        <f>$U$17*$A$28</f>
        <v>67100</v>
      </c>
      <c r="V28" s="21">
        <f>$V$17*$A$28</f>
        <v>53099.999999999993</v>
      </c>
      <c r="W28" s="21">
        <f>$W$17*$A$28</f>
        <v>30299.999999999996</v>
      </c>
      <c r="X28" s="26">
        <f>S28+T28+U28+V28+W28</f>
        <v>219508.4</v>
      </c>
      <c r="Y28" s="26"/>
      <c r="Z28" s="21"/>
      <c r="AC28" s="7">
        <f>$AC$20</f>
        <v>329.9425</v>
      </c>
      <c r="AD28" s="21">
        <f>$AD$17*E28</f>
        <v>69225.899999999994</v>
      </c>
      <c r="AE28" s="21">
        <f>$A$28*$AE$17</f>
        <v>77900</v>
      </c>
      <c r="AF28" s="21">
        <f>$A$28*$AF$17</f>
        <v>61600</v>
      </c>
      <c r="AG28" s="21">
        <f>$A$28*$AG$17</f>
        <v>28700</v>
      </c>
      <c r="AH28" s="26">
        <f>AC28+AD28+AE28+AF28+AG28</f>
        <v>237755.8425</v>
      </c>
      <c r="AI28" s="21"/>
      <c r="AJ28" s="17"/>
      <c r="AK28" s="7">
        <f>AH28-X28</f>
        <v>18247.442500000005</v>
      </c>
      <c r="AM28" s="18">
        <f>AH28/X28-1</f>
        <v>8.3128675257985618E-2</v>
      </c>
    </row>
    <row r="29" spans="1:39" x14ac:dyDescent="0.2">
      <c r="C29" s="13">
        <v>0.5</v>
      </c>
      <c r="E29" s="1">
        <f>C29*($A$28*730)</f>
        <v>3650000</v>
      </c>
      <c r="F29" s="1"/>
      <c r="G29" s="30">
        <f t="shared" si="0"/>
        <v>265294</v>
      </c>
      <c r="H29" s="30">
        <f>+AH29</f>
        <v>283906.4425</v>
      </c>
      <c r="I29" s="30">
        <f>+H29-G29</f>
        <v>18612.442500000005</v>
      </c>
      <c r="J29" s="56">
        <f>ROUND(+I29/G29,4)</f>
        <v>7.0199999999999999E-2</v>
      </c>
      <c r="K29" s="30">
        <f>ROUND($T$10*$E29,2)</f>
        <v>-7006.85</v>
      </c>
      <c r="L29" s="30">
        <f>ROUND($T$11*$E29,2)</f>
        <v>82.08</v>
      </c>
      <c r="M29" s="30">
        <f>ROUND($T$12*$E29,2)</f>
        <v>6107.42</v>
      </c>
      <c r="N29" s="30">
        <f>+G29+K29+L29+M29</f>
        <v>264476.64999999997</v>
      </c>
      <c r="O29" s="30">
        <f>+H29+K29+L29+M29</f>
        <v>283089.09250000003</v>
      </c>
      <c r="P29" s="56">
        <f>ROUND((O29-N29)/N29,4)</f>
        <v>7.0400000000000004E-2</v>
      </c>
      <c r="Q29" s="1"/>
      <c r="S29" s="7">
        <f>$S$20</f>
        <v>330</v>
      </c>
      <c r="T29" s="21">
        <f>$T$17*E29</f>
        <v>114464</v>
      </c>
      <c r="U29" s="21">
        <f>$U$17*$A$28</f>
        <v>67100</v>
      </c>
      <c r="V29" s="21">
        <f>$V$17*$A$28</f>
        <v>53099.999999999993</v>
      </c>
      <c r="W29" s="21">
        <f>$W$17*$A$28</f>
        <v>30299.999999999996</v>
      </c>
      <c r="X29" s="26">
        <f>S29+T29+U29+V29+W29</f>
        <v>265294</v>
      </c>
      <c r="Y29" s="26"/>
      <c r="Z29" s="21"/>
      <c r="AC29" s="7">
        <f>$AC$20</f>
        <v>329.9425</v>
      </c>
      <c r="AD29" s="21">
        <f>$AD$17*E29</f>
        <v>115376.5</v>
      </c>
      <c r="AE29" s="21">
        <f>$A$28*$AE$17</f>
        <v>77900</v>
      </c>
      <c r="AF29" s="21">
        <f>$A$28*$AF$17</f>
        <v>61600</v>
      </c>
      <c r="AG29" s="21">
        <f>$A$28*$AG$17</f>
        <v>28700</v>
      </c>
      <c r="AH29" s="26">
        <f>AC29+AD29+AE29+AF29+AG29</f>
        <v>283906.4425</v>
      </c>
      <c r="AI29" s="21"/>
      <c r="AJ29" s="17"/>
      <c r="AK29" s="7">
        <f>AH29-X29</f>
        <v>18612.442500000005</v>
      </c>
      <c r="AM29" s="18">
        <f>AH29/X29-1</f>
        <v>7.0157796633169234E-2</v>
      </c>
    </row>
    <row r="30" spans="1:39" x14ac:dyDescent="0.2">
      <c r="C30" s="13">
        <v>0.7</v>
      </c>
      <c r="E30" s="1">
        <f>C30*($A$28*730)</f>
        <v>5110000</v>
      </c>
      <c r="F30" s="1"/>
      <c r="G30" s="30">
        <f t="shared" si="0"/>
        <v>311079.59999999998</v>
      </c>
      <c r="H30" s="30">
        <f>+AH30</f>
        <v>330057.04249999998</v>
      </c>
      <c r="I30" s="30">
        <f>+H30-G30</f>
        <v>18977.442500000005</v>
      </c>
      <c r="J30" s="56">
        <f>ROUND(+I30/G30,4)</f>
        <v>6.0999999999999999E-2</v>
      </c>
      <c r="K30" s="30">
        <f>ROUND($T$10*$E30,2)</f>
        <v>-9809.6</v>
      </c>
      <c r="L30" s="30">
        <f>ROUND($T$11*$E30,2)</f>
        <v>114.91</v>
      </c>
      <c r="M30" s="30">
        <f>ROUND($T$12*$E30,2)</f>
        <v>8550.39</v>
      </c>
      <c r="N30" s="30">
        <f>+G30+K30+L30+M30</f>
        <v>309935.3</v>
      </c>
      <c r="O30" s="30">
        <f>+H30+K30+L30+M30</f>
        <v>328912.74249999999</v>
      </c>
      <c r="P30" s="56">
        <f>ROUND((O30-N30)/N30,4)</f>
        <v>6.1199999999999997E-2</v>
      </c>
      <c r="Q30" s="1"/>
      <c r="S30" s="7">
        <f>$S$20</f>
        <v>330</v>
      </c>
      <c r="T30" s="21">
        <f>$T$17*E30</f>
        <v>160249.60000000001</v>
      </c>
      <c r="U30" s="21">
        <f>$U$17*$A$28</f>
        <v>67100</v>
      </c>
      <c r="V30" s="21">
        <f>$V$17*$A$28</f>
        <v>53099.999999999993</v>
      </c>
      <c r="W30" s="21">
        <f>$W$17*$A$28</f>
        <v>30299.999999999996</v>
      </c>
      <c r="X30" s="26">
        <f>S30+T30+U30+V30+W30</f>
        <v>311079.59999999998</v>
      </c>
      <c r="Y30" s="26"/>
      <c r="Z30" s="21"/>
      <c r="AC30" s="7">
        <f>$AC$20</f>
        <v>329.9425</v>
      </c>
      <c r="AD30" s="21">
        <f>$AD$17*E30</f>
        <v>161527.1</v>
      </c>
      <c r="AE30" s="21">
        <f>$A$28*$AE$17</f>
        <v>77900</v>
      </c>
      <c r="AF30" s="21">
        <f>$A$28*$AF$17</f>
        <v>61600</v>
      </c>
      <c r="AG30" s="21">
        <f>$A$28*$AG$17</f>
        <v>28700</v>
      </c>
      <c r="AH30" s="26">
        <f>AC30+AD30+AE30+AF30+AG30</f>
        <v>330057.04249999998</v>
      </c>
      <c r="AI30" s="21"/>
      <c r="AJ30" s="17"/>
      <c r="AK30" s="7">
        <f>AH30-X30</f>
        <v>18977.442500000005</v>
      </c>
      <c r="AM30" s="18">
        <f>AH30/X30-1</f>
        <v>6.1005101266685458E-2</v>
      </c>
    </row>
    <row r="31" spans="1:39" x14ac:dyDescent="0.2">
      <c r="C31" s="13"/>
      <c r="E31" s="1"/>
      <c r="F31" s="1"/>
      <c r="G31" s="30"/>
      <c r="H31" s="30"/>
      <c r="J31" s="5"/>
      <c r="K31" s="1"/>
      <c r="L31" s="1"/>
      <c r="M31" s="1"/>
      <c r="P31" s="56"/>
      <c r="Q31" s="1"/>
      <c r="S31" s="7"/>
      <c r="T31" s="21"/>
      <c r="U31" s="21"/>
      <c r="V31" s="21"/>
      <c r="W31" s="21"/>
      <c r="X31" s="26"/>
      <c r="Y31" s="26"/>
      <c r="AC31" s="7"/>
      <c r="AD31" s="21"/>
      <c r="AE31" s="21"/>
      <c r="AF31" s="21"/>
      <c r="AG31" s="21"/>
      <c r="AH31" s="26"/>
      <c r="AJ31" s="17"/>
      <c r="AK31" s="6"/>
      <c r="AM31" s="6"/>
    </row>
    <row r="32" spans="1:39" x14ac:dyDescent="0.2">
      <c r="A32" s="1">
        <v>25000</v>
      </c>
      <c r="B32" s="1"/>
      <c r="C32" s="13">
        <v>0.3</v>
      </c>
      <c r="E32" s="1">
        <f>C32*($A$32*730)</f>
        <v>5475000</v>
      </c>
      <c r="F32" s="1"/>
      <c r="G32" s="30">
        <f t="shared" si="0"/>
        <v>548276</v>
      </c>
      <c r="H32" s="30">
        <f>+AH32</f>
        <v>593894.6925</v>
      </c>
      <c r="I32" s="30">
        <f>+H32-G32</f>
        <v>45618.692500000005</v>
      </c>
      <c r="J32" s="56">
        <f>ROUND(+I32/G32,4)</f>
        <v>8.3199999999999996E-2</v>
      </c>
      <c r="K32" s="30">
        <f>ROUND($T$10*$E32,2)</f>
        <v>-10510.28</v>
      </c>
      <c r="L32" s="30">
        <f>ROUND($T$11*$E32,2)</f>
        <v>123.12</v>
      </c>
      <c r="M32" s="30">
        <f>ROUND($T$12*$E32,2)</f>
        <v>9161.1299999999992</v>
      </c>
      <c r="N32" s="30">
        <f>+G32+K32+L32+M32</f>
        <v>547049.97</v>
      </c>
      <c r="O32" s="30">
        <f>+H32+K32+L32+M32</f>
        <v>592668.66249999998</v>
      </c>
      <c r="P32" s="56">
        <f>ROUND((O32-N32)/N32,4)</f>
        <v>8.3400000000000002E-2</v>
      </c>
      <c r="Q32" s="1"/>
      <c r="S32" s="7">
        <f>$S$20</f>
        <v>330</v>
      </c>
      <c r="T32" s="21">
        <f>$T$17*E32</f>
        <v>171696</v>
      </c>
      <c r="U32" s="21">
        <f>$U$17*$A$32</f>
        <v>167750</v>
      </c>
      <c r="V32" s="21">
        <f>$V$17*$A$32</f>
        <v>132750</v>
      </c>
      <c r="W32" s="21">
        <f>$W$17*$A$32</f>
        <v>75750</v>
      </c>
      <c r="X32" s="26">
        <f>S32+T32+U32+V32+W32</f>
        <v>548276</v>
      </c>
      <c r="Y32" s="26"/>
      <c r="Z32" s="21"/>
      <c r="AC32" s="7">
        <f>$AC$20</f>
        <v>329.9425</v>
      </c>
      <c r="AD32" s="21">
        <f>$AD$17*E32</f>
        <v>173064.75</v>
      </c>
      <c r="AE32" s="21">
        <f>$A$32*$AE$17</f>
        <v>194750</v>
      </c>
      <c r="AF32" s="21">
        <f>$A$32*$AF$17</f>
        <v>154000</v>
      </c>
      <c r="AG32" s="21">
        <f>$A$32*$AG$17</f>
        <v>71750</v>
      </c>
      <c r="AH32" s="26">
        <f>AC32+AD32+AE32+AF32+AG32</f>
        <v>593894.6925</v>
      </c>
      <c r="AI32" s="21"/>
      <c r="AJ32" s="17"/>
      <c r="AK32" s="7">
        <f>AH32-X32</f>
        <v>45618.692500000005</v>
      </c>
      <c r="AM32" s="18">
        <f>AH32/X32-1</f>
        <v>8.3203883627953834E-2</v>
      </c>
    </row>
    <row r="33" spans="1:39" x14ac:dyDescent="0.2">
      <c r="C33" s="13">
        <v>0.5</v>
      </c>
      <c r="E33" s="1">
        <f>C33*($A$32*730)</f>
        <v>9125000</v>
      </c>
      <c r="F33" s="1"/>
      <c r="G33" s="30">
        <f t="shared" si="0"/>
        <v>662740</v>
      </c>
      <c r="H33" s="30">
        <f>+AH33</f>
        <v>709271.1925</v>
      </c>
      <c r="I33" s="30">
        <f>+H33-G33</f>
        <v>46531.192500000005</v>
      </c>
      <c r="J33" s="56">
        <f>ROUND(+I33/G33,4)</f>
        <v>7.0199999999999999E-2</v>
      </c>
      <c r="K33" s="30">
        <f>ROUND($T$10*$E33,2)</f>
        <v>-17517.14</v>
      </c>
      <c r="L33" s="30">
        <f>ROUND($T$11*$E33,2)</f>
        <v>205.2</v>
      </c>
      <c r="M33" s="30">
        <f>ROUND($T$12*$E33,2)</f>
        <v>15268.55</v>
      </c>
      <c r="N33" s="30">
        <f>+G33+K33+L33+M33</f>
        <v>660696.61</v>
      </c>
      <c r="O33" s="30">
        <f>+H33+K33+L33+M33</f>
        <v>707227.80249999999</v>
      </c>
      <c r="P33" s="56">
        <f>ROUND((O33-N33)/N33,4)</f>
        <v>7.0400000000000004E-2</v>
      </c>
      <c r="Q33" s="1"/>
      <c r="S33" s="7">
        <f>$S$20</f>
        <v>330</v>
      </c>
      <c r="T33" s="21">
        <f>$T$17*E33</f>
        <v>286160</v>
      </c>
      <c r="U33" s="21">
        <f>$U$17*$A$32</f>
        <v>167750</v>
      </c>
      <c r="V33" s="21">
        <f>$V$17*$A$32</f>
        <v>132750</v>
      </c>
      <c r="W33" s="21">
        <f>$W$17*$A$32</f>
        <v>75750</v>
      </c>
      <c r="X33" s="26">
        <f>S33+T33+U33+V33+W33</f>
        <v>662740</v>
      </c>
      <c r="Y33" s="26"/>
      <c r="Z33" s="21"/>
      <c r="AC33" s="7">
        <f>$AC$20</f>
        <v>329.9425</v>
      </c>
      <c r="AD33" s="21">
        <f>$AD$17*E33</f>
        <v>288441.25</v>
      </c>
      <c r="AE33" s="21">
        <f>$A$32*$AE$17</f>
        <v>194750</v>
      </c>
      <c r="AF33" s="21">
        <f>$A$32*$AF$17</f>
        <v>154000</v>
      </c>
      <c r="AG33" s="21">
        <f>$A$32*$AG$17</f>
        <v>71750</v>
      </c>
      <c r="AH33" s="26">
        <f>AC33+AD33+AE33+AF33+AG33</f>
        <v>709271.1925</v>
      </c>
      <c r="AI33" s="21"/>
      <c r="AJ33" s="17"/>
      <c r="AK33" s="7">
        <f>AH33-X33</f>
        <v>46531.192500000005</v>
      </c>
      <c r="AM33" s="18">
        <f>AH33/X33-1</f>
        <v>7.021032757944301E-2</v>
      </c>
    </row>
    <row r="34" spans="1:39" x14ac:dyDescent="0.2">
      <c r="C34" s="13">
        <v>0.7</v>
      </c>
      <c r="E34" s="1">
        <f>C34*($A$32*730)</f>
        <v>12775000</v>
      </c>
      <c r="F34" s="1"/>
      <c r="G34" s="30">
        <f t="shared" si="0"/>
        <v>777204</v>
      </c>
      <c r="H34" s="30">
        <f>+AH34</f>
        <v>824647.6925</v>
      </c>
      <c r="I34" s="30">
        <f>+H34-G34</f>
        <v>47443.692500000005</v>
      </c>
      <c r="J34" s="56">
        <f>ROUND(+I34/G34,4)</f>
        <v>6.0999999999999999E-2</v>
      </c>
      <c r="K34" s="30">
        <f>ROUND($T$10*$E34,2)</f>
        <v>-24523.99</v>
      </c>
      <c r="L34" s="30">
        <f>ROUND($T$11*$E34,2)</f>
        <v>287.29000000000002</v>
      </c>
      <c r="M34" s="30">
        <f>ROUND($T$12*$E34,2)</f>
        <v>21375.97</v>
      </c>
      <c r="N34" s="30">
        <f>+G34+K34+L34+M34</f>
        <v>774343.27</v>
      </c>
      <c r="O34" s="30">
        <f>+H34+K34+L34+M34</f>
        <v>821786.96250000002</v>
      </c>
      <c r="P34" s="56">
        <f>ROUND((O34-N34)/N34,4)</f>
        <v>6.13E-2</v>
      </c>
      <c r="Q34" s="1"/>
      <c r="S34" s="7">
        <f>$S$20</f>
        <v>330</v>
      </c>
      <c r="T34" s="21">
        <f>$T$17*E34</f>
        <v>400624</v>
      </c>
      <c r="U34" s="21">
        <f>$U$17*$A$32</f>
        <v>167750</v>
      </c>
      <c r="V34" s="21">
        <f>$V$17*$A$32</f>
        <v>132750</v>
      </c>
      <c r="W34" s="21">
        <f>$W$17*$A$32</f>
        <v>75750</v>
      </c>
      <c r="X34" s="26">
        <f>S34+T34+U34+V34+W34</f>
        <v>777204</v>
      </c>
      <c r="Y34" s="26"/>
      <c r="Z34" s="21"/>
      <c r="AC34" s="7">
        <f>$AC$20</f>
        <v>329.9425</v>
      </c>
      <c r="AD34" s="21">
        <f>$AD$17*E34</f>
        <v>403817.75</v>
      </c>
      <c r="AE34" s="21">
        <f>$A$32*$AE$17</f>
        <v>194750</v>
      </c>
      <c r="AF34" s="21">
        <f>$A$32*$AF$17</f>
        <v>154000</v>
      </c>
      <c r="AG34" s="21">
        <f>$A$32*$AG$17</f>
        <v>71750</v>
      </c>
      <c r="AH34" s="26">
        <f>AC34+AD34+AE34+AF34+AG34</f>
        <v>824647.6925</v>
      </c>
      <c r="AI34" s="21"/>
      <c r="AJ34" s="17"/>
      <c r="AK34" s="7">
        <f>AH34-X34</f>
        <v>47443.692500000005</v>
      </c>
      <c r="AM34" s="18">
        <f>AH34/X34-1</f>
        <v>6.1044066294049015E-2</v>
      </c>
    </row>
    <row r="35" spans="1:39" x14ac:dyDescent="0.2">
      <c r="C35" s="13"/>
      <c r="E35" s="1"/>
      <c r="F35" s="1"/>
      <c r="G35" s="30"/>
      <c r="H35" s="30"/>
      <c r="J35" s="5"/>
      <c r="K35" s="1"/>
      <c r="L35" s="1"/>
      <c r="M35" s="1"/>
      <c r="P35" s="56"/>
      <c r="Q35" s="1"/>
      <c r="S35" s="7"/>
      <c r="T35" s="21"/>
      <c r="U35" s="21"/>
      <c r="V35" s="21"/>
      <c r="W35" s="21"/>
      <c r="X35" s="26"/>
      <c r="Y35" s="26"/>
      <c r="AC35" s="7"/>
      <c r="AD35" s="21"/>
      <c r="AE35" s="21"/>
      <c r="AF35" s="21"/>
      <c r="AG35" s="21"/>
      <c r="AH35" s="26"/>
      <c r="AJ35" s="17"/>
      <c r="AK35" s="6"/>
      <c r="AM35" s="6"/>
    </row>
    <row r="36" spans="1:39" x14ac:dyDescent="0.2">
      <c r="A36" s="1">
        <v>50000</v>
      </c>
      <c r="B36" s="1"/>
      <c r="C36" s="13">
        <v>0.3</v>
      </c>
      <c r="E36" s="1">
        <f>C36*($A$36*730)</f>
        <v>10950000</v>
      </c>
      <c r="F36" s="1"/>
      <c r="G36" s="30">
        <f t="shared" si="0"/>
        <v>1096222</v>
      </c>
      <c r="H36" s="30">
        <f>+AH36</f>
        <v>1187459.4424999999</v>
      </c>
      <c r="I36" s="30">
        <f>+H36-G36</f>
        <v>91237.442499999888</v>
      </c>
      <c r="J36" s="56">
        <f>ROUND(+I36/G36,4)</f>
        <v>8.3199999999999996E-2</v>
      </c>
      <c r="K36" s="30">
        <f>ROUND($T$10*$E36,2)</f>
        <v>-21020.560000000001</v>
      </c>
      <c r="L36" s="30">
        <f>ROUND($T$11*$E36,2)</f>
        <v>246.24</v>
      </c>
      <c r="M36" s="30">
        <f>ROUND($T$12*$E36,2)</f>
        <v>18322.259999999998</v>
      </c>
      <c r="N36" s="30">
        <f>+G36+K36+L36+M36</f>
        <v>1093769.94</v>
      </c>
      <c r="O36" s="30">
        <f>+H36+K36+L36+M36</f>
        <v>1185007.3824999998</v>
      </c>
      <c r="P36" s="56">
        <f>ROUND((O36-N36)/N36,4)</f>
        <v>8.3400000000000002E-2</v>
      </c>
      <c r="Q36" s="1"/>
      <c r="S36" s="7">
        <f>$S$20</f>
        <v>330</v>
      </c>
      <c r="T36" s="21">
        <f>$T$17*E36</f>
        <v>343392</v>
      </c>
      <c r="U36" s="21">
        <f>$U$17*$A$36</f>
        <v>335500</v>
      </c>
      <c r="V36" s="21">
        <f>$V$17*$A$36</f>
        <v>265500</v>
      </c>
      <c r="W36" s="21">
        <f>$W$17*$A$36</f>
        <v>151500</v>
      </c>
      <c r="X36" s="26">
        <f>S36+T36+U36+V36+W36</f>
        <v>1096222</v>
      </c>
      <c r="Y36" s="26"/>
      <c r="Z36" s="21"/>
      <c r="AC36" s="7">
        <f>$AC$20</f>
        <v>329.9425</v>
      </c>
      <c r="AD36" s="21">
        <f>$AD$17*E36</f>
        <v>346129.5</v>
      </c>
      <c r="AE36" s="21">
        <f>$A$36*$AE$17</f>
        <v>389500</v>
      </c>
      <c r="AF36" s="21">
        <f>$A$36*$AF$17</f>
        <v>308000</v>
      </c>
      <c r="AG36" s="21">
        <f>$A$36*$AG$17</f>
        <v>143500</v>
      </c>
      <c r="AH36" s="26">
        <f>AC36+AD36+AE36+AF36+AG36</f>
        <v>1187459.4424999999</v>
      </c>
      <c r="AI36" s="21"/>
      <c r="AJ36" s="17"/>
      <c r="AK36" s="7">
        <f>AH36-X36</f>
        <v>91237.442499999888</v>
      </c>
      <c r="AM36" s="18">
        <f>AH36/X36-1</f>
        <v>8.3228983271636414E-2</v>
      </c>
    </row>
    <row r="37" spans="1:39" x14ac:dyDescent="0.2">
      <c r="C37" s="13">
        <v>0.5</v>
      </c>
      <c r="E37" s="1">
        <f>C37*($A$36*730)</f>
        <v>18250000</v>
      </c>
      <c r="F37" s="1"/>
      <c r="G37" s="30">
        <f t="shared" si="0"/>
        <v>1325150</v>
      </c>
      <c r="H37" s="30">
        <f>+AH37</f>
        <v>1418212.4424999999</v>
      </c>
      <c r="I37" s="30">
        <f>+H37-G37</f>
        <v>93062.442499999888</v>
      </c>
      <c r="J37" s="56">
        <f>ROUND(+I37/G37,4)</f>
        <v>7.0199999999999999E-2</v>
      </c>
      <c r="K37" s="30">
        <f>ROUND($T$10*$E37,2)</f>
        <v>-35034.269999999997</v>
      </c>
      <c r="L37" s="30">
        <f>ROUND($T$11*$E37,2)</f>
        <v>410.41</v>
      </c>
      <c r="M37" s="30">
        <f>ROUND($T$12*$E37,2)</f>
        <v>30537.11</v>
      </c>
      <c r="N37" s="30">
        <f>+G37+K37+L37+M37</f>
        <v>1321063.25</v>
      </c>
      <c r="O37" s="30">
        <f>+H37+K37+L37+M37</f>
        <v>1414125.6924999999</v>
      </c>
      <c r="P37" s="56">
        <f>ROUND((O37-N37)/N37,4)</f>
        <v>7.0400000000000004E-2</v>
      </c>
      <c r="Q37" s="1"/>
      <c r="S37" s="7">
        <f>$S$20</f>
        <v>330</v>
      </c>
      <c r="T37" s="21">
        <f>$T$17*E37</f>
        <v>572320</v>
      </c>
      <c r="U37" s="21">
        <f>$U$17*$A$36</f>
        <v>335500</v>
      </c>
      <c r="V37" s="21">
        <f>$V$17*$A$36</f>
        <v>265500</v>
      </c>
      <c r="W37" s="21">
        <f>$W$17*$A$36</f>
        <v>151500</v>
      </c>
      <c r="X37" s="26">
        <f>S37+T37+U37+V37+W37</f>
        <v>1325150</v>
      </c>
      <c r="Y37" s="26"/>
      <c r="Z37" s="21"/>
      <c r="AC37" s="7">
        <f>$AC$20</f>
        <v>329.9425</v>
      </c>
      <c r="AD37" s="21">
        <f>$AD$17*E37</f>
        <v>576882.5</v>
      </c>
      <c r="AE37" s="21">
        <f>$A$36*$AE$17</f>
        <v>389500</v>
      </c>
      <c r="AF37" s="21">
        <f>$A$36*$AF$17</f>
        <v>308000</v>
      </c>
      <c r="AG37" s="21">
        <f>$A$36*$AG$17</f>
        <v>143500</v>
      </c>
      <c r="AH37" s="26">
        <f>AC37+AD37+AE37+AF37+AG37</f>
        <v>1418212.4424999999</v>
      </c>
      <c r="AI37" s="21"/>
      <c r="AJ37" s="17"/>
      <c r="AK37" s="7">
        <f>AH37-X37</f>
        <v>93062.442499999888</v>
      </c>
      <c r="AM37" s="18">
        <f>AH37/X37-1</f>
        <v>7.0227855337131606E-2</v>
      </c>
    </row>
    <row r="38" spans="1:39" x14ac:dyDescent="0.2">
      <c r="C38" s="13">
        <v>0.7</v>
      </c>
      <c r="E38" s="1">
        <f>C38*($A$36*730)</f>
        <v>25550000</v>
      </c>
      <c r="F38" s="1"/>
      <c r="G38" s="30">
        <f t="shared" si="0"/>
        <v>1554078</v>
      </c>
      <c r="H38" s="30">
        <f>+AH38</f>
        <v>1648965.4424999999</v>
      </c>
      <c r="I38" s="30">
        <f>+H38-G38</f>
        <v>94887.442499999888</v>
      </c>
      <c r="J38" s="56">
        <f>ROUND(+I38/G38,4)</f>
        <v>6.1100000000000002E-2</v>
      </c>
      <c r="K38" s="30">
        <f>ROUND($T$10*$E38,2)</f>
        <v>-49047.98</v>
      </c>
      <c r="L38" s="30">
        <f>ROUND($T$11*$E38,2)</f>
        <v>574.57000000000005</v>
      </c>
      <c r="M38" s="30">
        <f>ROUND($T$12*$E38,2)</f>
        <v>42751.95</v>
      </c>
      <c r="N38" s="30">
        <f>+G38+K38+L38+M38</f>
        <v>1548356.54</v>
      </c>
      <c r="O38" s="30">
        <f>+H38+K38+L38+M38</f>
        <v>1643243.9824999999</v>
      </c>
      <c r="P38" s="56">
        <f>ROUND((O38-N38)/N38,4)</f>
        <v>6.13E-2</v>
      </c>
      <c r="Q38" s="1"/>
      <c r="S38" s="7">
        <f>$S$20</f>
        <v>330</v>
      </c>
      <c r="T38" s="21">
        <f>$T$17*E38</f>
        <v>801248</v>
      </c>
      <c r="U38" s="21">
        <f>$U$17*$A$36</f>
        <v>335500</v>
      </c>
      <c r="V38" s="21">
        <f>$V$17*$A$36</f>
        <v>265500</v>
      </c>
      <c r="W38" s="21">
        <f>$W$17*$A$36</f>
        <v>151500</v>
      </c>
      <c r="X38" s="26">
        <f>S38+T38+U38+V38+W38</f>
        <v>1554078</v>
      </c>
      <c r="Y38" s="26"/>
      <c r="Z38" s="21"/>
      <c r="AC38" s="7">
        <f>$AC$20</f>
        <v>329.9425</v>
      </c>
      <c r="AD38" s="21">
        <f>$AD$17*E38</f>
        <v>807635.5</v>
      </c>
      <c r="AE38" s="21">
        <f>$A$36*$AE$17</f>
        <v>389500</v>
      </c>
      <c r="AF38" s="21">
        <f>$A$36*$AF$17</f>
        <v>308000</v>
      </c>
      <c r="AG38" s="21">
        <f>$A$36*$AG$17</f>
        <v>143500</v>
      </c>
      <c r="AH38" s="26">
        <f>AC38+AD38+AE38+AF38+AG38</f>
        <v>1648965.4424999999</v>
      </c>
      <c r="AI38" s="21"/>
      <c r="AJ38" s="17"/>
      <c r="AK38" s="7">
        <f>AH38-X38</f>
        <v>94887.442499999888</v>
      </c>
      <c r="AM38" s="18">
        <f>AH38/X38-1</f>
        <v>6.105706566851854E-2</v>
      </c>
    </row>
    <row r="39" spans="1:39" x14ac:dyDescent="0.2">
      <c r="T39" s="21"/>
      <c r="U39" s="21"/>
      <c r="V39" s="21"/>
      <c r="W39" s="21"/>
      <c r="X39" s="21"/>
      <c r="Y39" s="21"/>
    </row>
    <row r="40" spans="1:39" x14ac:dyDescent="0.2">
      <c r="A40" s="17" t="s">
        <v>313</v>
      </c>
      <c r="T40" s="21"/>
      <c r="U40" s="21"/>
      <c r="V40" s="21"/>
      <c r="W40" s="21"/>
      <c r="X40" s="21"/>
      <c r="Y40" s="21"/>
    </row>
    <row r="41" spans="1:39" x14ac:dyDescent="0.2">
      <c r="A41" s="179" t="str">
        <f>("Average usage = "&amp;TEXT(INPUT!$K$19*1,"0,000")&amp;" kWh per month")</f>
        <v>Average usage = 1,294,965 kWh per month</v>
      </c>
      <c r="T41" s="21"/>
      <c r="U41" s="21"/>
      <c r="V41" s="21"/>
      <c r="W41" s="21"/>
      <c r="X41" s="21"/>
      <c r="Y41" s="21"/>
    </row>
    <row r="42" spans="1:39" x14ac:dyDescent="0.2">
      <c r="A42" s="180" t="s">
        <v>314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2"/>
      <c r="AF42" s="21"/>
      <c r="AG42" s="21"/>
      <c r="AH42" s="21"/>
      <c r="AI42" s="21"/>
      <c r="AJ42" s="21"/>
      <c r="AK42" s="6"/>
    </row>
    <row r="43" spans="1:39" x14ac:dyDescent="0.2">
      <c r="A43" s="182" t="s">
        <v>162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182" t="s">
        <v>322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61"/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2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2:31" x14ac:dyDescent="0.2">
      <c r="B50" s="180"/>
      <c r="C50" s="18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2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2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2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2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2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2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2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2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2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2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2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2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2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2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honeticPr fontId="6" type="noConversion"/>
  <printOptions horizontalCentered="1"/>
  <pageMargins left="0.75" right="0.75" top="1.5" bottom="0.5" header="1" footer="0.5"/>
  <pageSetup scale="7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10.85546875" bestFit="1" customWidth="1"/>
    <col min="6" max="6" width="2" customWidth="1"/>
    <col min="7" max="7" width="15.140625" bestFit="1" customWidth="1"/>
    <col min="8" max="8" width="15.140625" customWidth="1"/>
    <col min="9" max="9" width="13.42578125" bestFit="1" customWidth="1"/>
    <col min="10" max="10" width="9.85546875" customWidth="1"/>
    <col min="11" max="11" width="14.28515625" bestFit="1" customWidth="1"/>
    <col min="12" max="12" width="8.7109375" customWidth="1"/>
    <col min="13" max="13" width="14.5703125" customWidth="1"/>
    <col min="14" max="15" width="15.140625" bestFit="1" customWidth="1"/>
    <col min="16" max="16" width="9.85546875" customWidth="1"/>
    <col min="17" max="18" width="2.140625" customWidth="1"/>
    <col min="19" max="19" width="10" customWidth="1"/>
    <col min="20" max="20" width="14.42578125" bestFit="1" customWidth="1"/>
    <col min="21" max="21" width="12.7109375" bestFit="1" customWidth="1"/>
    <col min="22" max="22" width="13.85546875" bestFit="1" customWidth="1"/>
    <col min="23" max="23" width="12.7109375" bestFit="1" customWidth="1"/>
    <col min="24" max="24" width="14.42578125" bestFit="1" customWidth="1"/>
    <col min="25" max="25" width="2.42578125" customWidth="1"/>
    <col min="26" max="26" width="6.140625" customWidth="1"/>
    <col min="27" max="27" width="2.5703125" customWidth="1"/>
    <col min="28" max="28" width="2" customWidth="1"/>
    <col min="29" max="29" width="11.7109375" customWidth="1"/>
    <col min="30" max="30" width="14.42578125" bestFit="1" customWidth="1"/>
    <col min="31" max="31" width="12.7109375" bestFit="1" customWidth="1"/>
    <col min="32" max="32" width="13.85546875" bestFit="1" customWidth="1"/>
    <col min="33" max="33" width="12.7109375" bestFit="1" customWidth="1"/>
    <col min="34" max="35" width="14.42578125" bestFit="1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39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39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39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39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10"/>
      <c r="N5" s="210"/>
      <c r="O5" s="210"/>
      <c r="P5" s="210"/>
    </row>
    <row r="6" spans="1:39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210"/>
      <c r="N6" s="210"/>
      <c r="O6" s="210"/>
      <c r="P6" s="210"/>
    </row>
    <row r="7" spans="1:39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0"/>
      <c r="M7" s="210"/>
      <c r="N7" s="210"/>
      <c r="O7" s="210"/>
      <c r="P7" s="214" t="str">
        <f>+'Rate Case Constants'!C25</f>
        <v>SCHEDULE N</v>
      </c>
    </row>
    <row r="8" spans="1:39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10"/>
      <c r="M8" s="210"/>
      <c r="N8" s="210"/>
      <c r="O8" s="210"/>
      <c r="P8" s="208" t="str">
        <f>+'Rate Case Constants'!L19</f>
        <v>PAGE 12 of 24</v>
      </c>
    </row>
    <row r="9" spans="1:3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</row>
    <row r="10" spans="1:39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>
        <f>+INPUT!G63</f>
        <v>-1.8951380238929616E-3</v>
      </c>
    </row>
    <row r="11" spans="1:39" x14ac:dyDescent="0.2">
      <c r="A11" s="126" t="s">
        <v>264</v>
      </c>
      <c r="S11" s="85" t="s">
        <v>73</v>
      </c>
      <c r="T11">
        <f>+INPUT!H63</f>
        <v>0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5" t="s">
        <v>72</v>
      </c>
      <c r="T12">
        <f>+INPUT!I63</f>
        <v>1.591687960374615E-3</v>
      </c>
      <c r="AC12" s="61" t="s">
        <v>162</v>
      </c>
    </row>
    <row r="13" spans="1:39" x14ac:dyDescent="0.2">
      <c r="A13" s="44"/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U13" s="3" t="s">
        <v>1</v>
      </c>
      <c r="V13" s="3" t="s">
        <v>1</v>
      </c>
      <c r="W13" s="3" t="s">
        <v>1</v>
      </c>
      <c r="Z13" s="3" t="s">
        <v>72</v>
      </c>
      <c r="AD13" s="21"/>
      <c r="AE13" s="22" t="s">
        <v>9</v>
      </c>
      <c r="AF13" s="22" t="s">
        <v>9</v>
      </c>
      <c r="AG13" s="22" t="s">
        <v>9</v>
      </c>
      <c r="AH13" s="21"/>
      <c r="AI13" s="3" t="s">
        <v>72</v>
      </c>
    </row>
    <row r="14" spans="1:39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2" t="s">
        <v>34</v>
      </c>
      <c r="AF14" s="22" t="s">
        <v>30</v>
      </c>
      <c r="AG14" s="22" t="s">
        <v>22</v>
      </c>
      <c r="AH14" s="22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76</v>
      </c>
      <c r="AC15" s="27" t="s">
        <v>55</v>
      </c>
      <c r="AD15" s="3" t="s">
        <v>56</v>
      </c>
      <c r="AE15" s="22" t="s">
        <v>25</v>
      </c>
      <c r="AF15" s="22" t="s">
        <v>25</v>
      </c>
      <c r="AG15" s="22" t="s">
        <v>18</v>
      </c>
      <c r="AH15" s="22" t="s">
        <v>5</v>
      </c>
      <c r="AI15" s="3" t="s">
        <v>76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3" t="s">
        <v>4</v>
      </c>
      <c r="H16" s="3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3" t="s">
        <v>4</v>
      </c>
      <c r="O16" s="3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7" t="s">
        <v>3</v>
      </c>
      <c r="AD16" s="3" t="s">
        <v>3</v>
      </c>
      <c r="AE16" s="22" t="s">
        <v>3</v>
      </c>
      <c r="AF16" s="22" t="s">
        <v>3</v>
      </c>
      <c r="AG16" s="22" t="s">
        <v>3</v>
      </c>
      <c r="AH16" s="22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211"/>
      <c r="B17" s="10"/>
      <c r="C17" s="211"/>
      <c r="D17" s="10"/>
      <c r="E17" s="211"/>
      <c r="F17" s="211"/>
      <c r="G17" s="211"/>
      <c r="H17" s="211"/>
      <c r="I17" s="211" t="s">
        <v>69</v>
      </c>
      <c r="J17" s="59" t="s">
        <v>70</v>
      </c>
      <c r="K17" s="212"/>
      <c r="L17" s="212"/>
      <c r="M17" s="213"/>
      <c r="N17" s="211" t="s">
        <v>69</v>
      </c>
      <c r="O17" s="211" t="s">
        <v>69</v>
      </c>
      <c r="P17" s="59" t="s">
        <v>70</v>
      </c>
      <c r="Q17" s="3"/>
      <c r="R17" s="3"/>
      <c r="S17" s="27"/>
      <c r="T17" s="42">
        <f>+INPUT!$M$6</f>
        <v>3.058E-2</v>
      </c>
      <c r="U17" s="43">
        <f>+INPUT!$M$13</f>
        <v>6.55</v>
      </c>
      <c r="V17" s="43">
        <f>+INPUT!$M$14</f>
        <v>5.18</v>
      </c>
      <c r="W17" s="43">
        <f>+INPUT!$M$15</f>
        <v>2.23</v>
      </c>
      <c r="X17" s="3"/>
      <c r="Y17" s="3"/>
      <c r="Z17" s="42"/>
      <c r="AC17" s="27"/>
      <c r="AD17" s="42">
        <f>+INPUT!$M$27</f>
        <v>3.1009999999999999E-2</v>
      </c>
      <c r="AE17" s="43">
        <f>+INPUT!$M$34</f>
        <v>7.59</v>
      </c>
      <c r="AF17" s="43">
        <f>+INPUT!$M$35</f>
        <v>6.01</v>
      </c>
      <c r="AG17" s="43">
        <f>+INPUT!$M$36</f>
        <v>1.97</v>
      </c>
      <c r="AH17" s="22"/>
      <c r="AI17" s="42"/>
      <c r="AK17" s="3"/>
      <c r="AL17" s="3"/>
      <c r="AM17" s="3"/>
    </row>
    <row r="18" spans="1:39" x14ac:dyDescent="0.2">
      <c r="A18" s="16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T18" s="3" t="s">
        <v>14</v>
      </c>
      <c r="U18" s="3" t="s">
        <v>58</v>
      </c>
      <c r="V18" s="3" t="s">
        <v>58</v>
      </c>
      <c r="W18" s="3" t="s">
        <v>58</v>
      </c>
      <c r="X18" s="3"/>
      <c r="Y18" s="3"/>
      <c r="Z18" s="3"/>
      <c r="AC18" s="27"/>
      <c r="AD18" s="3" t="s">
        <v>14</v>
      </c>
      <c r="AE18" s="3" t="s">
        <v>58</v>
      </c>
      <c r="AF18" s="3" t="s">
        <v>58</v>
      </c>
      <c r="AG18" s="3" t="s">
        <v>58</v>
      </c>
      <c r="AH18" s="22"/>
      <c r="AI18" s="3"/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3"/>
      <c r="V19" s="3"/>
      <c r="W19" s="3"/>
      <c r="X19" s="3"/>
      <c r="Y19" s="3"/>
      <c r="AC19" s="27"/>
      <c r="AD19" s="3"/>
      <c r="AE19" s="22"/>
      <c r="AF19" s="22"/>
      <c r="AG19" s="22"/>
      <c r="AH19" s="22"/>
      <c r="AK19" s="3"/>
      <c r="AL19" s="3"/>
      <c r="AM19" s="3"/>
    </row>
    <row r="20" spans="1:39" x14ac:dyDescent="0.2">
      <c r="A20" s="1">
        <v>1000</v>
      </c>
      <c r="B20" s="1"/>
      <c r="C20" s="13">
        <v>0.3</v>
      </c>
      <c r="E20" s="1">
        <f>C20*($A$20*730)</f>
        <v>219000</v>
      </c>
      <c r="F20" s="1"/>
      <c r="G20" s="30">
        <f>+X20</f>
        <v>22157.02</v>
      </c>
      <c r="H20" s="30">
        <f>+AH20</f>
        <v>23861.15</v>
      </c>
      <c r="I20" s="30">
        <f>+H20-G20</f>
        <v>1704.130000000001</v>
      </c>
      <c r="J20" s="56">
        <f>ROUND(+I20/G20,4)</f>
        <v>7.6899999999999996E-2</v>
      </c>
      <c r="K20" s="30">
        <f>ROUND($T$10*$E20,2)</f>
        <v>-415.04</v>
      </c>
      <c r="L20" s="30">
        <f>ROUND($T$11*$E20,2)</f>
        <v>0</v>
      </c>
      <c r="M20" s="30">
        <f>ROUND($T$12*$E20,2)</f>
        <v>348.58</v>
      </c>
      <c r="N20" s="30">
        <f>+G20+K20+L20+M20</f>
        <v>22090.560000000001</v>
      </c>
      <c r="O20" s="30">
        <f>+H20+K20+L20+M20</f>
        <v>23794.690000000002</v>
      </c>
      <c r="P20" s="56">
        <f>ROUND((O20-N20)/N20,4)</f>
        <v>7.7100000000000002E-2</v>
      </c>
      <c r="Q20" s="1"/>
      <c r="S20" s="7">
        <f>+INPUT!$M$4</f>
        <v>1500</v>
      </c>
      <c r="T20" s="21">
        <f>$T$17*E20</f>
        <v>6697.0199999999995</v>
      </c>
      <c r="U20" s="21">
        <f>$U$17*$A$20</f>
        <v>6550</v>
      </c>
      <c r="V20" s="21">
        <f>$V$17*$A$20</f>
        <v>5180</v>
      </c>
      <c r="W20" s="21">
        <f>$W$17*$A$20</f>
        <v>2230</v>
      </c>
      <c r="X20" s="26">
        <f>S20+T20+U20+V20+W20</f>
        <v>22157.02</v>
      </c>
      <c r="Y20" s="26"/>
      <c r="Z20" s="21"/>
      <c r="AC20" s="7">
        <f>INPUT!$M$25</f>
        <v>1499.96</v>
      </c>
      <c r="AD20" s="21">
        <f>$AD$17*E20</f>
        <v>6791.19</v>
      </c>
      <c r="AE20" s="21">
        <f>$A$20*$AE$17</f>
        <v>7590</v>
      </c>
      <c r="AF20" s="21">
        <f>$A$20*$AF$17</f>
        <v>6010</v>
      </c>
      <c r="AG20" s="21">
        <f>$A$20*$AG$17</f>
        <v>1970</v>
      </c>
      <c r="AH20" s="26">
        <f>AC20+AD20+AE20+AF20+AG20</f>
        <v>23861.15</v>
      </c>
      <c r="AI20" s="21"/>
      <c r="AJ20" s="17"/>
      <c r="AK20" s="7">
        <f>AH20-X20</f>
        <v>1704.130000000001</v>
      </c>
      <c r="AM20" s="18">
        <f>AH20/X20-1</f>
        <v>7.6911516079328335E-2</v>
      </c>
    </row>
    <row r="21" spans="1:39" x14ac:dyDescent="0.2">
      <c r="C21" s="13">
        <v>0.5</v>
      </c>
      <c r="E21" s="1">
        <f>C21*($A$20*730)</f>
        <v>365000</v>
      </c>
      <c r="F21" s="1"/>
      <c r="G21" s="30">
        <f t="shared" ref="G21:G38" si="0">+X21</f>
        <v>26621.7</v>
      </c>
      <c r="H21" s="30">
        <f>+AH21</f>
        <v>28388.61</v>
      </c>
      <c r="I21" s="30">
        <f>+H21-G21</f>
        <v>1766.9099999999999</v>
      </c>
      <c r="J21" s="56">
        <f>ROUND(+I21/G21,4)</f>
        <v>6.6400000000000001E-2</v>
      </c>
      <c r="K21" s="30">
        <f>ROUND($T$10*$E21,2)</f>
        <v>-691.73</v>
      </c>
      <c r="L21" s="30">
        <f>ROUND($T$11*$E21,2)</f>
        <v>0</v>
      </c>
      <c r="M21" s="30">
        <f>ROUND($T$12*$E21,2)</f>
        <v>580.97</v>
      </c>
      <c r="N21" s="30">
        <f>+G21+K21+L21+M21</f>
        <v>26510.940000000002</v>
      </c>
      <c r="O21" s="30">
        <f>+H21+K21+L21+M21</f>
        <v>28277.850000000002</v>
      </c>
      <c r="P21" s="56">
        <f>ROUND((O21-N21)/N21,4)</f>
        <v>6.6600000000000006E-2</v>
      </c>
      <c r="Q21" s="1"/>
      <c r="S21" s="7">
        <f>$S$20</f>
        <v>1500</v>
      </c>
      <c r="T21" s="21">
        <f>$T$17*E21</f>
        <v>11161.7</v>
      </c>
      <c r="U21" s="21">
        <f>$U$17*$A$20</f>
        <v>6550</v>
      </c>
      <c r="V21" s="21">
        <f>$V$17*$A$20</f>
        <v>5180</v>
      </c>
      <c r="W21" s="21">
        <f>$W$17*$A$20</f>
        <v>2230</v>
      </c>
      <c r="X21" s="26">
        <f>S21+T21+U21+V21+W21</f>
        <v>26621.7</v>
      </c>
      <c r="Y21" s="26"/>
      <c r="Z21" s="21"/>
      <c r="AC21" s="7">
        <f>$AC$20</f>
        <v>1499.96</v>
      </c>
      <c r="AD21" s="21">
        <f>$AD$17*E21</f>
        <v>11318.65</v>
      </c>
      <c r="AE21" s="21">
        <f>$A$20*$AE$17</f>
        <v>7590</v>
      </c>
      <c r="AF21" s="21">
        <f>$A$20*$AF$17</f>
        <v>6010</v>
      </c>
      <c r="AG21" s="21">
        <f>$A$20*$AG$17</f>
        <v>1970</v>
      </c>
      <c r="AH21" s="26">
        <f>AC21+AD21+AE21+AF21+AG21</f>
        <v>28388.61</v>
      </c>
      <c r="AI21" s="21"/>
      <c r="AJ21" s="17"/>
      <c r="AK21" s="7">
        <f>AH21-X21</f>
        <v>1766.9099999999999</v>
      </c>
      <c r="AM21" s="18">
        <f>AH21/X21-1</f>
        <v>6.6371043171548072E-2</v>
      </c>
    </row>
    <row r="22" spans="1:39" x14ac:dyDescent="0.2">
      <c r="C22" s="13">
        <v>0.7</v>
      </c>
      <c r="E22" s="1">
        <f>C22*($A$20*730)</f>
        <v>510999.99999999994</v>
      </c>
      <c r="F22" s="1"/>
      <c r="G22" s="30">
        <f t="shared" si="0"/>
        <v>31086.379999999997</v>
      </c>
      <c r="H22" s="30">
        <f>+AH22</f>
        <v>32916.07</v>
      </c>
      <c r="I22" s="30">
        <f>+H22-G22</f>
        <v>1829.6900000000023</v>
      </c>
      <c r="J22" s="56">
        <f>ROUND(+I22/G22,4)</f>
        <v>5.8900000000000001E-2</v>
      </c>
      <c r="K22" s="30">
        <f>ROUND($T$10*$E22,2)</f>
        <v>-968.42</v>
      </c>
      <c r="L22" s="30">
        <f>ROUND($T$11*$E22,2)</f>
        <v>0</v>
      </c>
      <c r="M22" s="30">
        <f>ROUND($T$12*$E22,2)</f>
        <v>813.35</v>
      </c>
      <c r="N22" s="30">
        <f>+G22+K22+L22+M22</f>
        <v>30931.309999999998</v>
      </c>
      <c r="O22" s="30">
        <f>+H22+K22+L22+M22</f>
        <v>32761</v>
      </c>
      <c r="P22" s="56">
        <f>ROUND((O22-N22)/N22,4)</f>
        <v>5.9200000000000003E-2</v>
      </c>
      <c r="Q22" s="1"/>
      <c r="S22" s="7">
        <f>$S$20</f>
        <v>1500</v>
      </c>
      <c r="T22" s="21">
        <f>$T$17*E22</f>
        <v>15626.379999999997</v>
      </c>
      <c r="U22" s="21">
        <f>$U$17*$A$20</f>
        <v>6550</v>
      </c>
      <c r="V22" s="21">
        <f>$V$17*$A$20</f>
        <v>5180</v>
      </c>
      <c r="W22" s="21">
        <f>$W$17*$A$20</f>
        <v>2230</v>
      </c>
      <c r="X22" s="26">
        <f>S22+T22+U22+V22+W22</f>
        <v>31086.379999999997</v>
      </c>
      <c r="Y22" s="26"/>
      <c r="Z22" s="21"/>
      <c r="AC22" s="7">
        <f>$AC$20</f>
        <v>1499.96</v>
      </c>
      <c r="AD22" s="21">
        <f>$AD$17*E22</f>
        <v>15846.109999999999</v>
      </c>
      <c r="AE22" s="21">
        <f>$A$20*$AE$17</f>
        <v>7590</v>
      </c>
      <c r="AF22" s="21">
        <f>$A$20*$AF$17</f>
        <v>6010</v>
      </c>
      <c r="AG22" s="21">
        <f>$A$20*$AG$17</f>
        <v>1970</v>
      </c>
      <c r="AH22" s="26">
        <f>AC22+AD22+AE22+AF22+AG22</f>
        <v>32916.07</v>
      </c>
      <c r="AI22" s="21"/>
      <c r="AJ22" s="17"/>
      <c r="AK22" s="7">
        <f>AH22-X22</f>
        <v>1829.6900000000023</v>
      </c>
      <c r="AM22" s="18">
        <f>AH22/X22-1</f>
        <v>5.8858252392205213E-2</v>
      </c>
    </row>
    <row r="23" spans="1:39" x14ac:dyDescent="0.2">
      <c r="C23" s="13"/>
      <c r="E23" s="1"/>
      <c r="F23" s="1"/>
      <c r="G23" s="30"/>
      <c r="H23" s="30"/>
      <c r="J23" s="5"/>
      <c r="K23" s="1"/>
      <c r="L23" s="1"/>
      <c r="M23" s="1"/>
      <c r="P23" s="56"/>
      <c r="Q23" s="1"/>
      <c r="S23" s="7"/>
      <c r="T23" s="21"/>
      <c r="U23" s="21"/>
      <c r="V23" s="21"/>
      <c r="W23" s="21"/>
      <c r="X23" s="26"/>
      <c r="Y23" s="26"/>
      <c r="AC23" s="7"/>
      <c r="AD23" s="21"/>
      <c r="AE23" s="21"/>
      <c r="AF23" s="21"/>
      <c r="AG23" s="21"/>
      <c r="AH23" s="26"/>
      <c r="AJ23" s="17"/>
      <c r="AK23" s="6"/>
      <c r="AM23" s="6"/>
    </row>
    <row r="24" spans="1:39" x14ac:dyDescent="0.2">
      <c r="A24" s="1">
        <v>10000</v>
      </c>
      <c r="B24" s="1"/>
      <c r="C24" s="13">
        <v>0.3</v>
      </c>
      <c r="E24" s="1">
        <f>C24*($A$24*730)</f>
        <v>2190000</v>
      </c>
      <c r="F24" s="1"/>
      <c r="G24" s="30">
        <f t="shared" si="0"/>
        <v>208070.2</v>
      </c>
      <c r="H24" s="30">
        <f>+AH24</f>
        <v>225111.86</v>
      </c>
      <c r="I24" s="30">
        <f>+H24-G24</f>
        <v>17041.659999999974</v>
      </c>
      <c r="J24" s="56">
        <f>ROUND(+I24/G24,4)</f>
        <v>8.1900000000000001E-2</v>
      </c>
      <c r="K24" s="30">
        <f>ROUND($T$10*$E24,2)</f>
        <v>-4150.3500000000004</v>
      </c>
      <c r="L24" s="30">
        <f>ROUND($T$11*$E24,2)</f>
        <v>0</v>
      </c>
      <c r="M24" s="30">
        <f>ROUND($T$12*$E24,2)</f>
        <v>3485.8</v>
      </c>
      <c r="N24" s="30">
        <f>+G24+K24+L24+M24</f>
        <v>207405.65</v>
      </c>
      <c r="O24" s="30">
        <f>+H24+K24+L24+M24</f>
        <v>224447.30999999997</v>
      </c>
      <c r="P24" s="56">
        <f>ROUND((O24-N24)/N24,4)</f>
        <v>8.2199999999999995E-2</v>
      </c>
      <c r="Q24" s="1"/>
      <c r="S24" s="7">
        <f>$S$20</f>
        <v>1500</v>
      </c>
      <c r="T24" s="21">
        <f>$T$17*E24</f>
        <v>66970.2</v>
      </c>
      <c r="U24" s="21">
        <f>$U$17*$A$24</f>
        <v>65500</v>
      </c>
      <c r="V24" s="21">
        <f>$V$17*$A$24</f>
        <v>51800</v>
      </c>
      <c r="W24" s="21">
        <f>$W$17*$A$24</f>
        <v>22300</v>
      </c>
      <c r="X24" s="26">
        <f>S24+T24+U24+V24+W24</f>
        <v>208070.2</v>
      </c>
      <c r="Y24" s="26"/>
      <c r="Z24" s="21"/>
      <c r="AC24" s="7">
        <f>$AC$20</f>
        <v>1499.96</v>
      </c>
      <c r="AD24" s="21">
        <f>$AD$17*E24</f>
        <v>67911.899999999994</v>
      </c>
      <c r="AE24" s="21">
        <f>$A$24*$AE$17</f>
        <v>75900</v>
      </c>
      <c r="AF24" s="21">
        <f>$A$24*$AF$17</f>
        <v>60100</v>
      </c>
      <c r="AG24" s="21">
        <f>$A$24*$AG$17</f>
        <v>19700</v>
      </c>
      <c r="AH24" s="26">
        <f>AC24+AD24+AE24+AF24+AG24</f>
        <v>225111.86</v>
      </c>
      <c r="AI24" s="21"/>
      <c r="AJ24" s="17"/>
      <c r="AK24" s="7">
        <f>AH24-X24</f>
        <v>17041.659999999974</v>
      </c>
      <c r="AL24" s="10"/>
      <c r="AM24" s="18">
        <f>AH24/X24-1</f>
        <v>8.1903415289647397E-2</v>
      </c>
    </row>
    <row r="25" spans="1:39" x14ac:dyDescent="0.2">
      <c r="C25" s="13">
        <v>0.5</v>
      </c>
      <c r="E25" s="1">
        <f>C25*($A$24*730)</f>
        <v>3650000</v>
      </c>
      <c r="F25" s="1"/>
      <c r="G25" s="30">
        <f t="shared" si="0"/>
        <v>252717</v>
      </c>
      <c r="H25" s="30">
        <f>+AH25</f>
        <v>270386.46000000002</v>
      </c>
      <c r="I25" s="30">
        <f>+H25-G25</f>
        <v>17669.460000000021</v>
      </c>
      <c r="J25" s="56">
        <f>ROUND(+I25/G25,4)</f>
        <v>6.9900000000000004E-2</v>
      </c>
      <c r="K25" s="30">
        <f>ROUND($T$10*$E25,2)</f>
        <v>-6917.25</v>
      </c>
      <c r="L25" s="30">
        <f>ROUND($T$11*$E25,2)</f>
        <v>0</v>
      </c>
      <c r="M25" s="30">
        <f>ROUND($T$12*$E25,2)</f>
        <v>5809.66</v>
      </c>
      <c r="N25" s="30">
        <f>+G25+K25+L25+M25</f>
        <v>251609.41</v>
      </c>
      <c r="O25" s="30">
        <f>+H25+K25+L25+M25</f>
        <v>269278.87</v>
      </c>
      <c r="P25" s="56">
        <f>ROUND((O25-N25)/N25,4)</f>
        <v>7.0199999999999999E-2</v>
      </c>
      <c r="Q25" s="1"/>
      <c r="S25" s="7">
        <f>$S$20</f>
        <v>1500</v>
      </c>
      <c r="T25" s="21">
        <f>$T$17*E25</f>
        <v>111617</v>
      </c>
      <c r="U25" s="21">
        <f>$U$17*$A$24</f>
        <v>65500</v>
      </c>
      <c r="V25" s="21">
        <f>$V$17*$A$24</f>
        <v>51800</v>
      </c>
      <c r="W25" s="21">
        <f>$W$17*$A$24</f>
        <v>22300</v>
      </c>
      <c r="X25" s="26">
        <f>S25+T25+U25+V25+W25</f>
        <v>252717</v>
      </c>
      <c r="Y25" s="26"/>
      <c r="Z25" s="21"/>
      <c r="AC25" s="7">
        <f>$AC$20</f>
        <v>1499.96</v>
      </c>
      <c r="AD25" s="21">
        <f>$AD$17*E25</f>
        <v>113186.5</v>
      </c>
      <c r="AE25" s="21">
        <f>$A$24*$AE$17</f>
        <v>75900</v>
      </c>
      <c r="AF25" s="21">
        <f>$A$24*$AF$17</f>
        <v>60100</v>
      </c>
      <c r="AG25" s="21">
        <f>$A$24*$AG$17</f>
        <v>19700</v>
      </c>
      <c r="AH25" s="26">
        <f>AC25+AD25+AE25+AF25+AG25</f>
        <v>270386.46000000002</v>
      </c>
      <c r="AI25" s="21"/>
      <c r="AJ25" s="17"/>
      <c r="AK25" s="7">
        <f>AH25-X25</f>
        <v>17669.460000000021</v>
      </c>
      <c r="AL25" s="10"/>
      <c r="AM25" s="18">
        <f>AH25/X25-1</f>
        <v>6.9917971485891517E-2</v>
      </c>
    </row>
    <row r="26" spans="1:39" x14ac:dyDescent="0.2">
      <c r="C26" s="13">
        <v>0.7</v>
      </c>
      <c r="E26" s="1">
        <f>C26*($A$24*730)</f>
        <v>5110000</v>
      </c>
      <c r="F26" s="1"/>
      <c r="G26" s="30">
        <f t="shared" si="0"/>
        <v>297363.8</v>
      </c>
      <c r="H26" s="30">
        <f>+AH26</f>
        <v>315661.06</v>
      </c>
      <c r="I26" s="30">
        <f>+H26-G26</f>
        <v>18297.260000000009</v>
      </c>
      <c r="J26" s="56">
        <f>ROUND(+I26/G26,4)</f>
        <v>6.1499999999999999E-2</v>
      </c>
      <c r="K26" s="30">
        <f>ROUND($T$10*$E26,2)</f>
        <v>-9684.16</v>
      </c>
      <c r="L26" s="30">
        <f>ROUND($T$11*$E26,2)</f>
        <v>0</v>
      </c>
      <c r="M26" s="30">
        <f>ROUND($T$12*$E26,2)</f>
        <v>8133.53</v>
      </c>
      <c r="N26" s="30">
        <f>+G26+K26+L26+M26</f>
        <v>295813.17000000004</v>
      </c>
      <c r="O26" s="30">
        <f>+H26+K26+L26+M26</f>
        <v>314110.43000000005</v>
      </c>
      <c r="P26" s="56">
        <f>ROUND((O26-N26)/N26,4)</f>
        <v>6.1899999999999997E-2</v>
      </c>
      <c r="Q26" s="1"/>
      <c r="S26" s="7">
        <f>$S$20</f>
        <v>1500</v>
      </c>
      <c r="T26" s="21">
        <f>$T$17*E26</f>
        <v>156263.79999999999</v>
      </c>
      <c r="U26" s="21">
        <f>$U$17*$A$24</f>
        <v>65500</v>
      </c>
      <c r="V26" s="21">
        <f>$V$17*$A$24</f>
        <v>51800</v>
      </c>
      <c r="W26" s="21">
        <f>$W$17*$A$24</f>
        <v>22300</v>
      </c>
      <c r="X26" s="26">
        <f>S26+T26+U26+V26+W26</f>
        <v>297363.8</v>
      </c>
      <c r="Y26" s="26"/>
      <c r="Z26" s="21"/>
      <c r="AC26" s="7">
        <f>$AC$20</f>
        <v>1499.96</v>
      </c>
      <c r="AD26" s="21">
        <f>$AD$17*E26</f>
        <v>158461.1</v>
      </c>
      <c r="AE26" s="21">
        <f>$A$24*$AE$17</f>
        <v>75900</v>
      </c>
      <c r="AF26" s="21">
        <f>$A$24*$AF$17</f>
        <v>60100</v>
      </c>
      <c r="AG26" s="21">
        <f>$A$24*$AG$17</f>
        <v>19700</v>
      </c>
      <c r="AH26" s="26">
        <f>AC26+AD26+AE26+AF26+AG26</f>
        <v>315661.06</v>
      </c>
      <c r="AI26" s="21"/>
      <c r="AJ26" s="17"/>
      <c r="AK26" s="7">
        <f>AH26-X26</f>
        <v>18297.260000000009</v>
      </c>
      <c r="AM26" s="18">
        <f>AH26/X26-1</f>
        <v>6.1531565039187663E-2</v>
      </c>
    </row>
    <row r="27" spans="1:39" x14ac:dyDescent="0.2">
      <c r="C27" s="13"/>
      <c r="E27" s="1"/>
      <c r="F27" s="1"/>
      <c r="G27" s="30"/>
      <c r="H27" s="30"/>
      <c r="J27" s="5"/>
      <c r="K27" s="1"/>
      <c r="L27" s="1"/>
      <c r="M27" s="1"/>
      <c r="P27" s="56"/>
      <c r="Q27" s="1"/>
      <c r="S27" s="7"/>
      <c r="T27" s="21"/>
      <c r="U27" s="21"/>
      <c r="V27" s="21"/>
      <c r="W27" s="21"/>
      <c r="X27" s="26"/>
      <c r="Y27" s="26"/>
      <c r="AC27" s="7"/>
      <c r="AD27" s="21"/>
      <c r="AE27" s="21"/>
      <c r="AF27" s="21"/>
      <c r="AG27" s="21"/>
      <c r="AH27" s="26"/>
      <c r="AJ27" s="17"/>
      <c r="AK27" s="6"/>
      <c r="AM27" s="6"/>
    </row>
    <row r="28" spans="1:39" x14ac:dyDescent="0.2">
      <c r="A28" s="1">
        <v>25000</v>
      </c>
      <c r="B28" s="1"/>
      <c r="C28" s="13">
        <v>0.3</v>
      </c>
      <c r="E28" s="1">
        <f>C28*($A$28*730)</f>
        <v>5475000</v>
      </c>
      <c r="F28" s="1"/>
      <c r="G28" s="30">
        <f t="shared" si="0"/>
        <v>517925.5</v>
      </c>
      <c r="H28" s="30">
        <f>+AH28</f>
        <v>560529.71</v>
      </c>
      <c r="I28" s="30">
        <f>+H28-G28</f>
        <v>42604.209999999963</v>
      </c>
      <c r="J28" s="56">
        <f>ROUND(+I28/G28,4)</f>
        <v>8.2299999999999998E-2</v>
      </c>
      <c r="K28" s="30">
        <f>ROUND($T$10*$E28,2)</f>
        <v>-10375.879999999999</v>
      </c>
      <c r="L28" s="30">
        <f>ROUND($T$11*$E28,2)</f>
        <v>0</v>
      </c>
      <c r="M28" s="30">
        <f>ROUND($T$12*$E28,2)</f>
        <v>8714.49</v>
      </c>
      <c r="N28" s="30">
        <f>+G28+K28+L28+M28</f>
        <v>516264.11</v>
      </c>
      <c r="O28" s="30">
        <f>+H28+K28+L28+M28</f>
        <v>558868.31999999995</v>
      </c>
      <c r="P28" s="56">
        <f>ROUND((O28-N28)/N28,4)</f>
        <v>8.2500000000000004E-2</v>
      </c>
      <c r="Q28" s="1"/>
      <c r="S28" s="7">
        <f>$S$20</f>
        <v>1500</v>
      </c>
      <c r="T28" s="21">
        <f>$T$17*E28</f>
        <v>167425.5</v>
      </c>
      <c r="U28" s="21">
        <f>$U$17*$A$28</f>
        <v>163750</v>
      </c>
      <c r="V28" s="21">
        <f>$V$17*$A$28</f>
        <v>129500</v>
      </c>
      <c r="W28" s="21">
        <f>$W$17*$A$28</f>
        <v>55750</v>
      </c>
      <c r="X28" s="26">
        <f>S28+T28+U28+V28+W28</f>
        <v>517925.5</v>
      </c>
      <c r="Y28" s="26"/>
      <c r="Z28" s="21"/>
      <c r="AC28" s="7">
        <f>$AC$20</f>
        <v>1499.96</v>
      </c>
      <c r="AD28" s="21">
        <f>$AD$17*E28</f>
        <v>169779.75</v>
      </c>
      <c r="AE28" s="21">
        <f>$A$28*$AE$17</f>
        <v>189750</v>
      </c>
      <c r="AF28" s="21">
        <f>$A$28*$AF$17</f>
        <v>150250</v>
      </c>
      <c r="AG28" s="21">
        <f>$A$28*$AG$17</f>
        <v>49250</v>
      </c>
      <c r="AH28" s="26">
        <f>AC28+AD28+AE28+AF28+AG28</f>
        <v>560529.71</v>
      </c>
      <c r="AI28" s="21"/>
      <c r="AJ28" s="17"/>
      <c r="AK28" s="7">
        <f>AH28-X28</f>
        <v>42604.209999999963</v>
      </c>
      <c r="AM28" s="18">
        <f>AH28/X28-1</f>
        <v>8.2259340387758506E-2</v>
      </c>
    </row>
    <row r="29" spans="1:39" x14ac:dyDescent="0.2">
      <c r="C29" s="13">
        <v>0.5</v>
      </c>
      <c r="E29" s="1">
        <f>C29*($A$28*730)</f>
        <v>9125000</v>
      </c>
      <c r="F29" s="1"/>
      <c r="G29" s="30">
        <f t="shared" si="0"/>
        <v>629542.5</v>
      </c>
      <c r="H29" s="30">
        <f>+AH29</f>
        <v>673716.21</v>
      </c>
      <c r="I29" s="30">
        <f>+H29-G29</f>
        <v>44173.709999999963</v>
      </c>
      <c r="J29" s="56">
        <f>ROUND(+I29/G29,4)</f>
        <v>7.0199999999999999E-2</v>
      </c>
      <c r="K29" s="30">
        <f>ROUND($T$10*$E29,2)</f>
        <v>-17293.13</v>
      </c>
      <c r="L29" s="30">
        <f>ROUND($T$11*$E29,2)</f>
        <v>0</v>
      </c>
      <c r="M29" s="30">
        <f>ROUND($T$12*$E29,2)</f>
        <v>14524.15</v>
      </c>
      <c r="N29" s="30">
        <f>+G29+K29+L29+M29</f>
        <v>626773.52</v>
      </c>
      <c r="O29" s="30">
        <f>+H29+K29+L29+M29</f>
        <v>670947.23</v>
      </c>
      <c r="P29" s="56">
        <f>ROUND((O29-N29)/N29,4)</f>
        <v>7.0499999999999993E-2</v>
      </c>
      <c r="Q29" s="1"/>
      <c r="S29" s="7">
        <f>$S$20</f>
        <v>1500</v>
      </c>
      <c r="T29" s="21">
        <f>$T$17*E29</f>
        <v>279042.5</v>
      </c>
      <c r="U29" s="21">
        <f>$U$17*$A$28</f>
        <v>163750</v>
      </c>
      <c r="V29" s="21">
        <f>$V$17*$A$28</f>
        <v>129500</v>
      </c>
      <c r="W29" s="21">
        <f>$W$17*$A$28</f>
        <v>55750</v>
      </c>
      <c r="X29" s="26">
        <f>S29+T29+U29+V29+W29</f>
        <v>629542.5</v>
      </c>
      <c r="Y29" s="26"/>
      <c r="Z29" s="21"/>
      <c r="AC29" s="7">
        <f>$AC$20</f>
        <v>1499.96</v>
      </c>
      <c r="AD29" s="21">
        <f>$AD$17*E29</f>
        <v>282966.25</v>
      </c>
      <c r="AE29" s="21">
        <f>$A$28*$AE$17</f>
        <v>189750</v>
      </c>
      <c r="AF29" s="21">
        <f>$A$28*$AF$17</f>
        <v>150250</v>
      </c>
      <c r="AG29" s="21">
        <f>$A$28*$AG$17</f>
        <v>49250</v>
      </c>
      <c r="AH29" s="26">
        <f>AC29+AD29+AE29+AF29+AG29</f>
        <v>673716.21</v>
      </c>
      <c r="AI29" s="21"/>
      <c r="AJ29" s="17"/>
      <c r="AK29" s="7">
        <f>AH29-X29</f>
        <v>44173.709999999963</v>
      </c>
      <c r="AM29" s="18">
        <f>AH29/X29-1</f>
        <v>7.0167955300873164E-2</v>
      </c>
    </row>
    <row r="30" spans="1:39" x14ac:dyDescent="0.2">
      <c r="C30" s="13">
        <v>0.7</v>
      </c>
      <c r="E30" s="1">
        <f>C30*($A$28*730)</f>
        <v>12775000</v>
      </c>
      <c r="F30" s="1"/>
      <c r="G30" s="30">
        <f t="shared" si="0"/>
        <v>741159.5</v>
      </c>
      <c r="H30" s="30">
        <f>+AH30</f>
        <v>786902.71</v>
      </c>
      <c r="I30" s="30">
        <f>+H30-G30</f>
        <v>45743.209999999963</v>
      </c>
      <c r="J30" s="56">
        <f>ROUND(+I30/G30,4)</f>
        <v>6.1699999999999998E-2</v>
      </c>
      <c r="K30" s="30">
        <f>ROUND($T$10*$E30,2)</f>
        <v>-24210.39</v>
      </c>
      <c r="L30" s="30">
        <f>ROUND($T$11*$E30,2)</f>
        <v>0</v>
      </c>
      <c r="M30" s="30">
        <f>ROUND($T$12*$E30,2)</f>
        <v>20333.810000000001</v>
      </c>
      <c r="N30" s="30">
        <f>+G30+K30+L30+M30</f>
        <v>737282.92</v>
      </c>
      <c r="O30" s="30">
        <f>+H30+K30+L30+M30</f>
        <v>783026.13</v>
      </c>
      <c r="P30" s="56">
        <f>ROUND((O30-N30)/N30,4)</f>
        <v>6.2E-2</v>
      </c>
      <c r="Q30" s="1"/>
      <c r="S30" s="7">
        <f>$S$20</f>
        <v>1500</v>
      </c>
      <c r="T30" s="21">
        <f>$T$17*E30</f>
        <v>390659.5</v>
      </c>
      <c r="U30" s="21">
        <f>$U$17*$A$28</f>
        <v>163750</v>
      </c>
      <c r="V30" s="21">
        <f>$V$17*$A$28</f>
        <v>129500</v>
      </c>
      <c r="W30" s="21">
        <f>$W$17*$A$28</f>
        <v>55750</v>
      </c>
      <c r="X30" s="26">
        <f>S30+T30+U30+V30+W30</f>
        <v>741159.5</v>
      </c>
      <c r="Y30" s="26"/>
      <c r="Z30" s="21"/>
      <c r="AC30" s="7">
        <f>$AC$20</f>
        <v>1499.96</v>
      </c>
      <c r="AD30" s="21">
        <f>$AD$17*E30</f>
        <v>396152.75</v>
      </c>
      <c r="AE30" s="21">
        <f>$A$28*$AE$17</f>
        <v>189750</v>
      </c>
      <c r="AF30" s="21">
        <f>$A$28*$AF$17</f>
        <v>150250</v>
      </c>
      <c r="AG30" s="21">
        <f>$A$28*$AG$17</f>
        <v>49250</v>
      </c>
      <c r="AH30" s="26">
        <f>AC30+AD30+AE30+AF30+AG30</f>
        <v>786902.71</v>
      </c>
      <c r="AI30" s="21"/>
      <c r="AJ30" s="17"/>
      <c r="AK30" s="7">
        <f>AH30-X30</f>
        <v>45743.209999999963</v>
      </c>
      <c r="AM30" s="18">
        <f>AH30/X30-1</f>
        <v>6.1718442521481398E-2</v>
      </c>
    </row>
    <row r="31" spans="1:39" x14ac:dyDescent="0.2">
      <c r="C31" s="13"/>
      <c r="E31" s="1"/>
      <c r="F31" s="1"/>
      <c r="G31" s="30"/>
      <c r="H31" s="30"/>
      <c r="J31" s="5"/>
      <c r="K31" s="1"/>
      <c r="L31" s="1"/>
      <c r="M31" s="1"/>
      <c r="P31" s="56"/>
      <c r="Q31" s="1"/>
      <c r="S31" s="7"/>
      <c r="T31" s="21"/>
      <c r="U31" s="21"/>
      <c r="V31" s="21"/>
      <c r="W31" s="21"/>
      <c r="X31" s="26"/>
      <c r="Y31" s="26"/>
      <c r="AC31" s="7"/>
      <c r="AD31" s="21"/>
      <c r="AE31" s="21"/>
      <c r="AF31" s="21"/>
      <c r="AG31" s="21"/>
      <c r="AH31" s="26"/>
      <c r="AJ31" s="17"/>
      <c r="AK31" s="6"/>
      <c r="AM31" s="6"/>
    </row>
    <row r="32" spans="1:39" x14ac:dyDescent="0.2">
      <c r="A32" s="1">
        <v>50000</v>
      </c>
      <c r="B32" s="1"/>
      <c r="C32" s="13">
        <v>0.3</v>
      </c>
      <c r="E32" s="1">
        <f>C32*($A$32*730)</f>
        <v>10950000</v>
      </c>
      <c r="F32" s="1"/>
      <c r="G32" s="30">
        <f t="shared" si="0"/>
        <v>1034351</v>
      </c>
      <c r="H32" s="30">
        <f>+AH32</f>
        <v>1119559.46</v>
      </c>
      <c r="I32" s="30">
        <f>+H32-G32</f>
        <v>85208.459999999963</v>
      </c>
      <c r="J32" s="56">
        <f>ROUND(+I32/G32,4)</f>
        <v>8.2400000000000001E-2</v>
      </c>
      <c r="K32" s="30">
        <f>ROUND($T$10*$E32,2)</f>
        <v>-20751.759999999998</v>
      </c>
      <c r="L32" s="30">
        <f>ROUND($T$11*$E32,2)</f>
        <v>0</v>
      </c>
      <c r="M32" s="30">
        <f>ROUND($T$12*$E32,2)</f>
        <v>17428.98</v>
      </c>
      <c r="N32" s="30">
        <f>+G32+K32+L32+M32</f>
        <v>1031028.22</v>
      </c>
      <c r="O32" s="30">
        <f>+H32+K32+L32+M32</f>
        <v>1116236.68</v>
      </c>
      <c r="P32" s="56">
        <f>ROUND((O32-N32)/N32,4)</f>
        <v>8.2600000000000007E-2</v>
      </c>
      <c r="Q32" s="1"/>
      <c r="S32" s="7">
        <f>$S$20</f>
        <v>1500</v>
      </c>
      <c r="T32" s="21">
        <f>$T$17*E32</f>
        <v>334851</v>
      </c>
      <c r="U32" s="21">
        <f>$U$17*$A$32</f>
        <v>327500</v>
      </c>
      <c r="V32" s="21">
        <f>$V$17*$A$32</f>
        <v>259000</v>
      </c>
      <c r="W32" s="21">
        <f>$W$17*$A$32</f>
        <v>111500</v>
      </c>
      <c r="X32" s="26">
        <f>S32+T32+U32+V32+W32</f>
        <v>1034351</v>
      </c>
      <c r="Y32" s="26"/>
      <c r="Z32" s="21"/>
      <c r="AC32" s="7">
        <f>$AC$20</f>
        <v>1499.96</v>
      </c>
      <c r="AD32" s="21">
        <f>$AD$17*E32</f>
        <v>339559.5</v>
      </c>
      <c r="AE32" s="21">
        <f>$A$32*$AE$17</f>
        <v>379500</v>
      </c>
      <c r="AF32" s="21">
        <f>$A$32*$AF$17</f>
        <v>300500</v>
      </c>
      <c r="AG32" s="21">
        <f>$A$32*$AG$17</f>
        <v>98500</v>
      </c>
      <c r="AH32" s="26">
        <f>AC32+AD32+AE32+AF32+AG32</f>
        <v>1119559.46</v>
      </c>
      <c r="AI32" s="21"/>
      <c r="AJ32" s="17"/>
      <c r="AK32" s="7">
        <f>AH32-X32</f>
        <v>85208.459999999963</v>
      </c>
      <c r="AM32" s="18">
        <f>AH32/X32-1</f>
        <v>8.2378670296640033E-2</v>
      </c>
    </row>
    <row r="33" spans="1:39" x14ac:dyDescent="0.2">
      <c r="C33" s="13">
        <v>0.5</v>
      </c>
      <c r="E33" s="1">
        <f>C33*($A$32*730)</f>
        <v>18250000</v>
      </c>
      <c r="F33" s="1"/>
      <c r="G33" s="30">
        <f t="shared" si="0"/>
        <v>1257585</v>
      </c>
      <c r="H33" s="30">
        <f>+AH33</f>
        <v>1345932.46</v>
      </c>
      <c r="I33" s="30">
        <f>+H33-G33</f>
        <v>88347.459999999963</v>
      </c>
      <c r="J33" s="56">
        <f>ROUND(+I33/G33,4)</f>
        <v>7.0300000000000001E-2</v>
      </c>
      <c r="K33" s="30">
        <f>ROUND($T$10*$E33,2)</f>
        <v>-34586.269999999997</v>
      </c>
      <c r="L33" s="30">
        <f>ROUND($T$11*$E33,2)</f>
        <v>0</v>
      </c>
      <c r="M33" s="30">
        <f>ROUND($T$12*$E33,2)</f>
        <v>29048.31</v>
      </c>
      <c r="N33" s="30">
        <f>+G33+K33+L33+M33</f>
        <v>1252047.04</v>
      </c>
      <c r="O33" s="30">
        <f>+H33+K33+L33+M33</f>
        <v>1340394.5</v>
      </c>
      <c r="P33" s="56">
        <f>ROUND((O33-N33)/N33,4)</f>
        <v>7.0599999999999996E-2</v>
      </c>
      <c r="Q33" s="1"/>
      <c r="S33" s="7">
        <f>$S$20</f>
        <v>1500</v>
      </c>
      <c r="T33" s="21">
        <f>$T$17*E33</f>
        <v>558085</v>
      </c>
      <c r="U33" s="21">
        <f>$U$17*$A$32</f>
        <v>327500</v>
      </c>
      <c r="V33" s="21">
        <f>$V$17*$A$32</f>
        <v>259000</v>
      </c>
      <c r="W33" s="21">
        <f>$W$17*$A$32</f>
        <v>111500</v>
      </c>
      <c r="X33" s="26">
        <f>S33+T33+U33+V33+W33</f>
        <v>1257585</v>
      </c>
      <c r="Y33" s="26"/>
      <c r="Z33" s="21"/>
      <c r="AC33" s="7">
        <f>$AC$20</f>
        <v>1499.96</v>
      </c>
      <c r="AD33" s="21">
        <f>$AD$17*E33</f>
        <v>565932.5</v>
      </c>
      <c r="AE33" s="21">
        <f>$A$32*$AE$17</f>
        <v>379500</v>
      </c>
      <c r="AF33" s="21">
        <f>$A$32*$AF$17</f>
        <v>300500</v>
      </c>
      <c r="AG33" s="21">
        <f>$A$32*$AG$17</f>
        <v>98500</v>
      </c>
      <c r="AH33" s="26">
        <f>AC33+AD33+AE33+AF33+AG33</f>
        <v>1345932.46</v>
      </c>
      <c r="AI33" s="21"/>
      <c r="AJ33" s="17"/>
      <c r="AK33" s="7">
        <f>AH33-X33</f>
        <v>88347.459999999963</v>
      </c>
      <c r="AM33" s="18">
        <f>AH33/X33-1</f>
        <v>7.0251680800900163E-2</v>
      </c>
    </row>
    <row r="34" spans="1:39" x14ac:dyDescent="0.2">
      <c r="C34" s="13">
        <v>0.7</v>
      </c>
      <c r="E34" s="1">
        <f>C34*($A$32*730)</f>
        <v>25550000</v>
      </c>
      <c r="F34" s="1"/>
      <c r="G34" s="30">
        <f t="shared" si="0"/>
        <v>1480819</v>
      </c>
      <c r="H34" s="30">
        <f>+AH34</f>
        <v>1572305.46</v>
      </c>
      <c r="I34" s="30">
        <f>+H34-G34</f>
        <v>91486.459999999963</v>
      </c>
      <c r="J34" s="56">
        <f>ROUND(+I34/G34,4)</f>
        <v>6.1800000000000001E-2</v>
      </c>
      <c r="K34" s="30">
        <f>ROUND($T$10*$E34,2)</f>
        <v>-48420.78</v>
      </c>
      <c r="L34" s="30">
        <f>ROUND($T$11*$E34,2)</f>
        <v>0</v>
      </c>
      <c r="M34" s="30">
        <f>ROUND($T$12*$E34,2)</f>
        <v>40667.629999999997</v>
      </c>
      <c r="N34" s="30">
        <f>+G34+K34+L34+M34</f>
        <v>1473065.8499999999</v>
      </c>
      <c r="O34" s="30">
        <f>+H34+K34+L34+M34</f>
        <v>1564552.3099999998</v>
      </c>
      <c r="P34" s="56">
        <f>ROUND((O34-N34)/N34,4)</f>
        <v>6.2100000000000002E-2</v>
      </c>
      <c r="Q34" s="1"/>
      <c r="S34" s="7">
        <f>$S$20</f>
        <v>1500</v>
      </c>
      <c r="T34" s="21">
        <f>$T$17*E34</f>
        <v>781319</v>
      </c>
      <c r="U34" s="21">
        <f>$U$17*$A$32</f>
        <v>327500</v>
      </c>
      <c r="V34" s="21">
        <f>$V$17*$A$32</f>
        <v>259000</v>
      </c>
      <c r="W34" s="21">
        <f>$W$17*$A$32</f>
        <v>111500</v>
      </c>
      <c r="X34" s="26">
        <f>S34+T34+U34+V34+W34</f>
        <v>1480819</v>
      </c>
      <c r="Y34" s="26"/>
      <c r="Z34" s="21"/>
      <c r="AC34" s="7">
        <f>$AC$20</f>
        <v>1499.96</v>
      </c>
      <c r="AD34" s="21">
        <f>$AD$17*E34</f>
        <v>792305.5</v>
      </c>
      <c r="AE34" s="21">
        <f>$A$32*$AE$17</f>
        <v>379500</v>
      </c>
      <c r="AF34" s="21">
        <f>$A$32*$AF$17</f>
        <v>300500</v>
      </c>
      <c r="AG34" s="21">
        <f>$A$32*$AG$17</f>
        <v>98500</v>
      </c>
      <c r="AH34" s="26">
        <f>AC34+AD34+AE34+AF34+AG34</f>
        <v>1572305.46</v>
      </c>
      <c r="AI34" s="21"/>
      <c r="AJ34" s="17"/>
      <c r="AK34" s="7">
        <f>AH34-X34</f>
        <v>91486.459999999963</v>
      </c>
      <c r="AM34" s="18">
        <f>AH34/X34-1</f>
        <v>6.1780987413046384E-2</v>
      </c>
    </row>
    <row r="35" spans="1:39" x14ac:dyDescent="0.2">
      <c r="C35" s="13"/>
      <c r="E35" s="1"/>
      <c r="F35" s="1"/>
      <c r="G35" s="30"/>
      <c r="H35" s="30"/>
      <c r="J35" s="5"/>
      <c r="K35" s="1"/>
      <c r="L35" s="1"/>
      <c r="M35" s="1"/>
      <c r="P35" s="56"/>
      <c r="Q35" s="1"/>
      <c r="S35" s="7"/>
      <c r="T35" s="21"/>
      <c r="U35" s="21"/>
      <c r="V35" s="21"/>
      <c r="W35" s="21"/>
      <c r="X35" s="26"/>
      <c r="Y35" s="26"/>
      <c r="AC35" s="7"/>
      <c r="AD35" s="21"/>
      <c r="AE35" s="21"/>
      <c r="AF35" s="21"/>
      <c r="AG35" s="21"/>
      <c r="AH35" s="26"/>
      <c r="AJ35" s="17"/>
      <c r="AK35" s="6"/>
      <c r="AM35" s="6"/>
    </row>
    <row r="36" spans="1:39" x14ac:dyDescent="0.2">
      <c r="A36" s="1">
        <v>75000</v>
      </c>
      <c r="B36" s="1"/>
      <c r="C36" s="13">
        <v>0.3</v>
      </c>
      <c r="E36" s="1">
        <f>C36*($A$36*730)</f>
        <v>16425000</v>
      </c>
      <c r="F36" s="1"/>
      <c r="G36" s="30">
        <f t="shared" si="0"/>
        <v>1550776.5</v>
      </c>
      <c r="H36" s="30">
        <f>+AH36</f>
        <v>1678589.21</v>
      </c>
      <c r="I36" s="30">
        <f>+H36-G36</f>
        <v>127812.70999999996</v>
      </c>
      <c r="J36" s="56">
        <f>ROUND(+I36/G36,4)</f>
        <v>8.2400000000000001E-2</v>
      </c>
      <c r="K36" s="30">
        <f>ROUND($T$10*$E36,2)</f>
        <v>-31127.64</v>
      </c>
      <c r="L36" s="30">
        <f>ROUND($T$11*$E36,2)</f>
        <v>0</v>
      </c>
      <c r="M36" s="30">
        <f>ROUND($T$12*$E36,2)</f>
        <v>26143.47</v>
      </c>
      <c r="N36" s="30">
        <f>+G36+K36+L36+M36</f>
        <v>1545792.33</v>
      </c>
      <c r="O36" s="30">
        <f>+H36+K36+L36+M36</f>
        <v>1673605.04</v>
      </c>
      <c r="P36" s="56">
        <f>ROUND((O36-N36)/N36,4)</f>
        <v>8.2699999999999996E-2</v>
      </c>
      <c r="Q36" s="1"/>
      <c r="S36" s="7">
        <f>$S$20</f>
        <v>1500</v>
      </c>
      <c r="T36" s="21">
        <f>$T$17*E36</f>
        <v>502276.5</v>
      </c>
      <c r="U36" s="21">
        <f>$U$17*$A$36</f>
        <v>491250</v>
      </c>
      <c r="V36" s="21">
        <f>$V$17*$A$36</f>
        <v>388500</v>
      </c>
      <c r="W36" s="21">
        <f>$W$17*$A$36</f>
        <v>167250</v>
      </c>
      <c r="X36" s="26">
        <f>S36+T36+U36+V36+W36</f>
        <v>1550776.5</v>
      </c>
      <c r="Y36" s="26"/>
      <c r="Z36" s="21"/>
      <c r="AC36" s="7">
        <f>$AC$20</f>
        <v>1499.96</v>
      </c>
      <c r="AD36" s="21">
        <f>$AD$17*E36</f>
        <v>509339.25</v>
      </c>
      <c r="AE36" s="21">
        <f>$A$36*$AE$17</f>
        <v>569250</v>
      </c>
      <c r="AF36" s="21">
        <f>$A$36*$AF$17</f>
        <v>450750</v>
      </c>
      <c r="AG36" s="21">
        <f>$A$36*$AG$17</f>
        <v>147750</v>
      </c>
      <c r="AH36" s="26">
        <f>AC36+AD36+AE36+AF36+AG36</f>
        <v>1678589.21</v>
      </c>
      <c r="AI36" s="21"/>
      <c r="AJ36" s="17"/>
      <c r="AK36" s="7">
        <f>AH36-X36</f>
        <v>127812.70999999996</v>
      </c>
      <c r="AM36" s="18">
        <f>AH36/X36-1</f>
        <v>8.2418523881423233E-2</v>
      </c>
    </row>
    <row r="37" spans="1:39" x14ac:dyDescent="0.2">
      <c r="C37" s="13">
        <v>0.5</v>
      </c>
      <c r="E37" s="1">
        <f>C37*($A$36*730)</f>
        <v>27375000</v>
      </c>
      <c r="F37" s="1"/>
      <c r="G37" s="30">
        <f t="shared" si="0"/>
        <v>1885627.5</v>
      </c>
      <c r="H37" s="30">
        <f>+AH37</f>
        <v>2018148.71</v>
      </c>
      <c r="I37" s="30">
        <f>+H37-G37</f>
        <v>132521.20999999996</v>
      </c>
      <c r="J37" s="56">
        <f>ROUND(+I37/G37,4)</f>
        <v>7.0300000000000001E-2</v>
      </c>
      <c r="K37" s="30">
        <f>ROUND($T$10*$E37,2)</f>
        <v>-51879.4</v>
      </c>
      <c r="L37" s="30">
        <f>ROUND($T$11*$E37,2)</f>
        <v>0</v>
      </c>
      <c r="M37" s="30">
        <f>ROUND($T$12*$E37,2)</f>
        <v>43572.46</v>
      </c>
      <c r="N37" s="30">
        <f>+G37+K37+L37+M37</f>
        <v>1877320.56</v>
      </c>
      <c r="O37" s="30">
        <f>+H37+K37+L37+M37</f>
        <v>2009841.77</v>
      </c>
      <c r="P37" s="56">
        <f>ROUND((O37-N37)/N37,4)</f>
        <v>7.0599999999999996E-2</v>
      </c>
      <c r="Q37" s="1"/>
      <c r="S37" s="7">
        <f>$S$20</f>
        <v>1500</v>
      </c>
      <c r="T37" s="21">
        <f>$T$17*E37</f>
        <v>837127.5</v>
      </c>
      <c r="U37" s="21">
        <f>$U$17*$A$36</f>
        <v>491250</v>
      </c>
      <c r="V37" s="21">
        <f>$V$17*$A$36</f>
        <v>388500</v>
      </c>
      <c r="W37" s="21">
        <f>$W$17*$A$36</f>
        <v>167250</v>
      </c>
      <c r="X37" s="26">
        <f>S37+T37+U37+V37+W37</f>
        <v>1885627.5</v>
      </c>
      <c r="Y37" s="26"/>
      <c r="Z37" s="21"/>
      <c r="AC37" s="7">
        <f>$AC$20</f>
        <v>1499.96</v>
      </c>
      <c r="AD37" s="21">
        <f>$AD$17*E37</f>
        <v>848898.75</v>
      </c>
      <c r="AE37" s="21">
        <f>$A$36*$AE$17</f>
        <v>569250</v>
      </c>
      <c r="AF37" s="21">
        <f>$A$36*$AF$17</f>
        <v>450750</v>
      </c>
      <c r="AG37" s="21">
        <f>$A$36*$AG$17</f>
        <v>147750</v>
      </c>
      <c r="AH37" s="26">
        <f>AC37+AD37+AE37+AF37+AG37</f>
        <v>2018148.71</v>
      </c>
      <c r="AI37" s="21"/>
      <c r="AJ37" s="17"/>
      <c r="AK37" s="7">
        <f>AH37-X37</f>
        <v>132521.20999999996</v>
      </c>
      <c r="AM37" s="18">
        <f>AH37/X37-1</f>
        <v>7.0279633702838851E-2</v>
      </c>
    </row>
    <row r="38" spans="1:39" x14ac:dyDescent="0.2">
      <c r="C38" s="13">
        <v>0.7</v>
      </c>
      <c r="E38" s="1">
        <f>C38*($A$36*730)</f>
        <v>38325000</v>
      </c>
      <c r="F38" s="1"/>
      <c r="G38" s="30">
        <f t="shared" si="0"/>
        <v>2220478.5</v>
      </c>
      <c r="H38" s="30">
        <f>+AH38</f>
        <v>2357708.21</v>
      </c>
      <c r="I38" s="30">
        <f>+H38-G38</f>
        <v>137229.70999999996</v>
      </c>
      <c r="J38" s="56">
        <f>ROUND(+I38/G38,4)</f>
        <v>6.1800000000000001E-2</v>
      </c>
      <c r="K38" s="30">
        <f>ROUND($T$10*$E38,2)</f>
        <v>-72631.16</v>
      </c>
      <c r="L38" s="30">
        <f>ROUND($T$11*$E38,2)</f>
        <v>0</v>
      </c>
      <c r="M38" s="30">
        <f>ROUND($T$12*$E38,2)</f>
        <v>61001.440000000002</v>
      </c>
      <c r="N38" s="30">
        <f>+G38+K38+L38+M38</f>
        <v>2208848.7799999998</v>
      </c>
      <c r="O38" s="30">
        <f>+H38+K38+L38+M38</f>
        <v>2346078.4899999998</v>
      </c>
      <c r="P38" s="56">
        <f>ROUND((O38-N38)/N38,4)</f>
        <v>6.2100000000000002E-2</v>
      </c>
      <c r="Q38" s="1"/>
      <c r="S38" s="7">
        <f>$S$20</f>
        <v>1500</v>
      </c>
      <c r="T38" s="21">
        <f>$T$17*E38</f>
        <v>1171978.5</v>
      </c>
      <c r="U38" s="21">
        <f>$U$17*$A$36</f>
        <v>491250</v>
      </c>
      <c r="V38" s="21">
        <f>$V$17*$A$36</f>
        <v>388500</v>
      </c>
      <c r="W38" s="21">
        <f>$W$17*$A$36</f>
        <v>167250</v>
      </c>
      <c r="X38" s="26">
        <f>S38+T38+U38+V38+W38</f>
        <v>2220478.5</v>
      </c>
      <c r="Y38" s="26"/>
      <c r="Z38" s="21"/>
      <c r="AC38" s="7">
        <f>$AC$20</f>
        <v>1499.96</v>
      </c>
      <c r="AD38" s="21">
        <f>$AD$17*E38</f>
        <v>1188458.25</v>
      </c>
      <c r="AE38" s="21">
        <f>$A$36*$AE$17</f>
        <v>569250</v>
      </c>
      <c r="AF38" s="21">
        <f>$A$36*$AF$17</f>
        <v>450750</v>
      </c>
      <c r="AG38" s="21">
        <f>$A$36*$AG$17</f>
        <v>147750</v>
      </c>
      <c r="AH38" s="26">
        <f>AC38+AD38+AE38+AF38+AG38</f>
        <v>2357708.21</v>
      </c>
      <c r="AI38" s="21"/>
      <c r="AJ38" s="17"/>
      <c r="AK38" s="7">
        <f>AH38-X38</f>
        <v>137229.70999999996</v>
      </c>
      <c r="AM38" s="18">
        <f>AH38/X38-1</f>
        <v>6.1801863877538166E-2</v>
      </c>
    </row>
    <row r="39" spans="1:39" x14ac:dyDescent="0.2">
      <c r="T39" s="21"/>
      <c r="U39" s="21"/>
      <c r="V39" s="21"/>
      <c r="W39" s="21"/>
      <c r="X39" s="21"/>
      <c r="Y39" s="21"/>
    </row>
    <row r="40" spans="1:39" x14ac:dyDescent="0.2">
      <c r="A40" s="17" t="s">
        <v>313</v>
      </c>
      <c r="T40" s="21"/>
      <c r="U40" s="21"/>
      <c r="V40" s="21"/>
      <c r="W40" s="21"/>
      <c r="X40" s="21"/>
      <c r="Y40" s="21"/>
    </row>
    <row r="41" spans="1:39" x14ac:dyDescent="0.2">
      <c r="A41" s="179" t="str">
        <f>("Average usage = "&amp;TEXT(INPUT!$M$19*1,"0,000")&amp;" kWh per month")</f>
        <v>Average usage = 4,908,868 kWh per month</v>
      </c>
      <c r="T41" s="21"/>
      <c r="U41" s="21"/>
      <c r="V41" s="21"/>
      <c r="W41" s="21"/>
      <c r="X41" s="21"/>
      <c r="Y41" s="21"/>
    </row>
    <row r="42" spans="1:39" x14ac:dyDescent="0.2">
      <c r="A42" s="180" t="s">
        <v>314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2"/>
      <c r="AF42" s="21"/>
      <c r="AG42" s="21"/>
      <c r="AH42" s="21"/>
      <c r="AI42" s="21"/>
      <c r="AJ42" s="21"/>
      <c r="AK42" s="6"/>
    </row>
    <row r="43" spans="1:39" x14ac:dyDescent="0.2">
      <c r="A43" s="182" t="s">
        <v>162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183" t="s">
        <v>252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180" t="str">
        <f>+'Rate Case Constants'!$C$26</f>
        <v>Calculations may vary from other schedules due to rounding</v>
      </c>
      <c r="AE45" s="9"/>
    </row>
    <row r="46" spans="1:39" x14ac:dyDescent="0.2"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2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2:31" x14ac:dyDescent="0.2">
      <c r="B50" s="18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2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2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2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2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2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2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2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2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2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2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2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2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2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2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10.42578125" customWidth="1"/>
    <col min="2" max="2" width="3.7109375" customWidth="1"/>
    <col min="3" max="3" width="6.5703125" customWidth="1"/>
    <col min="4" max="4" width="1.85546875" customWidth="1"/>
    <col min="5" max="5" width="12" bestFit="1" customWidth="1"/>
    <col min="6" max="6" width="2" customWidth="1"/>
    <col min="7" max="7" width="15.140625" bestFit="1" customWidth="1"/>
    <col min="8" max="8" width="14.7109375" customWidth="1"/>
    <col min="9" max="9" width="13.42578125" bestFit="1" customWidth="1"/>
    <col min="10" max="10" width="9.85546875" customWidth="1"/>
    <col min="11" max="11" width="14.28515625" bestFit="1" customWidth="1"/>
    <col min="12" max="12" width="13.42578125" bestFit="1" customWidth="1"/>
    <col min="13" max="13" width="15.140625" customWidth="1"/>
    <col min="14" max="15" width="15.140625" bestFit="1" customWidth="1"/>
    <col min="16" max="18" width="9.85546875" customWidth="1"/>
    <col min="19" max="19" width="10" customWidth="1"/>
    <col min="20" max="20" width="14.42578125" bestFit="1" customWidth="1"/>
    <col min="21" max="21" width="12.7109375" bestFit="1" customWidth="1"/>
    <col min="22" max="22" width="13.85546875" bestFit="1" customWidth="1"/>
    <col min="23" max="23" width="12.7109375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30" width="14.42578125" bestFit="1" customWidth="1"/>
    <col min="31" max="31" width="12.7109375" bestFit="1" customWidth="1"/>
    <col min="32" max="32" width="13.85546875" bestFit="1" customWidth="1"/>
    <col min="33" max="33" width="12.7109375" bestFit="1" customWidth="1"/>
    <col min="34" max="35" width="14.42578125" bestFit="1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39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39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39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39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10"/>
      <c r="N5" s="210"/>
      <c r="O5" s="210"/>
      <c r="P5" s="210"/>
    </row>
    <row r="6" spans="1:39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210"/>
      <c r="N6" s="210"/>
      <c r="O6" s="210"/>
      <c r="P6" s="210"/>
    </row>
    <row r="7" spans="1:39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0"/>
      <c r="M7" s="210"/>
      <c r="N7" s="210"/>
      <c r="O7" s="210"/>
      <c r="P7" s="214" t="str">
        <f>+'Rate Case Constants'!C25</f>
        <v>SCHEDULE N</v>
      </c>
    </row>
    <row r="8" spans="1:39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10"/>
      <c r="M8" s="210"/>
      <c r="N8" s="210"/>
      <c r="O8" s="210"/>
      <c r="P8" s="208" t="str">
        <f>+'Rate Case Constants'!L20</f>
        <v>PAGE 13 of 24</v>
      </c>
    </row>
    <row r="9" spans="1:3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</row>
    <row r="10" spans="1:39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>
        <f>+INPUT!G64</f>
        <v>-1.9042487752988124E-3</v>
      </c>
    </row>
    <row r="11" spans="1:39" x14ac:dyDescent="0.2">
      <c r="A11" s="126" t="s">
        <v>330</v>
      </c>
      <c r="S11" s="85" t="s">
        <v>73</v>
      </c>
      <c r="T11">
        <f>+INPUT!H64</f>
        <v>0</v>
      </c>
      <c r="V11" s="61" t="s">
        <v>253</v>
      </c>
      <c r="AD11" s="61" t="s">
        <v>253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5" t="s">
        <v>72</v>
      </c>
      <c r="T12">
        <f>+INPUT!I64</f>
        <v>1.5598703888945588E-3</v>
      </c>
    </row>
    <row r="13" spans="1:39" x14ac:dyDescent="0.2">
      <c r="A13" s="44"/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U13" s="3" t="s">
        <v>1</v>
      </c>
      <c r="V13" s="3" t="s">
        <v>1</v>
      </c>
      <c r="W13" s="3" t="s">
        <v>1</v>
      </c>
      <c r="Z13" s="3" t="s">
        <v>72</v>
      </c>
      <c r="AD13" s="21"/>
      <c r="AE13" s="22" t="s">
        <v>9</v>
      </c>
      <c r="AF13" s="22" t="s">
        <v>9</v>
      </c>
      <c r="AG13" s="22" t="s">
        <v>9</v>
      </c>
      <c r="AH13" s="21"/>
      <c r="AI13" s="3" t="s">
        <v>72</v>
      </c>
    </row>
    <row r="14" spans="1:39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2" t="s">
        <v>34</v>
      </c>
      <c r="AF14" s="22" t="s">
        <v>30</v>
      </c>
      <c r="AG14" s="22" t="s">
        <v>22</v>
      </c>
      <c r="AH14" s="22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76</v>
      </c>
      <c r="AC15" s="27" t="s">
        <v>55</v>
      </c>
      <c r="AD15" s="3" t="s">
        <v>56</v>
      </c>
      <c r="AE15" s="22" t="s">
        <v>25</v>
      </c>
      <c r="AF15" s="22" t="s">
        <v>25</v>
      </c>
      <c r="AG15" s="22" t="s">
        <v>18</v>
      </c>
      <c r="AH15" s="22" t="s">
        <v>5</v>
      </c>
      <c r="AI15" s="3" t="s">
        <v>76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3" t="s">
        <v>4</v>
      </c>
      <c r="H16" s="3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3" t="s">
        <v>4</v>
      </c>
      <c r="O16" s="3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7" t="s">
        <v>3</v>
      </c>
      <c r="AD16" s="3" t="s">
        <v>3</v>
      </c>
      <c r="AE16" s="22" t="s">
        <v>3</v>
      </c>
      <c r="AF16" s="22" t="s">
        <v>3</v>
      </c>
      <c r="AG16" s="22" t="s">
        <v>3</v>
      </c>
      <c r="AH16" s="22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3"/>
      <c r="H17" s="3"/>
      <c r="I17" s="3" t="s">
        <v>69</v>
      </c>
      <c r="J17" s="27" t="s">
        <v>70</v>
      </c>
      <c r="K17" s="90"/>
      <c r="L17" s="90"/>
      <c r="M17" s="91"/>
      <c r="N17" s="3" t="s">
        <v>69</v>
      </c>
      <c r="O17" s="3" t="s">
        <v>69</v>
      </c>
      <c r="P17" s="27" t="s">
        <v>70</v>
      </c>
      <c r="Q17" s="3"/>
      <c r="R17" s="3"/>
      <c r="S17" s="27"/>
      <c r="T17" s="42">
        <f>+INPUT!$N$6</f>
        <v>3.0360000000000002E-2</v>
      </c>
      <c r="U17" s="43">
        <f>+INPUT!$N$13</f>
        <v>3.37</v>
      </c>
      <c r="V17" s="43">
        <f>+INPUT!$N$14</f>
        <v>2.41</v>
      </c>
      <c r="W17" s="43">
        <f>+INPUT!$N$15</f>
        <v>1.65</v>
      </c>
      <c r="X17" s="3"/>
      <c r="Y17" s="3"/>
      <c r="Z17" s="42"/>
      <c r="AC17" s="27"/>
      <c r="AD17" s="42">
        <f>+INPUT!$N$27</f>
        <v>3.1009999999999999E-2</v>
      </c>
      <c r="AE17" s="43">
        <f>+INPUT!$N$34</f>
        <v>3.88</v>
      </c>
      <c r="AF17" s="43">
        <f>+INPUT!$N$35</f>
        <v>2.76</v>
      </c>
      <c r="AG17" s="43">
        <f>+INPUT!$N$36</f>
        <v>1.65</v>
      </c>
      <c r="AH17" s="22"/>
      <c r="AI17" s="42"/>
      <c r="AK17" s="3"/>
      <c r="AL17" s="3"/>
      <c r="AM17" s="3"/>
    </row>
    <row r="18" spans="1:39" x14ac:dyDescent="0.2">
      <c r="A18" s="16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T18" s="3" t="s">
        <v>14</v>
      </c>
      <c r="U18" s="3" t="s">
        <v>58</v>
      </c>
      <c r="V18" s="3" t="s">
        <v>58</v>
      </c>
      <c r="W18" s="3" t="s">
        <v>58</v>
      </c>
      <c r="X18" s="3"/>
      <c r="Y18" s="3"/>
      <c r="Z18" s="3"/>
      <c r="AC18" s="27"/>
      <c r="AD18" s="3" t="s">
        <v>14</v>
      </c>
      <c r="AE18" s="3" t="s">
        <v>58</v>
      </c>
      <c r="AF18" s="3" t="s">
        <v>58</v>
      </c>
      <c r="AG18" s="3" t="s">
        <v>58</v>
      </c>
      <c r="AH18" s="22"/>
      <c r="AI18" s="3"/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3"/>
      <c r="V19" s="3"/>
      <c r="W19" s="3"/>
      <c r="X19" s="3"/>
      <c r="Y19" s="3"/>
      <c r="AC19" s="27"/>
      <c r="AD19" s="3"/>
      <c r="AE19" s="22"/>
      <c r="AF19" s="22"/>
      <c r="AG19" s="22"/>
      <c r="AH19" s="22"/>
      <c r="AK19" s="3"/>
      <c r="AL19" s="3"/>
      <c r="AM19" s="3"/>
    </row>
    <row r="20" spans="1:39" x14ac:dyDescent="0.2">
      <c r="A20" s="1">
        <v>50000</v>
      </c>
      <c r="B20" s="1"/>
      <c r="C20" s="13">
        <v>0.3</v>
      </c>
      <c r="E20" s="1">
        <f>C20*($A$20*730)</f>
        <v>10950000</v>
      </c>
      <c r="F20" s="1"/>
      <c r="G20" s="30">
        <f>+X20</f>
        <v>621192</v>
      </c>
      <c r="H20" s="30">
        <f>+AH20</f>
        <v>658559.46</v>
      </c>
      <c r="I20" s="30">
        <f>+H20-G20</f>
        <v>37367.459999999963</v>
      </c>
      <c r="J20" s="56">
        <f>ROUND(+I20/G20,4)</f>
        <v>6.0199999999999997E-2</v>
      </c>
      <c r="K20" s="30">
        <f>ROUND($T$10*$E20,2)</f>
        <v>-20851.52</v>
      </c>
      <c r="L20" s="30">
        <f>ROUND($T$11*$E20,2)</f>
        <v>0</v>
      </c>
      <c r="M20" s="30">
        <f>ROUND($T$12*$E20,2)</f>
        <v>17080.580000000002</v>
      </c>
      <c r="N20" s="30">
        <f>+G20+K20+L20+M20</f>
        <v>617421.05999999994</v>
      </c>
      <c r="O20" s="30">
        <f>+H20+K20+L20+M20</f>
        <v>654788.5199999999</v>
      </c>
      <c r="P20" s="56">
        <f>ROUND((O20-N20)/N20,4)</f>
        <v>6.0499999999999998E-2</v>
      </c>
      <c r="Q20" s="1"/>
      <c r="S20" s="7">
        <f>+INPUT!$N$4</f>
        <v>1500</v>
      </c>
      <c r="T20" s="21">
        <f>$T$17*E20</f>
        <v>332442</v>
      </c>
      <c r="U20" s="21">
        <f>$U$17*($A$20*0.5)</f>
        <v>84250</v>
      </c>
      <c r="V20" s="21">
        <f>$V$17*$A$20</f>
        <v>120500</v>
      </c>
      <c r="W20" s="21">
        <f>$W$17*$A$20</f>
        <v>82500</v>
      </c>
      <c r="X20" s="26">
        <f>S20+T20+U20+V20+W20</f>
        <v>621192</v>
      </c>
      <c r="Y20" s="26"/>
      <c r="Z20" s="21"/>
      <c r="AC20" s="7">
        <f>INPUT!$N$25</f>
        <v>1499.96</v>
      </c>
      <c r="AD20" s="21">
        <f>$AD$17*E20</f>
        <v>339559.5</v>
      </c>
      <c r="AE20" s="21">
        <f>$AE$17*($A$20*0.5)</f>
        <v>97000</v>
      </c>
      <c r="AF20" s="21">
        <f>$A$20*$AF$17</f>
        <v>138000</v>
      </c>
      <c r="AG20" s="21">
        <f>$A$20*$AG$17</f>
        <v>82500</v>
      </c>
      <c r="AH20" s="26">
        <f>AC20+AD20+AE20+AF20+AG20</f>
        <v>658559.46</v>
      </c>
      <c r="AI20" s="21"/>
      <c r="AJ20" s="17"/>
      <c r="AK20" s="7">
        <f>AH20-X20</f>
        <v>37367.459999999963</v>
      </c>
      <c r="AM20" s="18">
        <f>AH20/X20-1</f>
        <v>6.0154445002511325E-2</v>
      </c>
    </row>
    <row r="21" spans="1:39" x14ac:dyDescent="0.2">
      <c r="C21" s="13">
        <v>0.5</v>
      </c>
      <c r="E21" s="1">
        <f>C21*($A$20*730)</f>
        <v>18250000</v>
      </c>
      <c r="F21" s="1"/>
      <c r="G21" s="30">
        <f t="shared" ref="G21:G38" si="0">+X21</f>
        <v>842820</v>
      </c>
      <c r="H21" s="30">
        <f>+AH21</f>
        <v>884932.46</v>
      </c>
      <c r="I21" s="30">
        <f>+H21-G21</f>
        <v>42112.459999999963</v>
      </c>
      <c r="J21" s="56">
        <f>ROUND(+I21/G21,4)</f>
        <v>0.05</v>
      </c>
      <c r="K21" s="30">
        <f>ROUND($T$10*$E21,2)</f>
        <v>-34752.54</v>
      </c>
      <c r="L21" s="30">
        <f>ROUND($T$11*$E21,2)</f>
        <v>0</v>
      </c>
      <c r="M21" s="30">
        <f>ROUND($T$12*$E21,2)</f>
        <v>28467.63</v>
      </c>
      <c r="N21" s="30">
        <f>+G21+K21+L21+M21</f>
        <v>836535.09</v>
      </c>
      <c r="O21" s="30">
        <f>+H21+K21+L21+M21</f>
        <v>878647.54999999993</v>
      </c>
      <c r="P21" s="93">
        <f>ROUND((O21-N21)/N21,4)</f>
        <v>5.0299999999999997E-2</v>
      </c>
      <c r="Q21" s="1"/>
      <c r="S21" s="7">
        <f>$S$20</f>
        <v>1500</v>
      </c>
      <c r="T21" s="21">
        <f>$T$17*E21</f>
        <v>554070</v>
      </c>
      <c r="U21" s="21">
        <f>$U$17*($A$20*0.5)</f>
        <v>84250</v>
      </c>
      <c r="V21" s="21">
        <f>$V$17*$A$20</f>
        <v>120500</v>
      </c>
      <c r="W21" s="21">
        <f>$W$17*$A$20</f>
        <v>82500</v>
      </c>
      <c r="X21" s="26">
        <f>S21+T21+U21+V21+W21</f>
        <v>842820</v>
      </c>
      <c r="Y21" s="26"/>
      <c r="Z21" s="21"/>
      <c r="AC21" s="7">
        <f>$AC$20</f>
        <v>1499.96</v>
      </c>
      <c r="AD21" s="21">
        <f>$AD$17*E21</f>
        <v>565932.5</v>
      </c>
      <c r="AE21" s="21">
        <f>$AE$17*($A$20*0.5)</f>
        <v>97000</v>
      </c>
      <c r="AF21" s="21">
        <f>$A$20*$AF$17</f>
        <v>138000</v>
      </c>
      <c r="AG21" s="21">
        <f>$A$20*$AG$17</f>
        <v>82500</v>
      </c>
      <c r="AH21" s="26">
        <f>AC21+AD21+AE21+AF21+AG21</f>
        <v>884932.46</v>
      </c>
      <c r="AI21" s="21"/>
      <c r="AJ21" s="17"/>
      <c r="AK21" s="7">
        <f>AH21-X21</f>
        <v>42112.459999999963</v>
      </c>
      <c r="AM21" s="18">
        <f>AH21/X21-1</f>
        <v>4.9966137490804696E-2</v>
      </c>
    </row>
    <row r="22" spans="1:39" x14ac:dyDescent="0.2">
      <c r="C22" s="13">
        <v>0.7</v>
      </c>
      <c r="E22" s="1">
        <f>C22*($A$20*730)</f>
        <v>25550000</v>
      </c>
      <c r="F22" s="1"/>
      <c r="G22" s="30">
        <f t="shared" si="0"/>
        <v>1064448</v>
      </c>
      <c r="H22" s="30">
        <f>+AH22</f>
        <v>1111305.46</v>
      </c>
      <c r="I22" s="30">
        <f>+H22-G22</f>
        <v>46857.459999999963</v>
      </c>
      <c r="J22" s="56">
        <f>ROUND(+I22/G22,4)</f>
        <v>4.3999999999999997E-2</v>
      </c>
      <c r="K22" s="30">
        <f>ROUND($T$10*$E22,2)</f>
        <v>-48653.56</v>
      </c>
      <c r="L22" s="30">
        <f>ROUND($T$11*$E22,2)</f>
        <v>0</v>
      </c>
      <c r="M22" s="30">
        <f>ROUND($T$12*$E22,2)</f>
        <v>39854.69</v>
      </c>
      <c r="N22" s="30">
        <f>+G22+K22+L22+M22</f>
        <v>1055649.1299999999</v>
      </c>
      <c r="O22" s="30">
        <f>+H22+K22+L22+M22</f>
        <v>1102506.5899999999</v>
      </c>
      <c r="P22" s="56">
        <f>ROUND((O22-N22)/N22,4)</f>
        <v>4.4400000000000002E-2</v>
      </c>
      <c r="Q22" s="1"/>
      <c r="S22" s="7">
        <f>$S$20</f>
        <v>1500</v>
      </c>
      <c r="T22" s="21">
        <f>$T$17*E22</f>
        <v>775698</v>
      </c>
      <c r="U22" s="21">
        <f>$U$17*($A$20*0.5)</f>
        <v>84250</v>
      </c>
      <c r="V22" s="21">
        <f>$V$17*$A$20</f>
        <v>120500</v>
      </c>
      <c r="W22" s="21">
        <f>$W$17*$A$20</f>
        <v>82500</v>
      </c>
      <c r="X22" s="26">
        <f>S22+T22+U22+V22+W22</f>
        <v>1064448</v>
      </c>
      <c r="Y22" s="26"/>
      <c r="Z22" s="21"/>
      <c r="AC22" s="7">
        <f>$AC$20</f>
        <v>1499.96</v>
      </c>
      <c r="AD22" s="21">
        <f>$AD$17*E22</f>
        <v>792305.5</v>
      </c>
      <c r="AE22" s="21">
        <f>$AE$17*($A$20*0.5)</f>
        <v>97000</v>
      </c>
      <c r="AF22" s="21">
        <f>$A$20*$AF$17</f>
        <v>138000</v>
      </c>
      <c r="AG22" s="21">
        <f>$A$20*$AG$17</f>
        <v>82500</v>
      </c>
      <c r="AH22" s="26">
        <f>AC22+AD22+AE22+AF22+AG22</f>
        <v>1111305.46</v>
      </c>
      <c r="AI22" s="21"/>
      <c r="AJ22" s="17"/>
      <c r="AK22" s="7">
        <f>AH22-X22</f>
        <v>46857.459999999963</v>
      </c>
      <c r="AM22" s="18">
        <f>AH22/X22-1</f>
        <v>4.4020431246993619E-2</v>
      </c>
    </row>
    <row r="23" spans="1:39" x14ac:dyDescent="0.2">
      <c r="C23" s="13"/>
      <c r="E23" s="1"/>
      <c r="F23" s="1"/>
      <c r="G23" s="30"/>
      <c r="H23" s="30"/>
      <c r="J23" s="5"/>
      <c r="K23" s="1"/>
      <c r="L23" s="1"/>
      <c r="M23" s="1"/>
      <c r="P23" s="56"/>
      <c r="Q23" s="1"/>
      <c r="S23" s="7"/>
      <c r="T23" s="21"/>
      <c r="U23" s="21"/>
      <c r="V23" s="21"/>
      <c r="W23" s="21"/>
      <c r="X23" s="26"/>
      <c r="Y23" s="26"/>
      <c r="AC23" s="7"/>
      <c r="AD23" s="21"/>
      <c r="AE23" s="21"/>
      <c r="AF23" s="21"/>
      <c r="AG23" s="21"/>
      <c r="AH23" s="26"/>
      <c r="AJ23" s="17"/>
      <c r="AK23" s="6"/>
      <c r="AM23" s="6"/>
    </row>
    <row r="24" spans="1:39" x14ac:dyDescent="0.2">
      <c r="A24" s="1">
        <v>75000</v>
      </c>
      <c r="B24" s="1"/>
      <c r="C24" s="13">
        <v>0.3</v>
      </c>
      <c r="E24" s="1">
        <f>C24*($A$24*730)</f>
        <v>16425000</v>
      </c>
      <c r="F24" s="1"/>
      <c r="G24" s="30">
        <f t="shared" si="0"/>
        <v>931038</v>
      </c>
      <c r="H24" s="30">
        <f>+AH24</f>
        <v>987089.21</v>
      </c>
      <c r="I24" s="30">
        <f>+H24-G24</f>
        <v>56051.209999999963</v>
      </c>
      <c r="J24" s="56">
        <f>ROUND(+I24/G24,4)</f>
        <v>6.0199999999999997E-2</v>
      </c>
      <c r="K24" s="30">
        <f>ROUND($T$10*$E24,2)</f>
        <v>-31277.29</v>
      </c>
      <c r="L24" s="30">
        <f>ROUND($T$11*$E24,2)</f>
        <v>0</v>
      </c>
      <c r="M24" s="30">
        <f>ROUND($T$12*$E24,2)</f>
        <v>25620.87</v>
      </c>
      <c r="N24" s="30">
        <f>+G24+K24+L24+M24</f>
        <v>925381.58</v>
      </c>
      <c r="O24" s="30">
        <f>+H24+K24+L24+M24</f>
        <v>981432.78999999992</v>
      </c>
      <c r="P24" s="56">
        <f>ROUND((O24-N24)/N24,4)</f>
        <v>6.0600000000000001E-2</v>
      </c>
      <c r="Q24" s="1"/>
      <c r="S24" s="7">
        <f>$S$20</f>
        <v>1500</v>
      </c>
      <c r="T24" s="21">
        <f>$T$17*E24</f>
        <v>498663</v>
      </c>
      <c r="U24" s="21">
        <f>$U$17*($A$24*0.5)</f>
        <v>126375</v>
      </c>
      <c r="V24" s="21">
        <f>$V$17*$A$24</f>
        <v>180750</v>
      </c>
      <c r="W24" s="21">
        <f>$W$17*$A$24</f>
        <v>123750</v>
      </c>
      <c r="X24" s="26">
        <f>S24+T24+U24+V24+W24</f>
        <v>931038</v>
      </c>
      <c r="Y24" s="26"/>
      <c r="Z24" s="21"/>
      <c r="AC24" s="7">
        <f>$AC$20</f>
        <v>1499.96</v>
      </c>
      <c r="AD24" s="21">
        <f>$AD$17*E24</f>
        <v>509339.25</v>
      </c>
      <c r="AE24" s="21">
        <f>$AE$17*($A$24*0.5)</f>
        <v>145500</v>
      </c>
      <c r="AF24" s="21">
        <f>$A$24*$AF$17</f>
        <v>206999.99999999997</v>
      </c>
      <c r="AG24" s="21">
        <f>$A$24*$AG$17</f>
        <v>123750</v>
      </c>
      <c r="AH24" s="26">
        <f>AC24+AD24+AE24+AF24+AG24</f>
        <v>987089.21</v>
      </c>
      <c r="AI24" s="21"/>
      <c r="AJ24" s="17"/>
      <c r="AK24" s="7">
        <f>AH24-X24</f>
        <v>56051.209999999963</v>
      </c>
      <c r="AL24" s="10"/>
      <c r="AM24" s="18">
        <f>AH24/X24-1</f>
        <v>6.0202924048212925E-2</v>
      </c>
    </row>
    <row r="25" spans="1:39" x14ac:dyDescent="0.2">
      <c r="C25" s="13">
        <v>0.5</v>
      </c>
      <c r="E25" s="1">
        <f>C25*($A$24*730)</f>
        <v>27375000</v>
      </c>
      <c r="F25" s="1"/>
      <c r="G25" s="30">
        <f t="shared" si="0"/>
        <v>1263480</v>
      </c>
      <c r="H25" s="30">
        <f>+AH25</f>
        <v>1326648.71</v>
      </c>
      <c r="I25" s="30">
        <f>+H25-G25</f>
        <v>63168.709999999963</v>
      </c>
      <c r="J25" s="56">
        <f>ROUND(+I25/G25,4)</f>
        <v>0.05</v>
      </c>
      <c r="K25" s="30">
        <f>ROUND($T$10*$E25,2)</f>
        <v>-52128.81</v>
      </c>
      <c r="L25" s="30">
        <f>ROUND($T$11*$E25,2)</f>
        <v>0</v>
      </c>
      <c r="M25" s="30">
        <f>ROUND($T$12*$E25,2)</f>
        <v>42701.45</v>
      </c>
      <c r="N25" s="30">
        <f>+G25+K25+L25+M25</f>
        <v>1254052.6399999999</v>
      </c>
      <c r="O25" s="30">
        <f>+H25+K25+L25+M25</f>
        <v>1317221.3499999999</v>
      </c>
      <c r="P25" s="56">
        <f>ROUND((O25-N25)/N25,4)</f>
        <v>5.04E-2</v>
      </c>
      <c r="Q25" s="1"/>
      <c r="S25" s="7">
        <f>$S$20</f>
        <v>1500</v>
      </c>
      <c r="T25" s="21">
        <f>$T$17*E25</f>
        <v>831105</v>
      </c>
      <c r="U25" s="21">
        <f>$U$17*($A$24*0.5)</f>
        <v>126375</v>
      </c>
      <c r="V25" s="21">
        <f>$V$17*$A$24</f>
        <v>180750</v>
      </c>
      <c r="W25" s="21">
        <f>$W$17*$A$24</f>
        <v>123750</v>
      </c>
      <c r="X25" s="26">
        <f>S25+T25+U25+V25+W25</f>
        <v>1263480</v>
      </c>
      <c r="Y25" s="26"/>
      <c r="Z25" s="21"/>
      <c r="AC25" s="7">
        <f>$AC$20</f>
        <v>1499.96</v>
      </c>
      <c r="AD25" s="21">
        <f>$AD$17*E25</f>
        <v>848898.75</v>
      </c>
      <c r="AE25" s="21">
        <f>$AE$17*($A$24*0.5)</f>
        <v>145500</v>
      </c>
      <c r="AF25" s="21">
        <f>$A$24*$AF$17</f>
        <v>206999.99999999997</v>
      </c>
      <c r="AG25" s="21">
        <f>$A$24*$AG$17</f>
        <v>123750</v>
      </c>
      <c r="AH25" s="26">
        <f>AC25+AD25+AE25+AF25+AG25</f>
        <v>1326648.71</v>
      </c>
      <c r="AI25" s="21"/>
      <c r="AJ25" s="17"/>
      <c r="AK25" s="7">
        <f>AH25-X25</f>
        <v>63168.709999999963</v>
      </c>
      <c r="AL25" s="10"/>
      <c r="AM25" s="18">
        <f>AH25/X25-1</f>
        <v>4.9995813150979895E-2</v>
      </c>
    </row>
    <row r="26" spans="1:39" x14ac:dyDescent="0.2">
      <c r="C26" s="13">
        <v>0.7</v>
      </c>
      <c r="E26" s="1">
        <f>C26*($A$24*730)</f>
        <v>38325000</v>
      </c>
      <c r="F26" s="1"/>
      <c r="G26" s="30">
        <f t="shared" si="0"/>
        <v>1595922</v>
      </c>
      <c r="H26" s="30">
        <f>+AH26</f>
        <v>1666208.21</v>
      </c>
      <c r="I26" s="30">
        <f>+H26-G26</f>
        <v>70286.209999999963</v>
      </c>
      <c r="J26" s="56">
        <f>ROUND(+I26/G26,4)</f>
        <v>4.3999999999999997E-2</v>
      </c>
      <c r="K26" s="30">
        <f>ROUND($T$10*$E26,2)</f>
        <v>-72980.33</v>
      </c>
      <c r="L26" s="30">
        <f>ROUND($T$11*$E26,2)</f>
        <v>0</v>
      </c>
      <c r="M26" s="30">
        <f>ROUND($T$12*$E26,2)</f>
        <v>59782.03</v>
      </c>
      <c r="N26" s="30">
        <f>+G26+K26+L26+M26</f>
        <v>1582723.7</v>
      </c>
      <c r="O26" s="30">
        <f>+H26+K26+L26+M26</f>
        <v>1653009.91</v>
      </c>
      <c r="P26" s="56">
        <f>ROUND((O26-N26)/N26,4)</f>
        <v>4.4400000000000002E-2</v>
      </c>
      <c r="Q26" s="1"/>
      <c r="S26" s="7">
        <f>$S$20</f>
        <v>1500</v>
      </c>
      <c r="T26" s="21">
        <f>$T$17*E26</f>
        <v>1163547</v>
      </c>
      <c r="U26" s="21">
        <f>$U$17*($A$24*0.5)</f>
        <v>126375</v>
      </c>
      <c r="V26" s="21">
        <f>$V$17*$A$24</f>
        <v>180750</v>
      </c>
      <c r="W26" s="21">
        <f>$W$17*$A$24</f>
        <v>123750</v>
      </c>
      <c r="X26" s="26">
        <f>S26+T26+U26+V26+W26</f>
        <v>1595922</v>
      </c>
      <c r="Y26" s="26"/>
      <c r="Z26" s="21"/>
      <c r="AC26" s="7">
        <f>$AC$20</f>
        <v>1499.96</v>
      </c>
      <c r="AD26" s="21">
        <f>$AD$17*E26</f>
        <v>1188458.25</v>
      </c>
      <c r="AE26" s="21">
        <f>$AE$17*($A$24*0.5)</f>
        <v>145500</v>
      </c>
      <c r="AF26" s="21">
        <f>$A$24*$AF$17</f>
        <v>206999.99999999997</v>
      </c>
      <c r="AG26" s="21">
        <f>$A$24*$AG$17</f>
        <v>123750</v>
      </c>
      <c r="AH26" s="26">
        <f>AC26+AD26+AE26+AF26+AG26</f>
        <v>1666208.21</v>
      </c>
      <c r="AI26" s="21"/>
      <c r="AJ26" s="17"/>
      <c r="AK26" s="7">
        <f>AH26-X26</f>
        <v>70286.209999999963</v>
      </c>
      <c r="AM26" s="18">
        <f>AH26/X26-1</f>
        <v>4.4041131082847462E-2</v>
      </c>
    </row>
    <row r="27" spans="1:39" x14ac:dyDescent="0.2">
      <c r="C27" s="13"/>
      <c r="E27" s="1"/>
      <c r="F27" s="1"/>
      <c r="G27" s="30"/>
      <c r="H27" s="30"/>
      <c r="J27" s="5"/>
      <c r="K27" s="1"/>
      <c r="L27" s="1"/>
      <c r="M27" s="1"/>
      <c r="P27" s="56"/>
      <c r="Q27" s="1"/>
      <c r="S27" s="7"/>
      <c r="T27" s="21"/>
      <c r="U27" s="21"/>
      <c r="V27" s="21"/>
      <c r="W27" s="21"/>
      <c r="X27" s="26"/>
      <c r="Y27" s="26"/>
      <c r="AC27" s="7"/>
      <c r="AD27" s="21"/>
      <c r="AE27" s="21"/>
      <c r="AF27" s="21"/>
      <c r="AG27" s="21"/>
      <c r="AH27" s="26"/>
      <c r="AJ27" s="17"/>
      <c r="AK27" s="6"/>
      <c r="AM27" s="6"/>
    </row>
    <row r="28" spans="1:39" x14ac:dyDescent="0.2">
      <c r="A28" s="1">
        <v>100000</v>
      </c>
      <c r="B28" s="1"/>
      <c r="C28" s="13">
        <v>0.3</v>
      </c>
      <c r="E28" s="1">
        <f>C28*($A$28*730)</f>
        <v>21900000</v>
      </c>
      <c r="F28" s="1"/>
      <c r="G28" s="30">
        <f t="shared" si="0"/>
        <v>1240884</v>
      </c>
      <c r="H28" s="30">
        <f>+AH28</f>
        <v>1315618.96</v>
      </c>
      <c r="I28" s="30">
        <f>+H28-G28</f>
        <v>74734.959999999963</v>
      </c>
      <c r="J28" s="56">
        <f>ROUND(+I28/G28,4)</f>
        <v>6.0199999999999997E-2</v>
      </c>
      <c r="K28" s="30">
        <f>ROUND($T$10*$E28,2)</f>
        <v>-41703.050000000003</v>
      </c>
      <c r="L28" s="30">
        <f>ROUND($T$11*$E28,2)</f>
        <v>0</v>
      </c>
      <c r="M28" s="30">
        <f>ROUND($T$12*$E28,2)</f>
        <v>34161.160000000003</v>
      </c>
      <c r="N28" s="30">
        <f>+G28+K28+L28+M28</f>
        <v>1233342.1099999999</v>
      </c>
      <c r="O28" s="30">
        <f>+H28+K28+L28+M28</f>
        <v>1308077.0699999998</v>
      </c>
      <c r="P28" s="56">
        <f>ROUND((O28-N28)/N28,4)</f>
        <v>6.0600000000000001E-2</v>
      </c>
      <c r="Q28" s="1"/>
      <c r="S28" s="7">
        <f>$S$20</f>
        <v>1500</v>
      </c>
      <c r="T28" s="21">
        <f>$T$17*E28</f>
        <v>664884</v>
      </c>
      <c r="U28" s="21">
        <f>$U$17*($A$28*0.5)</f>
        <v>168500</v>
      </c>
      <c r="V28" s="21">
        <f>$V$17*$A$28</f>
        <v>241000</v>
      </c>
      <c r="W28" s="21">
        <f>$W$17*$A$28</f>
        <v>165000</v>
      </c>
      <c r="X28" s="26">
        <f>S28+T28+U28+V28+W28</f>
        <v>1240884</v>
      </c>
      <c r="Y28" s="26"/>
      <c r="Z28" s="21"/>
      <c r="AC28" s="7">
        <f>$AC$20</f>
        <v>1499.96</v>
      </c>
      <c r="AD28" s="21">
        <f>$AD$17*E28</f>
        <v>679119</v>
      </c>
      <c r="AE28" s="21">
        <f>$AE$17*($A$28*0.5)</f>
        <v>194000</v>
      </c>
      <c r="AF28" s="21">
        <f>$A$28*$AF$17</f>
        <v>276000</v>
      </c>
      <c r="AG28" s="21">
        <f>$A$28*$AG$17</f>
        <v>165000</v>
      </c>
      <c r="AH28" s="26">
        <f>AC28+AD28+AE28+AF28+AG28</f>
        <v>1315618.96</v>
      </c>
      <c r="AI28" s="21"/>
      <c r="AJ28" s="17"/>
      <c r="AK28" s="7">
        <f>AH28-X28</f>
        <v>74734.959999999963</v>
      </c>
      <c r="AM28" s="18">
        <f>AH28/X28-1</f>
        <v>6.0227192872178259E-2</v>
      </c>
    </row>
    <row r="29" spans="1:39" x14ac:dyDescent="0.2">
      <c r="C29" s="13">
        <v>0.5</v>
      </c>
      <c r="E29" s="1">
        <f>C29*($A$28*730)</f>
        <v>36500000</v>
      </c>
      <c r="F29" s="1"/>
      <c r="G29" s="30">
        <f t="shared" si="0"/>
        <v>1684140</v>
      </c>
      <c r="H29" s="30">
        <f>+AH29</f>
        <v>1768364.96</v>
      </c>
      <c r="I29" s="30">
        <f>+H29-G29</f>
        <v>84224.959999999963</v>
      </c>
      <c r="J29" s="56">
        <f>ROUND(+I29/G29,4)</f>
        <v>0.05</v>
      </c>
      <c r="K29" s="30">
        <f>ROUND($T$10*$E29,2)</f>
        <v>-69505.08</v>
      </c>
      <c r="L29" s="30">
        <f>ROUND($T$11*$E29,2)</f>
        <v>0</v>
      </c>
      <c r="M29" s="30">
        <f>ROUND($T$12*$E29,2)</f>
        <v>56935.27</v>
      </c>
      <c r="N29" s="30">
        <f>+G29+K29+L29+M29</f>
        <v>1671570.19</v>
      </c>
      <c r="O29" s="30">
        <f>+H29+K29+L29+M29</f>
        <v>1755795.15</v>
      </c>
      <c r="P29" s="56">
        <f>ROUND((O29-N29)/N29,4)</f>
        <v>5.04E-2</v>
      </c>
      <c r="Q29" s="1"/>
      <c r="S29" s="7">
        <f>$S$20</f>
        <v>1500</v>
      </c>
      <c r="T29" s="21">
        <f>$T$17*E29</f>
        <v>1108140</v>
      </c>
      <c r="U29" s="21">
        <f>$U$17*($A$28*0.5)</f>
        <v>168500</v>
      </c>
      <c r="V29" s="21">
        <f>$V$17*$A$28</f>
        <v>241000</v>
      </c>
      <c r="W29" s="21">
        <f>$W$17*$A$28</f>
        <v>165000</v>
      </c>
      <c r="X29" s="26">
        <f>S29+T29+U29+V29+W29</f>
        <v>1684140</v>
      </c>
      <c r="Y29" s="26"/>
      <c r="Z29" s="21"/>
      <c r="AC29" s="7">
        <f>$AC$20</f>
        <v>1499.96</v>
      </c>
      <c r="AD29" s="21">
        <f>$AD$17*E29</f>
        <v>1131865</v>
      </c>
      <c r="AE29" s="21">
        <f>$AE$17*($A$28*0.5)</f>
        <v>194000</v>
      </c>
      <c r="AF29" s="21">
        <f>$A$28*$AF$17</f>
        <v>276000</v>
      </c>
      <c r="AG29" s="21">
        <f>$A$28*$AG$17</f>
        <v>165000</v>
      </c>
      <c r="AH29" s="26">
        <f>AC29+AD29+AE29+AF29+AG29</f>
        <v>1768364.96</v>
      </c>
      <c r="AI29" s="21"/>
      <c r="AJ29" s="17"/>
      <c r="AK29" s="7">
        <f>AH29-X29</f>
        <v>84224.959999999963</v>
      </c>
      <c r="AM29" s="18">
        <f>AH29/X29-1</f>
        <v>5.0010664196563193E-2</v>
      </c>
    </row>
    <row r="30" spans="1:39" x14ac:dyDescent="0.2">
      <c r="C30" s="13">
        <v>0.7</v>
      </c>
      <c r="E30" s="1">
        <f>C30*($A$28*730)</f>
        <v>51100000</v>
      </c>
      <c r="F30" s="1"/>
      <c r="G30" s="30">
        <f t="shared" si="0"/>
        <v>2127396</v>
      </c>
      <c r="H30" s="30">
        <f>+AH30</f>
        <v>2221110.96</v>
      </c>
      <c r="I30" s="30">
        <f>+H30-G30</f>
        <v>93714.959999999963</v>
      </c>
      <c r="J30" s="56">
        <f>ROUND(+I30/G30,4)</f>
        <v>4.41E-2</v>
      </c>
      <c r="K30" s="30">
        <f>ROUND($T$10*$E30,2)</f>
        <v>-97307.11</v>
      </c>
      <c r="L30" s="30">
        <f>ROUND($T$11*$E30,2)</f>
        <v>0</v>
      </c>
      <c r="M30" s="30">
        <f>ROUND($T$12*$E30,2)</f>
        <v>79709.38</v>
      </c>
      <c r="N30" s="30">
        <f>+G30+K30+L30+M30</f>
        <v>2109798.27</v>
      </c>
      <c r="O30" s="30">
        <f>+H30+K30+L30+M30</f>
        <v>2203513.23</v>
      </c>
      <c r="P30" s="56">
        <f>ROUND((O30-N30)/N30,4)</f>
        <v>4.4400000000000002E-2</v>
      </c>
      <c r="Q30" s="1"/>
      <c r="S30" s="7">
        <f>$S$20</f>
        <v>1500</v>
      </c>
      <c r="T30" s="21">
        <f>$T$17*E30</f>
        <v>1551396</v>
      </c>
      <c r="U30" s="21">
        <f>$U$17*($A$28*0.5)</f>
        <v>168500</v>
      </c>
      <c r="V30" s="21">
        <f>$V$17*$A$28</f>
        <v>241000</v>
      </c>
      <c r="W30" s="21">
        <f>$W$17*$A$28</f>
        <v>165000</v>
      </c>
      <c r="X30" s="26">
        <f>S30+T30+U30+V30+W30</f>
        <v>2127396</v>
      </c>
      <c r="Y30" s="26"/>
      <c r="Z30" s="21"/>
      <c r="AC30" s="7">
        <f>$AC$20</f>
        <v>1499.96</v>
      </c>
      <c r="AD30" s="21">
        <f>$AD$17*E30</f>
        <v>1584611</v>
      </c>
      <c r="AE30" s="21">
        <f>$AE$17*($A$28*0.5)</f>
        <v>194000</v>
      </c>
      <c r="AF30" s="21">
        <f>$A$28*$AF$17</f>
        <v>276000</v>
      </c>
      <c r="AG30" s="21">
        <f>$A$28*$AG$17</f>
        <v>165000</v>
      </c>
      <c r="AH30" s="26">
        <f>AC30+AD30+AE30+AF30+AG30</f>
        <v>2221110.96</v>
      </c>
      <c r="AI30" s="21"/>
      <c r="AJ30" s="17"/>
      <c r="AK30" s="7">
        <f>AH30-X30</f>
        <v>93714.959999999963</v>
      </c>
      <c r="AM30" s="18">
        <f>AH30/X30-1</f>
        <v>4.4051488298370467E-2</v>
      </c>
    </row>
    <row r="31" spans="1:39" x14ac:dyDescent="0.2">
      <c r="C31" s="13"/>
      <c r="E31" s="1"/>
      <c r="F31" s="1"/>
      <c r="G31" s="30"/>
      <c r="H31" s="30"/>
      <c r="J31" s="5"/>
      <c r="K31" s="1"/>
      <c r="L31" s="1"/>
      <c r="M31" s="1"/>
      <c r="P31" s="56"/>
      <c r="Q31" s="1"/>
      <c r="S31" s="7"/>
      <c r="T31" s="21"/>
      <c r="U31" s="21"/>
      <c r="V31" s="21"/>
      <c r="W31" s="21"/>
      <c r="X31" s="26"/>
      <c r="Y31" s="26"/>
      <c r="AC31" s="7"/>
      <c r="AD31" s="21"/>
      <c r="AE31" s="21"/>
      <c r="AF31" s="21"/>
      <c r="AG31" s="21"/>
      <c r="AH31" s="26"/>
      <c r="AJ31" s="17"/>
      <c r="AK31" s="6"/>
      <c r="AM31" s="6"/>
    </row>
    <row r="32" spans="1:39" x14ac:dyDescent="0.2">
      <c r="A32" s="1">
        <v>150000</v>
      </c>
      <c r="B32" s="1"/>
      <c r="C32" s="13">
        <v>0.3</v>
      </c>
      <c r="E32" s="1">
        <f>C32*($A$32*730)</f>
        <v>32850000</v>
      </c>
      <c r="F32" s="1"/>
      <c r="G32" s="30">
        <f t="shared" si="0"/>
        <v>1860576</v>
      </c>
      <c r="H32" s="30">
        <f>+AH32</f>
        <v>1972678.46</v>
      </c>
      <c r="I32" s="30">
        <f>+H32-G32</f>
        <v>112102.45999999996</v>
      </c>
      <c r="J32" s="56">
        <f>ROUND(+I32/G32,4)</f>
        <v>6.0299999999999999E-2</v>
      </c>
      <c r="K32" s="30">
        <f>ROUND($T$10*$E32,2)</f>
        <v>-62554.57</v>
      </c>
      <c r="L32" s="30">
        <f>ROUND($T$11*$E32,2)</f>
        <v>0</v>
      </c>
      <c r="M32" s="30">
        <f>ROUND($T$12*$E32,2)</f>
        <v>51241.74</v>
      </c>
      <c r="N32" s="30">
        <f>+G32+K32+L32+M32</f>
        <v>1849263.17</v>
      </c>
      <c r="O32" s="30">
        <f>+H32+K32+L32+M32</f>
        <v>1961365.63</v>
      </c>
      <c r="P32" s="56">
        <f>ROUND((O32-N32)/N32,4)</f>
        <v>6.0600000000000001E-2</v>
      </c>
      <c r="Q32" s="1"/>
      <c r="S32" s="7">
        <f>$S$20</f>
        <v>1500</v>
      </c>
      <c r="T32" s="21">
        <f>$T$17*E32</f>
        <v>997326</v>
      </c>
      <c r="U32" s="21">
        <f>$U$17*($A$32*0.5)</f>
        <v>252750</v>
      </c>
      <c r="V32" s="21">
        <f>$V$17*$A$32</f>
        <v>361500</v>
      </c>
      <c r="W32" s="21">
        <f>$W$17*$A$32</f>
        <v>247500</v>
      </c>
      <c r="X32" s="26">
        <f>S32+T32+U32+V32+W32</f>
        <v>1860576</v>
      </c>
      <c r="Y32" s="26"/>
      <c r="Z32" s="21"/>
      <c r="AC32" s="7">
        <f>$AC$20</f>
        <v>1499.96</v>
      </c>
      <c r="AD32" s="21">
        <f>$AD$17*E32</f>
        <v>1018678.5</v>
      </c>
      <c r="AE32" s="21">
        <f>$AE$17*($A$32*0.5)</f>
        <v>291000</v>
      </c>
      <c r="AF32" s="21">
        <f>$A$32*$AF$17</f>
        <v>413999.99999999994</v>
      </c>
      <c r="AG32" s="21">
        <f>$A$32*$AG$17</f>
        <v>247500</v>
      </c>
      <c r="AH32" s="26">
        <f>AC32+AD32+AE32+AF32+AG32</f>
        <v>1972678.46</v>
      </c>
      <c r="AI32" s="21"/>
      <c r="AJ32" s="17"/>
      <c r="AK32" s="7">
        <f>AH32-X32</f>
        <v>112102.45999999996</v>
      </c>
      <c r="AM32" s="18">
        <f>AH32/X32-1</f>
        <v>6.0251481261716755E-2</v>
      </c>
    </row>
    <row r="33" spans="1:39" x14ac:dyDescent="0.2">
      <c r="C33" s="13">
        <v>0.5</v>
      </c>
      <c r="E33" s="1">
        <f>C33*($A$32*730)</f>
        <v>54750000</v>
      </c>
      <c r="F33" s="1"/>
      <c r="G33" s="30">
        <f t="shared" si="0"/>
        <v>2525460</v>
      </c>
      <c r="H33" s="30">
        <f>+AH33</f>
        <v>2651797.46</v>
      </c>
      <c r="I33" s="30">
        <f>+H33-G33</f>
        <v>126337.45999999996</v>
      </c>
      <c r="J33" s="56">
        <f>ROUND(+I33/G33,4)</f>
        <v>0.05</v>
      </c>
      <c r="K33" s="30">
        <f>ROUND($T$10*$E33,2)</f>
        <v>-104257.62</v>
      </c>
      <c r="L33" s="30">
        <f>ROUND($T$11*$E33,2)</f>
        <v>0</v>
      </c>
      <c r="M33" s="30">
        <f>ROUND($T$12*$E33,2)</f>
        <v>85402.9</v>
      </c>
      <c r="N33" s="30">
        <f>+G33+K33+L33+M33</f>
        <v>2506605.2799999998</v>
      </c>
      <c r="O33" s="30">
        <f>+H33+K33+L33+M33</f>
        <v>2632942.7399999998</v>
      </c>
      <c r="P33" s="56">
        <f>ROUND((O33-N33)/N33,4)</f>
        <v>5.04E-2</v>
      </c>
      <c r="Q33" s="1"/>
      <c r="S33" s="7">
        <f>$S$20</f>
        <v>1500</v>
      </c>
      <c r="T33" s="21">
        <f>$T$17*E33</f>
        <v>1662210</v>
      </c>
      <c r="U33" s="21">
        <f>$U$17*($A$32*0.5)</f>
        <v>252750</v>
      </c>
      <c r="V33" s="21">
        <f>$V$17*$A$32</f>
        <v>361500</v>
      </c>
      <c r="W33" s="21">
        <f>$W$17*$A$32</f>
        <v>247500</v>
      </c>
      <c r="X33" s="26">
        <f>S33+T33+U33+V33+W33</f>
        <v>2525460</v>
      </c>
      <c r="Y33" s="26"/>
      <c r="Z33" s="21"/>
      <c r="AC33" s="7">
        <f>$AC$20</f>
        <v>1499.96</v>
      </c>
      <c r="AD33" s="21">
        <f>$AD$17*E33</f>
        <v>1697797.5</v>
      </c>
      <c r="AE33" s="21">
        <f>$AE$17*($A$32*0.5)</f>
        <v>291000</v>
      </c>
      <c r="AF33" s="21">
        <f>$A$32*$AF$17</f>
        <v>413999.99999999994</v>
      </c>
      <c r="AG33" s="21">
        <f>$A$32*$AG$17</f>
        <v>247500</v>
      </c>
      <c r="AH33" s="26">
        <f>AC33+AD33+AE33+AF33+AG33</f>
        <v>2651797.46</v>
      </c>
      <c r="AI33" s="21"/>
      <c r="AJ33" s="17"/>
      <c r="AK33" s="7">
        <f>AH33-X33</f>
        <v>126337.45999999996</v>
      </c>
      <c r="AM33" s="18">
        <f>AH33/X33-1</f>
        <v>5.0025524062943028E-2</v>
      </c>
    </row>
    <row r="34" spans="1:39" x14ac:dyDescent="0.2">
      <c r="C34" s="13">
        <v>0.7</v>
      </c>
      <c r="E34" s="1">
        <f>C34*($A$32*730)</f>
        <v>76650000</v>
      </c>
      <c r="F34" s="1"/>
      <c r="G34" s="30">
        <f t="shared" si="0"/>
        <v>3190344</v>
      </c>
      <c r="H34" s="30">
        <f>+AH34</f>
        <v>3330916.46</v>
      </c>
      <c r="I34" s="30">
        <f>+H34-G34</f>
        <v>140572.45999999996</v>
      </c>
      <c r="J34" s="56">
        <f>ROUND(+I34/G34,4)</f>
        <v>4.41E-2</v>
      </c>
      <c r="K34" s="30">
        <f>ROUND($T$10*$E34,2)</f>
        <v>-145960.67000000001</v>
      </c>
      <c r="L34" s="30">
        <f>ROUND($T$11*$E34,2)</f>
        <v>0</v>
      </c>
      <c r="M34" s="30">
        <f>ROUND($T$12*$E34,2)</f>
        <v>119564.07</v>
      </c>
      <c r="N34" s="30">
        <f>+G34+K34+L34+M34</f>
        <v>3163947.4</v>
      </c>
      <c r="O34" s="30">
        <f>+H34+K34+L34+M34</f>
        <v>3304519.86</v>
      </c>
      <c r="P34" s="56">
        <f>ROUND((O34-N34)/N34,4)</f>
        <v>4.4400000000000002E-2</v>
      </c>
      <c r="Q34" s="1"/>
      <c r="S34" s="7">
        <f>$S$20</f>
        <v>1500</v>
      </c>
      <c r="T34" s="21">
        <f>$T$17*E34</f>
        <v>2327094</v>
      </c>
      <c r="U34" s="21">
        <f>$U$17*($A$32*0.5)</f>
        <v>252750</v>
      </c>
      <c r="V34" s="21">
        <f>$V$17*$A$32</f>
        <v>361500</v>
      </c>
      <c r="W34" s="21">
        <f>$W$17*$A$32</f>
        <v>247500</v>
      </c>
      <c r="X34" s="26">
        <f>S34+T34+U34+V34+W34</f>
        <v>3190344</v>
      </c>
      <c r="Y34" s="26"/>
      <c r="Z34" s="21"/>
      <c r="AC34" s="7">
        <f>$AC$20</f>
        <v>1499.96</v>
      </c>
      <c r="AD34" s="21">
        <f>$AD$17*E34</f>
        <v>2376916.5</v>
      </c>
      <c r="AE34" s="21">
        <f>$AE$17*($A$32*0.5)</f>
        <v>291000</v>
      </c>
      <c r="AF34" s="21">
        <f>$A$32*$AF$17</f>
        <v>413999.99999999994</v>
      </c>
      <c r="AG34" s="21">
        <f>$A$32*$AG$17</f>
        <v>247500</v>
      </c>
      <c r="AH34" s="26">
        <f>AC34+AD34+AE34+AF34+AG34</f>
        <v>3330916.46</v>
      </c>
      <c r="AI34" s="21"/>
      <c r="AJ34" s="17"/>
      <c r="AK34" s="7">
        <f>AH34-X34</f>
        <v>140572.45999999996</v>
      </c>
      <c r="AM34" s="18">
        <f>AH34/X34-1</f>
        <v>4.4061850383532386E-2</v>
      </c>
    </row>
    <row r="35" spans="1:39" x14ac:dyDescent="0.2">
      <c r="C35" s="13"/>
      <c r="E35" s="1"/>
      <c r="F35" s="1"/>
      <c r="G35" s="30"/>
      <c r="H35" s="30"/>
      <c r="J35" s="5"/>
      <c r="K35" s="1"/>
      <c r="L35" s="1"/>
      <c r="M35" s="1"/>
      <c r="P35" s="56"/>
      <c r="Q35" s="1"/>
      <c r="S35" s="7"/>
      <c r="T35" s="21"/>
      <c r="U35" s="21"/>
      <c r="V35" s="21"/>
      <c r="W35" s="21"/>
      <c r="X35" s="26"/>
      <c r="Y35" s="26"/>
      <c r="AC35" s="7"/>
      <c r="AD35" s="21"/>
      <c r="AE35" s="21"/>
      <c r="AF35" s="21"/>
      <c r="AG35" s="21"/>
      <c r="AH35" s="26"/>
      <c r="AJ35" s="17"/>
      <c r="AK35" s="6"/>
      <c r="AM35" s="6"/>
    </row>
    <row r="36" spans="1:39" x14ac:dyDescent="0.2">
      <c r="A36" s="1">
        <v>200000</v>
      </c>
      <c r="B36" s="1"/>
      <c r="C36" s="13">
        <v>0.3</v>
      </c>
      <c r="E36" s="1">
        <f>C36*($A$36*730)</f>
        <v>43800000</v>
      </c>
      <c r="F36" s="1"/>
      <c r="G36" s="30">
        <f t="shared" si="0"/>
        <v>2480268</v>
      </c>
      <c r="H36" s="30">
        <f>+AH36</f>
        <v>2629737.96</v>
      </c>
      <c r="I36" s="30">
        <f>+H36-G36</f>
        <v>149469.95999999996</v>
      </c>
      <c r="J36" s="56">
        <f>ROUND(+I36/G36,4)</f>
        <v>6.0299999999999999E-2</v>
      </c>
      <c r="K36" s="30">
        <f>ROUND($T$10*$E36,2)</f>
        <v>-83406.100000000006</v>
      </c>
      <c r="L36" s="30">
        <f>ROUND($T$11*$E36,2)</f>
        <v>0</v>
      </c>
      <c r="M36" s="30">
        <f>ROUND($T$12*$E36,2)</f>
        <v>68322.320000000007</v>
      </c>
      <c r="N36" s="30">
        <f>+G36+K36+L36+M36</f>
        <v>2465184.2199999997</v>
      </c>
      <c r="O36" s="30">
        <f>+H36+K36+L36+M36</f>
        <v>2614654.1799999997</v>
      </c>
      <c r="P36" s="56">
        <f>ROUND((O36-N36)/N36,4)</f>
        <v>6.0600000000000001E-2</v>
      </c>
      <c r="Q36" s="1"/>
      <c r="S36" s="7">
        <f>$S$20</f>
        <v>1500</v>
      </c>
      <c r="T36" s="21">
        <f>$T$17*E36</f>
        <v>1329768</v>
      </c>
      <c r="U36" s="21">
        <f>$U$17*($A$36*0.5)</f>
        <v>337000</v>
      </c>
      <c r="V36" s="21">
        <f>$V$17*$A$36</f>
        <v>482000</v>
      </c>
      <c r="W36" s="21">
        <f>$W$17*$A$36</f>
        <v>330000</v>
      </c>
      <c r="X36" s="26">
        <f>S36+T36+U36+V36+W36</f>
        <v>2480268</v>
      </c>
      <c r="Y36" s="26"/>
      <c r="Z36" s="21"/>
      <c r="AC36" s="7">
        <f>$AC$20</f>
        <v>1499.96</v>
      </c>
      <c r="AD36" s="21">
        <f>$AD$17*E36</f>
        <v>1358238</v>
      </c>
      <c r="AE36" s="21">
        <f>$AE$17*($A$36*0.5)</f>
        <v>388000</v>
      </c>
      <c r="AF36" s="21">
        <f>$A$36*$AF$17</f>
        <v>552000</v>
      </c>
      <c r="AG36" s="21">
        <f>$A$36*$AG$17</f>
        <v>330000</v>
      </c>
      <c r="AH36" s="26">
        <f>AC36+AD36+AE36+AF36+AG36</f>
        <v>2629737.96</v>
      </c>
      <c r="AI36" s="21"/>
      <c r="AJ36" s="17"/>
      <c r="AK36" s="7">
        <f>AH36-X36</f>
        <v>149469.95999999996</v>
      </c>
      <c r="AM36" s="18">
        <f>AH36/X36-1</f>
        <v>6.0263632800971578E-2</v>
      </c>
    </row>
    <row r="37" spans="1:39" x14ac:dyDescent="0.2">
      <c r="C37" s="13">
        <v>0.5</v>
      </c>
      <c r="E37" s="1">
        <f>C37*($A$36*730)</f>
        <v>73000000</v>
      </c>
      <c r="F37" s="1"/>
      <c r="G37" s="30">
        <f t="shared" si="0"/>
        <v>3366780</v>
      </c>
      <c r="H37" s="30">
        <f>+AH37</f>
        <v>3535229.96</v>
      </c>
      <c r="I37" s="30">
        <f>+H37-G37</f>
        <v>168449.95999999996</v>
      </c>
      <c r="J37" s="56">
        <f>ROUND(+I37/G37,4)</f>
        <v>0.05</v>
      </c>
      <c r="K37" s="30">
        <f>ROUND($T$10*$E37,2)</f>
        <v>-139010.16</v>
      </c>
      <c r="L37" s="30">
        <f>ROUND($T$11*$E37,2)</f>
        <v>0</v>
      </c>
      <c r="M37" s="30">
        <f>ROUND($T$12*$E37,2)</f>
        <v>113870.54</v>
      </c>
      <c r="N37" s="30">
        <f>+G37+K37+L37+M37</f>
        <v>3341640.38</v>
      </c>
      <c r="O37" s="30">
        <f>+H37+K37+L37+M37</f>
        <v>3510090.34</v>
      </c>
      <c r="P37" s="56">
        <f>ROUND((O37-N37)/N37,4)</f>
        <v>5.04E-2</v>
      </c>
      <c r="Q37" s="1"/>
      <c r="S37" s="7">
        <f>$S$20</f>
        <v>1500</v>
      </c>
      <c r="T37" s="21">
        <f>$T$17*E37</f>
        <v>2216280</v>
      </c>
      <c r="U37" s="21">
        <f>$U$17*($A$36*0.5)</f>
        <v>337000</v>
      </c>
      <c r="V37" s="21">
        <f>$V$17*$A$36</f>
        <v>482000</v>
      </c>
      <c r="W37" s="21">
        <f>$W$17*$A$36</f>
        <v>330000</v>
      </c>
      <c r="X37" s="26">
        <f>S37+T37+U37+V37+W37</f>
        <v>3366780</v>
      </c>
      <c r="Y37" s="26"/>
      <c r="Z37" s="21"/>
      <c r="AC37" s="7">
        <f>$AC$20</f>
        <v>1499.96</v>
      </c>
      <c r="AD37" s="21">
        <f>$AD$17*E37</f>
        <v>2263730</v>
      </c>
      <c r="AE37" s="21">
        <f>$AE$17*($A$36*0.5)</f>
        <v>388000</v>
      </c>
      <c r="AF37" s="21">
        <f>$A$36*$AF$17</f>
        <v>552000</v>
      </c>
      <c r="AG37" s="21">
        <f>$A$36*$AG$17</f>
        <v>330000</v>
      </c>
      <c r="AH37" s="26">
        <f>AC37+AD37+AE37+AF37+AG37</f>
        <v>3535229.96</v>
      </c>
      <c r="AI37" s="21"/>
      <c r="AJ37" s="17"/>
      <c r="AK37" s="7">
        <f>AH37-X37</f>
        <v>168449.95999999996</v>
      </c>
      <c r="AM37" s="18">
        <f>AH37/X37-1</f>
        <v>5.0032957306387793E-2</v>
      </c>
    </row>
    <row r="38" spans="1:39" x14ac:dyDescent="0.2">
      <c r="C38" s="13">
        <v>0.7</v>
      </c>
      <c r="E38" s="1">
        <f>C38*($A$36*730)</f>
        <v>102200000</v>
      </c>
      <c r="F38" s="1"/>
      <c r="G38" s="30">
        <f t="shared" si="0"/>
        <v>4253292</v>
      </c>
      <c r="H38" s="30">
        <f>+AH38</f>
        <v>4440721.96</v>
      </c>
      <c r="I38" s="30">
        <f>+H38-G38</f>
        <v>187429.95999999996</v>
      </c>
      <c r="J38" s="56">
        <f>ROUND(+I38/G38,4)</f>
        <v>4.41E-2</v>
      </c>
      <c r="K38" s="30">
        <f>ROUND($T$10*$E38,2)</f>
        <v>-194614.22</v>
      </c>
      <c r="L38" s="30">
        <f>ROUND($T$11*$E38,2)</f>
        <v>0</v>
      </c>
      <c r="M38" s="30">
        <f>ROUND($T$12*$E38,2)</f>
        <v>159418.75</v>
      </c>
      <c r="N38" s="30">
        <f>+G38+K38+L38+M38</f>
        <v>4218096.5299999993</v>
      </c>
      <c r="O38" s="30">
        <f>+H38+K38+L38+M38</f>
        <v>4405526.49</v>
      </c>
      <c r="P38" s="56">
        <f>ROUND((O38-N38)/N38,4)</f>
        <v>4.4400000000000002E-2</v>
      </c>
      <c r="Q38" s="1"/>
      <c r="S38" s="7">
        <f>$S$20</f>
        <v>1500</v>
      </c>
      <c r="T38" s="21">
        <f>$T$17*E38</f>
        <v>3102792</v>
      </c>
      <c r="U38" s="21">
        <f>$U$17*($A$36*0.5)</f>
        <v>337000</v>
      </c>
      <c r="V38" s="21">
        <f>$V$17*$A$36</f>
        <v>482000</v>
      </c>
      <c r="W38" s="21">
        <f>$W$17*$A$36</f>
        <v>330000</v>
      </c>
      <c r="X38" s="26">
        <f>S38+T38+U38+V38+W38</f>
        <v>4253292</v>
      </c>
      <c r="Y38" s="26"/>
      <c r="Z38" s="21"/>
      <c r="AC38" s="7">
        <f>$AC$20</f>
        <v>1499.96</v>
      </c>
      <c r="AD38" s="21">
        <f>$AD$17*E38</f>
        <v>3169222</v>
      </c>
      <c r="AE38" s="21">
        <f>$AE$17*($A$36*0.5)</f>
        <v>388000</v>
      </c>
      <c r="AF38" s="21">
        <f>$A$36*$AF$17</f>
        <v>552000</v>
      </c>
      <c r="AG38" s="21">
        <f>$A$36*$AG$17</f>
        <v>330000</v>
      </c>
      <c r="AH38" s="26">
        <f>AC38+AD38+AE38+AF38+AG38</f>
        <v>4440721.96</v>
      </c>
      <c r="AI38" s="21"/>
      <c r="AJ38" s="17"/>
      <c r="AK38" s="7">
        <f>AH38-X38</f>
        <v>187429.95999999996</v>
      </c>
      <c r="AM38" s="18">
        <f>AH38/X38-1</f>
        <v>4.4067033253301302E-2</v>
      </c>
    </row>
    <row r="39" spans="1:39" x14ac:dyDescent="0.2">
      <c r="T39" s="21"/>
      <c r="U39" s="21"/>
      <c r="V39" s="21"/>
      <c r="W39" s="21"/>
      <c r="X39" s="21"/>
      <c r="Y39" s="21"/>
      <c r="AE39" s="21"/>
    </row>
    <row r="40" spans="1:39" x14ac:dyDescent="0.2">
      <c r="A40" s="17" t="s">
        <v>313</v>
      </c>
      <c r="M40" s="53"/>
      <c r="T40" s="21"/>
      <c r="U40" s="21"/>
      <c r="V40" s="21"/>
      <c r="W40" s="21"/>
      <c r="X40" s="21"/>
      <c r="Y40" s="21"/>
    </row>
    <row r="41" spans="1:39" x14ac:dyDescent="0.2">
      <c r="A41" s="179" t="str">
        <f>("Average usage = "&amp;TEXT(INPUT!$N$19*1,"0,000")&amp;" kWh per month")</f>
        <v>Average usage = 51,873,999 kWh per month</v>
      </c>
      <c r="T41" s="21"/>
      <c r="U41" s="21"/>
      <c r="V41" s="21"/>
      <c r="W41" s="21"/>
      <c r="X41" s="21"/>
      <c r="Y41" s="21"/>
    </row>
    <row r="42" spans="1:39" x14ac:dyDescent="0.2">
      <c r="A42" s="180" t="s">
        <v>314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2"/>
      <c r="AF42" s="21"/>
      <c r="AG42" s="21"/>
      <c r="AH42" s="21"/>
      <c r="AI42" s="21"/>
      <c r="AJ42" s="21"/>
      <c r="AK42" s="6"/>
    </row>
    <row r="43" spans="1:39" x14ac:dyDescent="0.2">
      <c r="A43" s="181" t="s">
        <v>316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183" t="s">
        <v>252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180" t="str">
        <f>+'Rate Case Constants'!$C$26</f>
        <v>Calculations may vary from other schedules due to rounding</v>
      </c>
      <c r="AE45" s="9"/>
    </row>
    <row r="46" spans="1:39" x14ac:dyDescent="0.2">
      <c r="A46" s="183" t="s">
        <v>253</v>
      </c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2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2:31" x14ac:dyDescent="0.2">
      <c r="B50" s="18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2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2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2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2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2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2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2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2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2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2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2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2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2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2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7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68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10.42578125" customWidth="1"/>
    <col min="2" max="2" width="3.7109375" customWidth="1"/>
    <col min="3" max="3" width="6.5703125" customWidth="1"/>
    <col min="4" max="4" width="1.85546875" customWidth="1"/>
    <col min="5" max="5" width="12" bestFit="1" customWidth="1"/>
    <col min="6" max="6" width="2" customWidth="1"/>
    <col min="7" max="7" width="15.140625" bestFit="1" customWidth="1"/>
    <col min="8" max="8" width="14.7109375" customWidth="1"/>
    <col min="9" max="9" width="13.42578125" bestFit="1" customWidth="1"/>
    <col min="10" max="10" width="9.85546875" customWidth="1"/>
    <col min="11" max="11" width="14.28515625" bestFit="1" customWidth="1"/>
    <col min="12" max="12" width="13.42578125" bestFit="1" customWidth="1"/>
    <col min="13" max="13" width="15.140625" customWidth="1"/>
    <col min="14" max="15" width="15.140625" bestFit="1" customWidth="1"/>
    <col min="16" max="18" width="9.85546875" customWidth="1"/>
    <col min="19" max="19" width="10" customWidth="1"/>
    <col min="20" max="20" width="14.42578125" bestFit="1" customWidth="1"/>
    <col min="21" max="21" width="12.7109375" bestFit="1" customWidth="1"/>
    <col min="22" max="22" width="13.85546875" bestFit="1" customWidth="1"/>
    <col min="23" max="23" width="12.7109375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30" width="14.42578125" bestFit="1" customWidth="1"/>
    <col min="31" max="31" width="12.7109375" bestFit="1" customWidth="1"/>
    <col min="32" max="32" width="13.85546875" bestFit="1" customWidth="1"/>
    <col min="33" max="33" width="12.7109375" bestFit="1" customWidth="1"/>
    <col min="34" max="35" width="14.42578125" bestFit="1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39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39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39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39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10"/>
      <c r="N5" s="210"/>
      <c r="O5" s="210"/>
      <c r="P5" s="210"/>
    </row>
    <row r="6" spans="1:39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210"/>
      <c r="N6" s="210"/>
      <c r="O6" s="210"/>
      <c r="P6" s="210"/>
    </row>
    <row r="7" spans="1:39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0"/>
      <c r="M7" s="210"/>
      <c r="N7" s="210"/>
      <c r="O7" s="210"/>
      <c r="P7" s="214" t="str">
        <f>+'Rate Case Constants'!C25</f>
        <v>SCHEDULE N</v>
      </c>
    </row>
    <row r="8" spans="1:39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10"/>
      <c r="M8" s="210"/>
      <c r="N8" s="210"/>
      <c r="O8" s="210"/>
      <c r="P8" s="208" t="str">
        <f>+'Rate Case Constants'!L21</f>
        <v>PAGE 14 of 24</v>
      </c>
    </row>
    <row r="9" spans="1:3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</row>
    <row r="10" spans="1:39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>
        <f>+INPUT!G64</f>
        <v>-1.9042487752988124E-3</v>
      </c>
    </row>
    <row r="11" spans="1:39" x14ac:dyDescent="0.2">
      <c r="A11" s="126" t="s">
        <v>332</v>
      </c>
      <c r="S11" s="85" t="s">
        <v>73</v>
      </c>
      <c r="T11">
        <f>+INPUT!H64</f>
        <v>0</v>
      </c>
      <c r="V11" s="61" t="s">
        <v>253</v>
      </c>
      <c r="AD11" s="61" t="s">
        <v>253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5" t="s">
        <v>72</v>
      </c>
      <c r="T12">
        <f>+INPUT!I64</f>
        <v>1.5598703888945588E-3</v>
      </c>
    </row>
    <row r="13" spans="1:39" x14ac:dyDescent="0.2">
      <c r="A13" s="44"/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U13" s="3" t="s">
        <v>1</v>
      </c>
      <c r="V13" s="3" t="s">
        <v>1</v>
      </c>
      <c r="W13" s="3" t="s">
        <v>1</v>
      </c>
      <c r="Z13" s="3" t="s">
        <v>72</v>
      </c>
      <c r="AD13" s="21"/>
      <c r="AE13" s="22" t="s">
        <v>9</v>
      </c>
      <c r="AF13" s="22" t="s">
        <v>9</v>
      </c>
      <c r="AG13" s="22" t="s">
        <v>9</v>
      </c>
      <c r="AH13" s="21"/>
      <c r="AI13" s="3" t="s">
        <v>72</v>
      </c>
    </row>
    <row r="14" spans="1:39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3" t="s">
        <v>34</v>
      </c>
      <c r="V14" s="3" t="s">
        <v>30</v>
      </c>
      <c r="W14" s="3" t="s">
        <v>22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2" t="s">
        <v>34</v>
      </c>
      <c r="AF14" s="22" t="s">
        <v>30</v>
      </c>
      <c r="AG14" s="22" t="s">
        <v>22</v>
      </c>
      <c r="AH14" s="22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3" t="s">
        <v>25</v>
      </c>
      <c r="V15" s="3" t="s">
        <v>25</v>
      </c>
      <c r="W15" s="3" t="s">
        <v>18</v>
      </c>
      <c r="X15" s="3" t="s">
        <v>5</v>
      </c>
      <c r="Y15" s="3"/>
      <c r="Z15" s="3" t="s">
        <v>76</v>
      </c>
      <c r="AC15" s="27" t="s">
        <v>55</v>
      </c>
      <c r="AD15" s="3" t="s">
        <v>56</v>
      </c>
      <c r="AE15" s="22" t="s">
        <v>25</v>
      </c>
      <c r="AF15" s="22" t="s">
        <v>25</v>
      </c>
      <c r="AG15" s="22" t="s">
        <v>18</v>
      </c>
      <c r="AH15" s="22" t="s">
        <v>5</v>
      </c>
      <c r="AI15" s="3" t="s">
        <v>76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3" t="s">
        <v>4</v>
      </c>
      <c r="H16" s="3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3" t="s">
        <v>4</v>
      </c>
      <c r="O16" s="3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4</v>
      </c>
      <c r="Y16" s="3"/>
      <c r="Z16" s="3" t="s">
        <v>3</v>
      </c>
      <c r="AC16" s="27" t="s">
        <v>3</v>
      </c>
      <c r="AD16" s="3" t="s">
        <v>3</v>
      </c>
      <c r="AE16" s="22" t="s">
        <v>3</v>
      </c>
      <c r="AF16" s="22" t="s">
        <v>3</v>
      </c>
      <c r="AG16" s="22" t="s">
        <v>3</v>
      </c>
      <c r="AH16" s="22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3"/>
      <c r="H17" s="3"/>
      <c r="I17" s="3" t="s">
        <v>69</v>
      </c>
      <c r="J17" s="27" t="s">
        <v>70</v>
      </c>
      <c r="K17" s="90"/>
      <c r="L17" s="90"/>
      <c r="M17" s="91"/>
      <c r="N17" s="3" t="s">
        <v>69</v>
      </c>
      <c r="O17" s="3" t="s">
        <v>69</v>
      </c>
      <c r="P17" s="27" t="s">
        <v>70</v>
      </c>
      <c r="Q17" s="3"/>
      <c r="R17" s="3"/>
      <c r="S17" s="27"/>
      <c r="T17" s="42">
        <f>+INPUT!$O$6</f>
        <v>3.1359999999999999E-2</v>
      </c>
      <c r="U17" s="43">
        <f>+INPUT!$O$13</f>
        <v>6.03</v>
      </c>
      <c r="V17" s="43">
        <f>+INPUT!$O$14</f>
        <v>4.5999999999999996</v>
      </c>
      <c r="W17" s="43">
        <f>+INPUT!$O$15</f>
        <v>2.57</v>
      </c>
      <c r="X17" s="3"/>
      <c r="Y17" s="3"/>
      <c r="Z17" s="42"/>
      <c r="AC17" s="27"/>
      <c r="AD17" s="42">
        <f>+INPUT!$O$27</f>
        <v>3.1609999999999999E-2</v>
      </c>
      <c r="AE17" s="43">
        <f>+INPUT!$O$34</f>
        <v>7.4</v>
      </c>
      <c r="AF17" s="43">
        <f>+INPUT!$O$35</f>
        <v>5.8</v>
      </c>
      <c r="AG17" s="43">
        <f>+INPUT!$O$36</f>
        <v>2.68</v>
      </c>
      <c r="AH17" s="22"/>
      <c r="AI17" s="42"/>
      <c r="AK17" s="3"/>
      <c r="AL17" s="3"/>
      <c r="AM17" s="3"/>
    </row>
    <row r="18" spans="1:39" x14ac:dyDescent="0.2">
      <c r="A18" s="16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T18" s="3" t="s">
        <v>14</v>
      </c>
      <c r="U18" s="3" t="s">
        <v>58</v>
      </c>
      <c r="V18" s="3" t="s">
        <v>58</v>
      </c>
      <c r="W18" s="3" t="s">
        <v>58</v>
      </c>
      <c r="X18" s="3"/>
      <c r="Y18" s="3"/>
      <c r="Z18" s="3"/>
      <c r="AC18" s="27"/>
      <c r="AD18" s="3" t="s">
        <v>14</v>
      </c>
      <c r="AE18" s="3" t="s">
        <v>58</v>
      </c>
      <c r="AF18" s="3" t="s">
        <v>58</v>
      </c>
      <c r="AG18" s="3" t="s">
        <v>58</v>
      </c>
      <c r="AH18" s="22"/>
      <c r="AI18" s="3"/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3"/>
      <c r="V19" s="3"/>
      <c r="W19" s="3"/>
      <c r="X19" s="3"/>
      <c r="Y19" s="3"/>
      <c r="AC19" s="27"/>
      <c r="AD19" s="3"/>
      <c r="AE19" s="22"/>
      <c r="AF19" s="22"/>
      <c r="AG19" s="22"/>
      <c r="AH19" s="22"/>
      <c r="AK19" s="3"/>
      <c r="AL19" s="3"/>
      <c r="AM19" s="3"/>
    </row>
    <row r="20" spans="1:39" x14ac:dyDescent="0.2">
      <c r="A20" s="1">
        <v>50000</v>
      </c>
      <c r="B20" s="1"/>
      <c r="C20" s="13">
        <v>0.3</v>
      </c>
      <c r="E20" s="1">
        <f>C20*($A$20*730)</f>
        <v>10950000</v>
      </c>
      <c r="F20" s="1"/>
      <c r="G20" s="30">
        <f>+X20</f>
        <v>852972</v>
      </c>
      <c r="H20" s="30">
        <f>+AH20</f>
        <v>955459.4425</v>
      </c>
      <c r="I20" s="30">
        <f>+H20-G20</f>
        <v>102487.4425</v>
      </c>
      <c r="J20" s="56">
        <f>ROUND(+I20/G20,4)</f>
        <v>0.1202</v>
      </c>
      <c r="K20" s="30">
        <f>ROUND($T$10*$E20,2)</f>
        <v>-20851.52</v>
      </c>
      <c r="L20" s="30">
        <f>ROUND($T$11*$E20,2)</f>
        <v>0</v>
      </c>
      <c r="M20" s="30">
        <f>ROUND($T$12*$E20,2)</f>
        <v>17080.580000000002</v>
      </c>
      <c r="N20" s="30">
        <f>+G20+K20+L20+M20</f>
        <v>849201.05999999994</v>
      </c>
      <c r="O20" s="30">
        <f>+H20+K20+L20+M20</f>
        <v>951688.50249999994</v>
      </c>
      <c r="P20" s="56">
        <f>ROUND((O20-N20)/N20,4)</f>
        <v>0.1207</v>
      </c>
      <c r="Q20" s="1"/>
      <c r="S20" s="7">
        <f>+INPUT!$O$4</f>
        <v>330</v>
      </c>
      <c r="T20" s="21">
        <f>$T$17*E20</f>
        <v>343392</v>
      </c>
      <c r="U20" s="21">
        <f>$U$17*($A$20*0.5)</f>
        <v>150750</v>
      </c>
      <c r="V20" s="21">
        <f>$V$17*$A$20</f>
        <v>229999.99999999997</v>
      </c>
      <c r="W20" s="21">
        <f>$W$17*$A$20</f>
        <v>128499.99999999999</v>
      </c>
      <c r="X20" s="26">
        <f>S20+T20+U20+V20+W20</f>
        <v>852972</v>
      </c>
      <c r="Y20" s="26"/>
      <c r="Z20" s="21"/>
      <c r="AC20" s="7">
        <f>INPUT!$O$25</f>
        <v>329.9425</v>
      </c>
      <c r="AD20" s="21">
        <f>$AD$17*E20</f>
        <v>346129.5</v>
      </c>
      <c r="AE20" s="21">
        <f>$AE$17*($A$20*0.5)</f>
        <v>185000</v>
      </c>
      <c r="AF20" s="21">
        <f>$A$20*$AF$17</f>
        <v>290000</v>
      </c>
      <c r="AG20" s="21">
        <f>$A$20*$AG$17</f>
        <v>134000</v>
      </c>
      <c r="AH20" s="26">
        <f>AC20+AD20+AE20+AF20+AG20</f>
        <v>955459.4425</v>
      </c>
      <c r="AI20" s="21"/>
      <c r="AJ20" s="17"/>
      <c r="AK20" s="7">
        <f>AH20-X20</f>
        <v>102487.4425</v>
      </c>
      <c r="AM20" s="18">
        <f>AH20/X20-1</f>
        <v>0.12015334911345277</v>
      </c>
    </row>
    <row r="21" spans="1:39" x14ac:dyDescent="0.2">
      <c r="C21" s="13">
        <v>0.5</v>
      </c>
      <c r="E21" s="1">
        <f>C21*($A$20*730)</f>
        <v>18250000</v>
      </c>
      <c r="F21" s="1"/>
      <c r="G21" s="30">
        <f t="shared" ref="G21:G38" si="0">+X21</f>
        <v>1081900</v>
      </c>
      <c r="H21" s="30">
        <f>+AH21</f>
        <v>1186212.4424999999</v>
      </c>
      <c r="I21" s="30">
        <f>+H21-G21</f>
        <v>104312.44249999989</v>
      </c>
      <c r="J21" s="56">
        <f>ROUND(+I21/G21,4)</f>
        <v>9.64E-2</v>
      </c>
      <c r="K21" s="30">
        <f>ROUND($T$10*$E21,2)</f>
        <v>-34752.54</v>
      </c>
      <c r="L21" s="30">
        <f>ROUND($T$11*$E21,2)</f>
        <v>0</v>
      </c>
      <c r="M21" s="30">
        <f>ROUND($T$12*$E21,2)</f>
        <v>28467.63</v>
      </c>
      <c r="N21" s="30">
        <f>+G21+K21+L21+M21</f>
        <v>1075615.0899999999</v>
      </c>
      <c r="O21" s="30">
        <f>+H21+K21+L21+M21</f>
        <v>1179927.5324999997</v>
      </c>
      <c r="P21" s="93">
        <f>ROUND((O21-N21)/N21,4)</f>
        <v>9.7000000000000003E-2</v>
      </c>
      <c r="Q21" s="1"/>
      <c r="S21" s="7">
        <f>$S$20</f>
        <v>330</v>
      </c>
      <c r="T21" s="21">
        <f>$T$17*E21</f>
        <v>572320</v>
      </c>
      <c r="U21" s="21">
        <f>$U$17*($A$20*0.5)</f>
        <v>150750</v>
      </c>
      <c r="V21" s="21">
        <f>$V$17*$A$20</f>
        <v>229999.99999999997</v>
      </c>
      <c r="W21" s="21">
        <f>$W$17*$A$20</f>
        <v>128499.99999999999</v>
      </c>
      <c r="X21" s="26">
        <f>S21+T21+U21+V21+W21</f>
        <v>1081900</v>
      </c>
      <c r="Y21" s="26"/>
      <c r="Z21" s="21"/>
      <c r="AC21" s="7">
        <f>$AC$20</f>
        <v>329.9425</v>
      </c>
      <c r="AD21" s="21">
        <f>$AD$17*E21</f>
        <v>576882.5</v>
      </c>
      <c r="AE21" s="21">
        <f>$AE$17*($A$20*0.5)</f>
        <v>185000</v>
      </c>
      <c r="AF21" s="21">
        <f>$A$20*$AF$17</f>
        <v>290000</v>
      </c>
      <c r="AG21" s="21">
        <f>$A$20*$AG$17</f>
        <v>134000</v>
      </c>
      <c r="AH21" s="26">
        <f>AC21+AD21+AE21+AF21+AG21</f>
        <v>1186212.4424999999</v>
      </c>
      <c r="AI21" s="21"/>
      <c r="AJ21" s="17"/>
      <c r="AK21" s="7">
        <f>AH21-X21</f>
        <v>104312.44249999989</v>
      </c>
      <c r="AM21" s="18">
        <f>AH21/X21-1</f>
        <v>9.6415974212034294E-2</v>
      </c>
    </row>
    <row r="22" spans="1:39" x14ac:dyDescent="0.2">
      <c r="C22" s="13">
        <v>0.7</v>
      </c>
      <c r="E22" s="1">
        <f>C22*($A$20*730)</f>
        <v>25550000</v>
      </c>
      <c r="F22" s="1"/>
      <c r="G22" s="30">
        <f t="shared" si="0"/>
        <v>1310828</v>
      </c>
      <c r="H22" s="30">
        <f>+AH22</f>
        <v>1416965.4424999999</v>
      </c>
      <c r="I22" s="30">
        <f>+H22-G22</f>
        <v>106137.44249999989</v>
      </c>
      <c r="J22" s="56">
        <f>ROUND(+I22/G22,4)</f>
        <v>8.1000000000000003E-2</v>
      </c>
      <c r="K22" s="30">
        <f>ROUND($T$10*$E22,2)</f>
        <v>-48653.56</v>
      </c>
      <c r="L22" s="30">
        <f>ROUND($T$11*$E22,2)</f>
        <v>0</v>
      </c>
      <c r="M22" s="30">
        <f>ROUND($T$12*$E22,2)</f>
        <v>39854.69</v>
      </c>
      <c r="N22" s="30">
        <f>+G22+K22+L22+M22</f>
        <v>1302029.1299999999</v>
      </c>
      <c r="O22" s="30">
        <f>+H22+K22+L22+M22</f>
        <v>1408166.5724999998</v>
      </c>
      <c r="P22" s="56">
        <f>ROUND((O22-N22)/N22,4)</f>
        <v>8.1500000000000003E-2</v>
      </c>
      <c r="Q22" s="1"/>
      <c r="S22" s="7">
        <f>$S$20</f>
        <v>330</v>
      </c>
      <c r="T22" s="21">
        <f>$T$17*E22</f>
        <v>801248</v>
      </c>
      <c r="U22" s="21">
        <f>$U$17*($A$20*0.5)</f>
        <v>150750</v>
      </c>
      <c r="V22" s="21">
        <f>$V$17*$A$20</f>
        <v>229999.99999999997</v>
      </c>
      <c r="W22" s="21">
        <f>$W$17*$A$20</f>
        <v>128499.99999999999</v>
      </c>
      <c r="X22" s="26">
        <f>S22+T22+U22+V22+W22</f>
        <v>1310828</v>
      </c>
      <c r="Y22" s="26"/>
      <c r="Z22" s="21"/>
      <c r="AC22" s="7">
        <f>$AC$20</f>
        <v>329.9425</v>
      </c>
      <c r="AD22" s="21">
        <f>$AD$17*E22</f>
        <v>807635.5</v>
      </c>
      <c r="AE22" s="21">
        <f>$AE$17*($A$20*0.5)</f>
        <v>185000</v>
      </c>
      <c r="AF22" s="21">
        <f>$A$20*$AF$17</f>
        <v>290000</v>
      </c>
      <c r="AG22" s="21">
        <f>$A$20*$AG$17</f>
        <v>134000</v>
      </c>
      <c r="AH22" s="26">
        <f>AC22+AD22+AE22+AF22+AG22</f>
        <v>1416965.4424999999</v>
      </c>
      <c r="AI22" s="21"/>
      <c r="AJ22" s="17"/>
      <c r="AK22" s="7">
        <f>AH22-X22</f>
        <v>106137.44249999989</v>
      </c>
      <c r="AM22" s="18">
        <f>AH22/X22-1</f>
        <v>8.0969770633523064E-2</v>
      </c>
    </row>
    <row r="23" spans="1:39" x14ac:dyDescent="0.2">
      <c r="C23" s="13"/>
      <c r="E23" s="1"/>
      <c r="F23" s="1"/>
      <c r="G23" s="30"/>
      <c r="H23" s="30"/>
      <c r="J23" s="5"/>
      <c r="K23" s="1"/>
      <c r="L23" s="1"/>
      <c r="M23" s="1"/>
      <c r="P23" s="56"/>
      <c r="Q23" s="1"/>
      <c r="S23" s="7"/>
      <c r="T23" s="21"/>
      <c r="U23" s="21"/>
      <c r="V23" s="21"/>
      <c r="W23" s="21"/>
      <c r="X23" s="26"/>
      <c r="Y23" s="26"/>
      <c r="AC23" s="7"/>
      <c r="AD23" s="21"/>
      <c r="AE23" s="21"/>
      <c r="AF23" s="21"/>
      <c r="AG23" s="21"/>
      <c r="AH23" s="26"/>
      <c r="AJ23" s="17"/>
      <c r="AK23" s="6"/>
      <c r="AM23" s="6"/>
    </row>
    <row r="24" spans="1:39" x14ac:dyDescent="0.2">
      <c r="A24" s="1">
        <v>75000</v>
      </c>
      <c r="B24" s="1"/>
      <c r="C24" s="13">
        <v>0.3</v>
      </c>
      <c r="E24" s="1">
        <f>C24*($A$24*730)</f>
        <v>16425000</v>
      </c>
      <c r="F24" s="1"/>
      <c r="G24" s="30">
        <f t="shared" si="0"/>
        <v>1279293</v>
      </c>
      <c r="H24" s="30">
        <f>+AH24</f>
        <v>1433024.1924999999</v>
      </c>
      <c r="I24" s="30">
        <f>+H24-G24</f>
        <v>153731.19249999989</v>
      </c>
      <c r="J24" s="56">
        <f>ROUND(+I24/G24,4)</f>
        <v>0.1202</v>
      </c>
      <c r="K24" s="30">
        <f>ROUND($T$10*$E24,2)</f>
        <v>-31277.29</v>
      </c>
      <c r="L24" s="30">
        <f>ROUND($T$11*$E24,2)</f>
        <v>0</v>
      </c>
      <c r="M24" s="30">
        <f>ROUND($T$12*$E24,2)</f>
        <v>25620.87</v>
      </c>
      <c r="N24" s="30">
        <f>+G24+K24+L24+M24</f>
        <v>1273636.58</v>
      </c>
      <c r="O24" s="30">
        <f>+H24+K24+L24+M24</f>
        <v>1427367.7725</v>
      </c>
      <c r="P24" s="56">
        <f>ROUND((O24-N24)/N24,4)</f>
        <v>0.1207</v>
      </c>
      <c r="Q24" s="1"/>
      <c r="S24" s="7">
        <f>$S$20</f>
        <v>330</v>
      </c>
      <c r="T24" s="21">
        <f>$T$17*E24</f>
        <v>515088</v>
      </c>
      <c r="U24" s="21">
        <f>$U$17*($A$24*0.5)</f>
        <v>226125</v>
      </c>
      <c r="V24" s="21">
        <f>$V$17*$A$24</f>
        <v>345000</v>
      </c>
      <c r="W24" s="21">
        <f>$W$17*$A$24</f>
        <v>192750</v>
      </c>
      <c r="X24" s="26">
        <f>S24+T24+U24+V24+W24</f>
        <v>1279293</v>
      </c>
      <c r="Y24" s="26"/>
      <c r="Z24" s="21"/>
      <c r="AC24" s="7">
        <f>$AC$20</f>
        <v>329.9425</v>
      </c>
      <c r="AD24" s="21">
        <f>$AD$17*E24</f>
        <v>519194.25</v>
      </c>
      <c r="AE24" s="21">
        <f>$AE$17*($A$24*0.5)</f>
        <v>277500</v>
      </c>
      <c r="AF24" s="21">
        <f>$A$24*$AF$17</f>
        <v>435000</v>
      </c>
      <c r="AG24" s="21">
        <f>$A$24*$AG$17</f>
        <v>201000</v>
      </c>
      <c r="AH24" s="26">
        <f>AC24+AD24+AE24+AF24+AG24</f>
        <v>1433024.1924999999</v>
      </c>
      <c r="AI24" s="21"/>
      <c r="AJ24" s="17"/>
      <c r="AK24" s="7">
        <f>AH24-X24</f>
        <v>153731.19249999989</v>
      </c>
      <c r="AL24" s="10"/>
      <c r="AM24" s="18">
        <f>AH24/X24-1</f>
        <v>0.1201688686641762</v>
      </c>
    </row>
    <row r="25" spans="1:39" x14ac:dyDescent="0.2">
      <c r="C25" s="13">
        <v>0.5</v>
      </c>
      <c r="E25" s="1">
        <f>C25*($A$24*730)</f>
        <v>27375000</v>
      </c>
      <c r="F25" s="1"/>
      <c r="G25" s="30">
        <f t="shared" si="0"/>
        <v>1622685</v>
      </c>
      <c r="H25" s="30">
        <f>+AH25</f>
        <v>1779153.6924999999</v>
      </c>
      <c r="I25" s="30">
        <f>+H25-G25</f>
        <v>156468.69249999989</v>
      </c>
      <c r="J25" s="56">
        <f>ROUND(+I25/G25,4)</f>
        <v>9.64E-2</v>
      </c>
      <c r="K25" s="30">
        <f>ROUND($T$10*$E25,2)</f>
        <v>-52128.81</v>
      </c>
      <c r="L25" s="30">
        <f>ROUND($T$11*$E25,2)</f>
        <v>0</v>
      </c>
      <c r="M25" s="30">
        <f>ROUND($T$12*$E25,2)</f>
        <v>42701.45</v>
      </c>
      <c r="N25" s="30">
        <f>+G25+K25+L25+M25</f>
        <v>1613257.64</v>
      </c>
      <c r="O25" s="30">
        <f>+H25+K25+L25+M25</f>
        <v>1769726.3324999998</v>
      </c>
      <c r="P25" s="56">
        <f>ROUND((O25-N25)/N25,4)</f>
        <v>9.7000000000000003E-2</v>
      </c>
      <c r="Q25" s="1"/>
      <c r="S25" s="7">
        <f>$S$20</f>
        <v>330</v>
      </c>
      <c r="T25" s="21">
        <f>$T$17*E25</f>
        <v>858480</v>
      </c>
      <c r="U25" s="21">
        <f>$U$17*($A$24*0.5)</f>
        <v>226125</v>
      </c>
      <c r="V25" s="21">
        <f>$V$17*$A$24</f>
        <v>345000</v>
      </c>
      <c r="W25" s="21">
        <f>$W$17*$A$24</f>
        <v>192750</v>
      </c>
      <c r="X25" s="26">
        <f>S25+T25+U25+V25+W25</f>
        <v>1622685</v>
      </c>
      <c r="Y25" s="26"/>
      <c r="Z25" s="21"/>
      <c r="AC25" s="7">
        <f>$AC$20</f>
        <v>329.9425</v>
      </c>
      <c r="AD25" s="21">
        <f>$AD$17*E25</f>
        <v>865323.75</v>
      </c>
      <c r="AE25" s="21">
        <f>$AE$17*($A$24*0.5)</f>
        <v>277500</v>
      </c>
      <c r="AF25" s="21">
        <f>$A$24*$AF$17</f>
        <v>435000</v>
      </c>
      <c r="AG25" s="21">
        <f>$A$24*$AG$17</f>
        <v>201000</v>
      </c>
      <c r="AH25" s="26">
        <f>AC25+AD25+AE25+AF25+AG25</f>
        <v>1779153.6924999999</v>
      </c>
      <c r="AI25" s="21"/>
      <c r="AJ25" s="17"/>
      <c r="AK25" s="7">
        <f>AH25-X25</f>
        <v>156468.69249999989</v>
      </c>
      <c r="AL25" s="10"/>
      <c r="AM25" s="18">
        <f>AH25/X25-1</f>
        <v>9.6425795826053706E-2</v>
      </c>
    </row>
    <row r="26" spans="1:39" x14ac:dyDescent="0.2">
      <c r="C26" s="13">
        <v>0.7</v>
      </c>
      <c r="E26" s="1">
        <f>C26*($A$24*730)</f>
        <v>38325000</v>
      </c>
      <c r="F26" s="1"/>
      <c r="G26" s="30">
        <f t="shared" si="0"/>
        <v>1966077</v>
      </c>
      <c r="H26" s="30">
        <f>+AH26</f>
        <v>2125283.1924999999</v>
      </c>
      <c r="I26" s="30">
        <f>+H26-G26</f>
        <v>159206.19249999989</v>
      </c>
      <c r="J26" s="56">
        <f>ROUND(+I26/G26,4)</f>
        <v>8.1000000000000003E-2</v>
      </c>
      <c r="K26" s="30">
        <f>ROUND($T$10*$E26,2)</f>
        <v>-72980.33</v>
      </c>
      <c r="L26" s="30">
        <f>ROUND($T$11*$E26,2)</f>
        <v>0</v>
      </c>
      <c r="M26" s="30">
        <f>ROUND($T$12*$E26,2)</f>
        <v>59782.03</v>
      </c>
      <c r="N26" s="30">
        <f>+G26+K26+L26+M26</f>
        <v>1952878.7</v>
      </c>
      <c r="O26" s="30">
        <f>+H26+K26+L26+M26</f>
        <v>2112084.8924999996</v>
      </c>
      <c r="P26" s="56">
        <f>ROUND((O26-N26)/N26,4)</f>
        <v>8.1500000000000003E-2</v>
      </c>
      <c r="Q26" s="1"/>
      <c r="S26" s="7">
        <f>$S$20</f>
        <v>330</v>
      </c>
      <c r="T26" s="21">
        <f>$T$17*E26</f>
        <v>1201872</v>
      </c>
      <c r="U26" s="21">
        <f>$U$17*($A$24*0.5)</f>
        <v>226125</v>
      </c>
      <c r="V26" s="21">
        <f>$V$17*$A$24</f>
        <v>345000</v>
      </c>
      <c r="W26" s="21">
        <f>$W$17*$A$24</f>
        <v>192750</v>
      </c>
      <c r="X26" s="26">
        <f>S26+T26+U26+V26+W26</f>
        <v>1966077</v>
      </c>
      <c r="Y26" s="26"/>
      <c r="Z26" s="21"/>
      <c r="AC26" s="7">
        <f>$AC$20</f>
        <v>329.9425</v>
      </c>
      <c r="AD26" s="21">
        <f>$AD$17*E26</f>
        <v>1211453.25</v>
      </c>
      <c r="AE26" s="21">
        <f>$AE$17*($A$24*0.5)</f>
        <v>277500</v>
      </c>
      <c r="AF26" s="21">
        <f>$A$24*$AF$17</f>
        <v>435000</v>
      </c>
      <c r="AG26" s="21">
        <f>$A$24*$AG$17</f>
        <v>201000</v>
      </c>
      <c r="AH26" s="26">
        <f>AC26+AD26+AE26+AF26+AG26</f>
        <v>2125283.1924999999</v>
      </c>
      <c r="AI26" s="21"/>
      <c r="AJ26" s="17"/>
      <c r="AK26" s="7">
        <f>AH26-X26</f>
        <v>159206.19249999989</v>
      </c>
      <c r="AM26" s="18">
        <f>AH26/X26-1</f>
        <v>8.0976580520498276E-2</v>
      </c>
    </row>
    <row r="27" spans="1:39" x14ac:dyDescent="0.2">
      <c r="C27" s="13"/>
      <c r="E27" s="1"/>
      <c r="F27" s="1"/>
      <c r="G27" s="30"/>
      <c r="H27" s="30"/>
      <c r="J27" s="5"/>
      <c r="K27" s="1"/>
      <c r="L27" s="1"/>
      <c r="M27" s="1"/>
      <c r="P27" s="56"/>
      <c r="Q27" s="1"/>
      <c r="S27" s="7"/>
      <c r="T27" s="21"/>
      <c r="U27" s="21"/>
      <c r="V27" s="21"/>
      <c r="W27" s="21"/>
      <c r="X27" s="26"/>
      <c r="Y27" s="26"/>
      <c r="AC27" s="7"/>
      <c r="AD27" s="21"/>
      <c r="AE27" s="21"/>
      <c r="AF27" s="21"/>
      <c r="AG27" s="21"/>
      <c r="AH27" s="26"/>
      <c r="AJ27" s="17"/>
      <c r="AK27" s="6"/>
      <c r="AM27" s="6"/>
    </row>
    <row r="28" spans="1:39" x14ac:dyDescent="0.2">
      <c r="A28" s="1">
        <v>100000</v>
      </c>
      <c r="B28" s="1"/>
      <c r="C28" s="13">
        <v>0.3</v>
      </c>
      <c r="E28" s="1">
        <f>C28*($A$28*730)</f>
        <v>21900000</v>
      </c>
      <c r="F28" s="1"/>
      <c r="G28" s="30">
        <f t="shared" si="0"/>
        <v>1705614</v>
      </c>
      <c r="H28" s="30">
        <f>+AH28</f>
        <v>1910588.9424999999</v>
      </c>
      <c r="I28" s="30">
        <f>+H28-G28</f>
        <v>204974.94249999989</v>
      </c>
      <c r="J28" s="56">
        <f>ROUND(+I28/G28,4)</f>
        <v>0.1202</v>
      </c>
      <c r="K28" s="30">
        <f>ROUND($T$10*$E28,2)</f>
        <v>-41703.050000000003</v>
      </c>
      <c r="L28" s="30">
        <f>ROUND($T$11*$E28,2)</f>
        <v>0</v>
      </c>
      <c r="M28" s="30">
        <f>ROUND($T$12*$E28,2)</f>
        <v>34161.160000000003</v>
      </c>
      <c r="N28" s="30">
        <f>+G28+K28+L28+M28</f>
        <v>1698072.1099999999</v>
      </c>
      <c r="O28" s="30">
        <f>+H28+K28+L28+M28</f>
        <v>1903047.0524999998</v>
      </c>
      <c r="P28" s="56">
        <f>ROUND((O28-N28)/N28,4)</f>
        <v>0.1207</v>
      </c>
      <c r="Q28" s="1"/>
      <c r="S28" s="7">
        <f>$S$20</f>
        <v>330</v>
      </c>
      <c r="T28" s="21">
        <f>$T$17*E28</f>
        <v>686784</v>
      </c>
      <c r="U28" s="21">
        <f>$U$17*($A$28*0.5)</f>
        <v>301500</v>
      </c>
      <c r="V28" s="21">
        <f>$V$17*$A$28</f>
        <v>459999.99999999994</v>
      </c>
      <c r="W28" s="21">
        <f>$W$17*$A$28</f>
        <v>256999.99999999997</v>
      </c>
      <c r="X28" s="26">
        <f>S28+T28+U28+V28+W28</f>
        <v>1705614</v>
      </c>
      <c r="Y28" s="26"/>
      <c r="Z28" s="21"/>
      <c r="AC28" s="7">
        <f>$AC$20</f>
        <v>329.9425</v>
      </c>
      <c r="AD28" s="21">
        <f>$AD$17*E28</f>
        <v>692259</v>
      </c>
      <c r="AE28" s="21">
        <f>$AE$17*($A$28*0.5)</f>
        <v>370000</v>
      </c>
      <c r="AF28" s="21">
        <f>$A$28*$AF$17</f>
        <v>580000</v>
      </c>
      <c r="AG28" s="21">
        <f>$A$28*$AG$17</f>
        <v>268000</v>
      </c>
      <c r="AH28" s="26">
        <f>AC28+AD28+AE28+AF28+AG28</f>
        <v>1910588.9424999999</v>
      </c>
      <c r="AI28" s="21"/>
      <c r="AJ28" s="17"/>
      <c r="AK28" s="7">
        <f>AH28-X28</f>
        <v>204974.94249999989</v>
      </c>
      <c r="AM28" s="18">
        <f>AH28/X28-1</f>
        <v>0.12017662994088929</v>
      </c>
    </row>
    <row r="29" spans="1:39" x14ac:dyDescent="0.2">
      <c r="C29" s="13">
        <v>0.5</v>
      </c>
      <c r="E29" s="1">
        <f>C29*($A$28*730)</f>
        <v>36500000</v>
      </c>
      <c r="F29" s="1"/>
      <c r="G29" s="30">
        <f t="shared" si="0"/>
        <v>2163470</v>
      </c>
      <c r="H29" s="30">
        <f>+AH29</f>
        <v>2372094.9424999999</v>
      </c>
      <c r="I29" s="30">
        <f>+H29-G29</f>
        <v>208624.94249999989</v>
      </c>
      <c r="J29" s="56">
        <f>ROUND(+I29/G29,4)</f>
        <v>9.64E-2</v>
      </c>
      <c r="K29" s="30">
        <f>ROUND($T$10*$E29,2)</f>
        <v>-69505.08</v>
      </c>
      <c r="L29" s="30">
        <f>ROUND($T$11*$E29,2)</f>
        <v>0</v>
      </c>
      <c r="M29" s="30">
        <f>ROUND($T$12*$E29,2)</f>
        <v>56935.27</v>
      </c>
      <c r="N29" s="30">
        <f>+G29+K29+L29+M29</f>
        <v>2150900.19</v>
      </c>
      <c r="O29" s="30">
        <f>+H29+K29+L29+M29</f>
        <v>2359525.1324999998</v>
      </c>
      <c r="P29" s="56">
        <f>ROUND((O29-N29)/N29,4)</f>
        <v>9.7000000000000003E-2</v>
      </c>
      <c r="Q29" s="1"/>
      <c r="S29" s="7">
        <f>$S$20</f>
        <v>330</v>
      </c>
      <c r="T29" s="21">
        <f>$T$17*E29</f>
        <v>1144640</v>
      </c>
      <c r="U29" s="21">
        <f>$U$17*($A$28*0.5)</f>
        <v>301500</v>
      </c>
      <c r="V29" s="21">
        <f>$V$17*$A$28</f>
        <v>459999.99999999994</v>
      </c>
      <c r="W29" s="21">
        <f>$W$17*$A$28</f>
        <v>256999.99999999997</v>
      </c>
      <c r="X29" s="26">
        <f>S29+T29+U29+V29+W29</f>
        <v>2163470</v>
      </c>
      <c r="Y29" s="26"/>
      <c r="Z29" s="21"/>
      <c r="AC29" s="7">
        <f>$AC$20</f>
        <v>329.9425</v>
      </c>
      <c r="AD29" s="21">
        <f>$AD$17*E29</f>
        <v>1153765</v>
      </c>
      <c r="AE29" s="21">
        <f>$AE$17*($A$28*0.5)</f>
        <v>370000</v>
      </c>
      <c r="AF29" s="21">
        <f>$A$28*$AF$17</f>
        <v>580000</v>
      </c>
      <c r="AG29" s="21">
        <f>$A$28*$AG$17</f>
        <v>268000</v>
      </c>
      <c r="AH29" s="26">
        <f>AC29+AD29+AE29+AF29+AG29</f>
        <v>2372094.9424999999</v>
      </c>
      <c r="AI29" s="21"/>
      <c r="AJ29" s="17"/>
      <c r="AK29" s="7">
        <f>AH29-X29</f>
        <v>208624.94249999989</v>
      </c>
      <c r="AM29" s="18">
        <f>AH29/X29-1</f>
        <v>9.6430707382122227E-2</v>
      </c>
    </row>
    <row r="30" spans="1:39" x14ac:dyDescent="0.2">
      <c r="C30" s="13">
        <v>0.7</v>
      </c>
      <c r="E30" s="1">
        <f>C30*($A$28*730)</f>
        <v>51100000</v>
      </c>
      <c r="F30" s="1"/>
      <c r="G30" s="30">
        <f t="shared" si="0"/>
        <v>2621326</v>
      </c>
      <c r="H30" s="30">
        <f>+AH30</f>
        <v>2833600.9424999999</v>
      </c>
      <c r="I30" s="30">
        <f>+H30-G30</f>
        <v>212274.94249999989</v>
      </c>
      <c r="J30" s="56">
        <f>ROUND(+I30/G30,4)</f>
        <v>8.1000000000000003E-2</v>
      </c>
      <c r="K30" s="30">
        <f>ROUND($T$10*$E30,2)</f>
        <v>-97307.11</v>
      </c>
      <c r="L30" s="30">
        <f>ROUND($T$11*$E30,2)</f>
        <v>0</v>
      </c>
      <c r="M30" s="30">
        <f>ROUND($T$12*$E30,2)</f>
        <v>79709.38</v>
      </c>
      <c r="N30" s="30">
        <f>+G30+K30+L30+M30</f>
        <v>2603728.27</v>
      </c>
      <c r="O30" s="30">
        <f>+H30+K30+L30+M30</f>
        <v>2816003.2124999999</v>
      </c>
      <c r="P30" s="56">
        <f>ROUND((O30-N30)/N30,4)</f>
        <v>8.1500000000000003E-2</v>
      </c>
      <c r="Q30" s="1"/>
      <c r="S30" s="7">
        <f>$S$20</f>
        <v>330</v>
      </c>
      <c r="T30" s="21">
        <f>$T$17*E30</f>
        <v>1602496</v>
      </c>
      <c r="U30" s="21">
        <f>$U$17*($A$28*0.5)</f>
        <v>301500</v>
      </c>
      <c r="V30" s="21">
        <f>$V$17*$A$28</f>
        <v>459999.99999999994</v>
      </c>
      <c r="W30" s="21">
        <f>$W$17*$A$28</f>
        <v>256999.99999999997</v>
      </c>
      <c r="X30" s="26">
        <f>S30+T30+U30+V30+W30</f>
        <v>2621326</v>
      </c>
      <c r="Y30" s="26"/>
      <c r="Z30" s="21"/>
      <c r="AC30" s="7">
        <f>$AC$20</f>
        <v>329.9425</v>
      </c>
      <c r="AD30" s="21">
        <f>$AD$17*E30</f>
        <v>1615271</v>
      </c>
      <c r="AE30" s="21">
        <f>$AE$17*($A$28*0.5)</f>
        <v>370000</v>
      </c>
      <c r="AF30" s="21">
        <f>$A$28*$AF$17</f>
        <v>580000</v>
      </c>
      <c r="AG30" s="21">
        <f>$A$28*$AG$17</f>
        <v>268000</v>
      </c>
      <c r="AH30" s="26">
        <f>AC30+AD30+AE30+AF30+AG30</f>
        <v>2833600.9424999999</v>
      </c>
      <c r="AI30" s="21"/>
      <c r="AJ30" s="17"/>
      <c r="AK30" s="7">
        <f>AH30-X30</f>
        <v>212274.94249999989</v>
      </c>
      <c r="AM30" s="18">
        <f>AH30/X30-1</f>
        <v>8.0979985892635886E-2</v>
      </c>
    </row>
    <row r="31" spans="1:39" x14ac:dyDescent="0.2">
      <c r="C31" s="13"/>
      <c r="E31" s="1"/>
      <c r="F31" s="1"/>
      <c r="G31" s="30"/>
      <c r="H31" s="30"/>
      <c r="J31" s="5"/>
      <c r="K31" s="1"/>
      <c r="L31" s="1"/>
      <c r="M31" s="1"/>
      <c r="P31" s="56"/>
      <c r="Q31" s="1"/>
      <c r="S31" s="7"/>
      <c r="T31" s="21"/>
      <c r="U31" s="21"/>
      <c r="V31" s="21"/>
      <c r="W31" s="21"/>
      <c r="X31" s="26"/>
      <c r="Y31" s="26"/>
      <c r="AC31" s="7"/>
      <c r="AD31" s="21"/>
      <c r="AE31" s="21"/>
      <c r="AF31" s="21"/>
      <c r="AG31" s="21"/>
      <c r="AH31" s="26"/>
      <c r="AJ31" s="17"/>
      <c r="AK31" s="6"/>
      <c r="AM31" s="6"/>
    </row>
    <row r="32" spans="1:39" x14ac:dyDescent="0.2">
      <c r="A32" s="1">
        <v>150000</v>
      </c>
      <c r="B32" s="1"/>
      <c r="C32" s="13">
        <v>0.3</v>
      </c>
      <c r="E32" s="1">
        <f>C32*($A$32*730)</f>
        <v>32850000</v>
      </c>
      <c r="F32" s="1"/>
      <c r="G32" s="30">
        <f t="shared" si="0"/>
        <v>2558256</v>
      </c>
      <c r="H32" s="30">
        <f>+AH32</f>
        <v>2865718.4424999999</v>
      </c>
      <c r="I32" s="30">
        <f>+H32-G32</f>
        <v>307462.44249999989</v>
      </c>
      <c r="J32" s="56">
        <f>ROUND(+I32/G32,4)</f>
        <v>0.1202</v>
      </c>
      <c r="K32" s="30">
        <f>ROUND($T$10*$E32,2)</f>
        <v>-62554.57</v>
      </c>
      <c r="L32" s="30">
        <f>ROUND($T$11*$E32,2)</f>
        <v>0</v>
      </c>
      <c r="M32" s="30">
        <f>ROUND($T$12*$E32,2)</f>
        <v>51241.74</v>
      </c>
      <c r="N32" s="30">
        <f>+G32+K32+L32+M32</f>
        <v>2546943.1700000004</v>
      </c>
      <c r="O32" s="30">
        <f>+H32+K32+L32+M32</f>
        <v>2854405.6125000003</v>
      </c>
      <c r="P32" s="56">
        <f>ROUND((O32-N32)/N32,4)</f>
        <v>0.1207</v>
      </c>
      <c r="Q32" s="1"/>
      <c r="S32" s="7">
        <f>$S$20</f>
        <v>330</v>
      </c>
      <c r="T32" s="21">
        <f>$T$17*E32</f>
        <v>1030176</v>
      </c>
      <c r="U32" s="21">
        <f>$U$17*($A$32*0.5)</f>
        <v>452250</v>
      </c>
      <c r="V32" s="21">
        <f>$V$17*$A$32</f>
        <v>690000</v>
      </c>
      <c r="W32" s="21">
        <f>$W$17*$A$32</f>
        <v>385500</v>
      </c>
      <c r="X32" s="26">
        <f>S32+T32+U32+V32+W32</f>
        <v>2558256</v>
      </c>
      <c r="Y32" s="26"/>
      <c r="Z32" s="21"/>
      <c r="AC32" s="7">
        <f>$AC$20</f>
        <v>329.9425</v>
      </c>
      <c r="AD32" s="21">
        <f>$AD$17*E32</f>
        <v>1038388.5</v>
      </c>
      <c r="AE32" s="21">
        <f>$AE$17*($A$32*0.5)</f>
        <v>555000</v>
      </c>
      <c r="AF32" s="21">
        <f>$A$32*$AF$17</f>
        <v>870000</v>
      </c>
      <c r="AG32" s="21">
        <f>$A$32*$AG$17</f>
        <v>402000</v>
      </c>
      <c r="AH32" s="26">
        <f>AC32+AD32+AE32+AF32+AG32</f>
        <v>2865718.4424999999</v>
      </c>
      <c r="AI32" s="21"/>
      <c r="AJ32" s="17"/>
      <c r="AK32" s="7">
        <f>AH32-X32</f>
        <v>307462.44249999989</v>
      </c>
      <c r="AM32" s="18">
        <f>AH32/X32-1</f>
        <v>0.12018439221876154</v>
      </c>
    </row>
    <row r="33" spans="1:39" x14ac:dyDescent="0.2">
      <c r="C33" s="13">
        <v>0.5</v>
      </c>
      <c r="E33" s="1">
        <f>C33*($A$32*730)</f>
        <v>54750000</v>
      </c>
      <c r="F33" s="1"/>
      <c r="G33" s="30">
        <f t="shared" si="0"/>
        <v>3245040</v>
      </c>
      <c r="H33" s="30">
        <f>+AH33</f>
        <v>3557977.4424999999</v>
      </c>
      <c r="I33" s="30">
        <f>+H33-G33</f>
        <v>312937.44249999989</v>
      </c>
      <c r="J33" s="56">
        <f>ROUND(+I33/G33,4)</f>
        <v>9.64E-2</v>
      </c>
      <c r="K33" s="30">
        <f>ROUND($T$10*$E33,2)</f>
        <v>-104257.62</v>
      </c>
      <c r="L33" s="30">
        <f>ROUND($T$11*$E33,2)</f>
        <v>0</v>
      </c>
      <c r="M33" s="30">
        <f>ROUND($T$12*$E33,2)</f>
        <v>85402.9</v>
      </c>
      <c r="N33" s="30">
        <f>+G33+K33+L33+M33</f>
        <v>3226185.28</v>
      </c>
      <c r="O33" s="30">
        <f>+H33+K33+L33+M33</f>
        <v>3539122.7224999997</v>
      </c>
      <c r="P33" s="56">
        <f>ROUND((O33-N33)/N33,4)</f>
        <v>9.7000000000000003E-2</v>
      </c>
      <c r="Q33" s="1"/>
      <c r="S33" s="7">
        <f>$S$20</f>
        <v>330</v>
      </c>
      <c r="T33" s="21">
        <f>$T$17*E33</f>
        <v>1716960</v>
      </c>
      <c r="U33" s="21">
        <f>$U$17*($A$32*0.5)</f>
        <v>452250</v>
      </c>
      <c r="V33" s="21">
        <f>$V$17*$A$32</f>
        <v>690000</v>
      </c>
      <c r="W33" s="21">
        <f>$W$17*$A$32</f>
        <v>385500</v>
      </c>
      <c r="X33" s="26">
        <f>S33+T33+U33+V33+W33</f>
        <v>3245040</v>
      </c>
      <c r="Y33" s="26"/>
      <c r="Z33" s="21"/>
      <c r="AC33" s="7">
        <f>$AC$20</f>
        <v>329.9425</v>
      </c>
      <c r="AD33" s="21">
        <f>$AD$17*E33</f>
        <v>1730647.5</v>
      </c>
      <c r="AE33" s="21">
        <f>$AE$17*($A$32*0.5)</f>
        <v>555000</v>
      </c>
      <c r="AF33" s="21">
        <f>$A$32*$AF$17</f>
        <v>870000</v>
      </c>
      <c r="AG33" s="21">
        <f>$A$32*$AG$17</f>
        <v>402000</v>
      </c>
      <c r="AH33" s="26">
        <f>AC33+AD33+AE33+AF33+AG33</f>
        <v>3557977.4424999999</v>
      </c>
      <c r="AI33" s="21"/>
      <c r="AJ33" s="17"/>
      <c r="AK33" s="7">
        <f>AH33-X33</f>
        <v>312937.44249999989</v>
      </c>
      <c r="AM33" s="18">
        <f>AH33/X33-1</f>
        <v>9.6435619437664766E-2</v>
      </c>
    </row>
    <row r="34" spans="1:39" x14ac:dyDescent="0.2">
      <c r="C34" s="13">
        <v>0.7</v>
      </c>
      <c r="E34" s="1">
        <f>C34*($A$32*730)</f>
        <v>76650000</v>
      </c>
      <c r="F34" s="1"/>
      <c r="G34" s="30">
        <f t="shared" si="0"/>
        <v>3931824</v>
      </c>
      <c r="H34" s="30">
        <f>+AH34</f>
        <v>4250236.4424999999</v>
      </c>
      <c r="I34" s="30">
        <f>+H34-G34</f>
        <v>318412.44249999989</v>
      </c>
      <c r="J34" s="56">
        <f>ROUND(+I34/G34,4)</f>
        <v>8.1000000000000003E-2</v>
      </c>
      <c r="K34" s="30">
        <f>ROUND($T$10*$E34,2)</f>
        <v>-145960.67000000001</v>
      </c>
      <c r="L34" s="30">
        <f>ROUND($T$11*$E34,2)</f>
        <v>0</v>
      </c>
      <c r="M34" s="30">
        <f>ROUND($T$12*$E34,2)</f>
        <v>119564.07</v>
      </c>
      <c r="N34" s="30">
        <f>+G34+K34+L34+M34</f>
        <v>3905427.4</v>
      </c>
      <c r="O34" s="30">
        <f>+H34+K34+L34+M34</f>
        <v>4223839.8425000003</v>
      </c>
      <c r="P34" s="56">
        <f>ROUND((O34-N34)/N34,4)</f>
        <v>8.1500000000000003E-2</v>
      </c>
      <c r="Q34" s="1"/>
      <c r="S34" s="7">
        <f>$S$20</f>
        <v>330</v>
      </c>
      <c r="T34" s="21">
        <f>$T$17*E34</f>
        <v>2403744</v>
      </c>
      <c r="U34" s="21">
        <f>$U$17*($A$32*0.5)</f>
        <v>452250</v>
      </c>
      <c r="V34" s="21">
        <f>$V$17*$A$32</f>
        <v>690000</v>
      </c>
      <c r="W34" s="21">
        <f>$W$17*$A$32</f>
        <v>385500</v>
      </c>
      <c r="X34" s="26">
        <f>S34+T34+U34+V34+W34</f>
        <v>3931824</v>
      </c>
      <c r="Y34" s="26"/>
      <c r="Z34" s="21"/>
      <c r="AC34" s="7">
        <f>$AC$20</f>
        <v>329.9425</v>
      </c>
      <c r="AD34" s="21">
        <f>$AD$17*E34</f>
        <v>2422906.5</v>
      </c>
      <c r="AE34" s="21">
        <f>$AE$17*($A$32*0.5)</f>
        <v>555000</v>
      </c>
      <c r="AF34" s="21">
        <f>$A$32*$AF$17</f>
        <v>870000</v>
      </c>
      <c r="AG34" s="21">
        <f>$A$32*$AG$17</f>
        <v>402000</v>
      </c>
      <c r="AH34" s="26">
        <f>AC34+AD34+AE34+AF34+AG34</f>
        <v>4250236.4424999999</v>
      </c>
      <c r="AI34" s="21"/>
      <c r="AJ34" s="17"/>
      <c r="AK34" s="7">
        <f>AH34-X34</f>
        <v>318412.44249999989</v>
      </c>
      <c r="AM34" s="18">
        <f>AH34/X34-1</f>
        <v>8.0983391550588202E-2</v>
      </c>
    </row>
    <row r="35" spans="1:39" x14ac:dyDescent="0.2">
      <c r="C35" s="13"/>
      <c r="E35" s="1"/>
      <c r="F35" s="1"/>
      <c r="G35" s="30"/>
      <c r="H35" s="30"/>
      <c r="J35" s="5"/>
      <c r="K35" s="1"/>
      <c r="L35" s="1"/>
      <c r="M35" s="1"/>
      <c r="P35" s="56"/>
      <c r="Q35" s="1"/>
      <c r="S35" s="7"/>
      <c r="T35" s="21"/>
      <c r="U35" s="21"/>
      <c r="V35" s="21"/>
      <c r="W35" s="21"/>
      <c r="X35" s="26"/>
      <c r="Y35" s="26"/>
      <c r="AC35" s="7"/>
      <c r="AD35" s="21"/>
      <c r="AE35" s="21"/>
      <c r="AF35" s="21"/>
      <c r="AG35" s="21"/>
      <c r="AH35" s="26"/>
      <c r="AJ35" s="17"/>
      <c r="AK35" s="6"/>
      <c r="AM35" s="6"/>
    </row>
    <row r="36" spans="1:39" x14ac:dyDescent="0.2">
      <c r="A36" s="1">
        <v>200000</v>
      </c>
      <c r="B36" s="1"/>
      <c r="C36" s="13">
        <v>0.3</v>
      </c>
      <c r="E36" s="1">
        <f>C36*($A$36*730)</f>
        <v>43800000</v>
      </c>
      <c r="F36" s="1"/>
      <c r="G36" s="30">
        <f t="shared" si="0"/>
        <v>3410898</v>
      </c>
      <c r="H36" s="30">
        <f>+AH36</f>
        <v>3820847.9424999999</v>
      </c>
      <c r="I36" s="30">
        <f>+H36-G36</f>
        <v>409949.94249999989</v>
      </c>
      <c r="J36" s="56">
        <f>ROUND(+I36/G36,4)</f>
        <v>0.1202</v>
      </c>
      <c r="K36" s="30">
        <f>ROUND($T$10*$E36,2)</f>
        <v>-83406.100000000006</v>
      </c>
      <c r="L36" s="30">
        <f>ROUND($T$11*$E36,2)</f>
        <v>0</v>
      </c>
      <c r="M36" s="30">
        <f>ROUND($T$12*$E36,2)</f>
        <v>68322.320000000007</v>
      </c>
      <c r="N36" s="30">
        <f>+G36+K36+L36+M36</f>
        <v>3395814.2199999997</v>
      </c>
      <c r="O36" s="30">
        <f>+H36+K36+L36+M36</f>
        <v>3805764.1624999996</v>
      </c>
      <c r="P36" s="56">
        <f>ROUND((O36-N36)/N36,4)</f>
        <v>0.1207</v>
      </c>
      <c r="Q36" s="1"/>
      <c r="S36" s="7">
        <f>$S$20</f>
        <v>330</v>
      </c>
      <c r="T36" s="21">
        <f>$T$17*E36</f>
        <v>1373568</v>
      </c>
      <c r="U36" s="21">
        <f>$U$17*($A$36*0.5)</f>
        <v>603000</v>
      </c>
      <c r="V36" s="21">
        <f>$V$17*$A$36</f>
        <v>919999.99999999988</v>
      </c>
      <c r="W36" s="21">
        <f>$W$17*$A$36</f>
        <v>513999.99999999994</v>
      </c>
      <c r="X36" s="26">
        <f>S36+T36+U36+V36+W36</f>
        <v>3410898</v>
      </c>
      <c r="Y36" s="26"/>
      <c r="Z36" s="21"/>
      <c r="AC36" s="7">
        <f>$AC$20</f>
        <v>329.9425</v>
      </c>
      <c r="AD36" s="21">
        <f>$AD$17*E36</f>
        <v>1384518</v>
      </c>
      <c r="AE36" s="21">
        <f>$AE$17*($A$36*0.5)</f>
        <v>740000</v>
      </c>
      <c r="AF36" s="21">
        <f>$A$36*$AF$17</f>
        <v>1160000</v>
      </c>
      <c r="AG36" s="21">
        <f>$A$36*$AG$17</f>
        <v>536000</v>
      </c>
      <c r="AH36" s="26">
        <f>AC36+AD36+AE36+AF36+AG36</f>
        <v>3820847.9424999999</v>
      </c>
      <c r="AI36" s="21"/>
      <c r="AJ36" s="17"/>
      <c r="AK36" s="7">
        <f>AH36-X36</f>
        <v>409949.94249999989</v>
      </c>
      <c r="AM36" s="18">
        <f>AH36/X36-1</f>
        <v>0.12018827373319274</v>
      </c>
    </row>
    <row r="37" spans="1:39" x14ac:dyDescent="0.2">
      <c r="C37" s="13">
        <v>0.5</v>
      </c>
      <c r="E37" s="1">
        <f>C37*($A$36*730)</f>
        <v>73000000</v>
      </c>
      <c r="F37" s="1"/>
      <c r="G37" s="30">
        <f t="shared" si="0"/>
        <v>4326610</v>
      </c>
      <c r="H37" s="30">
        <f>+AH37</f>
        <v>4743859.9424999999</v>
      </c>
      <c r="I37" s="30">
        <f>+H37-G37</f>
        <v>417249.94249999989</v>
      </c>
      <c r="J37" s="56">
        <f>ROUND(+I37/G37,4)</f>
        <v>9.64E-2</v>
      </c>
      <c r="K37" s="30">
        <f>ROUND($T$10*$E37,2)</f>
        <v>-139010.16</v>
      </c>
      <c r="L37" s="30">
        <f>ROUND($T$11*$E37,2)</f>
        <v>0</v>
      </c>
      <c r="M37" s="30">
        <f>ROUND($T$12*$E37,2)</f>
        <v>113870.54</v>
      </c>
      <c r="N37" s="30">
        <f>+G37+K37+L37+M37</f>
        <v>4301470.38</v>
      </c>
      <c r="O37" s="30">
        <f>+H37+K37+L37+M37</f>
        <v>4718720.3224999998</v>
      </c>
      <c r="P37" s="56">
        <f>ROUND((O37-N37)/N37,4)</f>
        <v>9.7000000000000003E-2</v>
      </c>
      <c r="Q37" s="1"/>
      <c r="S37" s="7">
        <f>$S$20</f>
        <v>330</v>
      </c>
      <c r="T37" s="21">
        <f>$T$17*E37</f>
        <v>2289280</v>
      </c>
      <c r="U37" s="21">
        <f>$U$17*($A$36*0.5)</f>
        <v>603000</v>
      </c>
      <c r="V37" s="21">
        <f>$V$17*$A$36</f>
        <v>919999.99999999988</v>
      </c>
      <c r="W37" s="21">
        <f>$W$17*$A$36</f>
        <v>513999.99999999994</v>
      </c>
      <c r="X37" s="26">
        <f>S37+T37+U37+V37+W37</f>
        <v>4326610</v>
      </c>
      <c r="Y37" s="26"/>
      <c r="Z37" s="21"/>
      <c r="AC37" s="7">
        <f>$AC$20</f>
        <v>329.9425</v>
      </c>
      <c r="AD37" s="21">
        <f>$AD$17*E37</f>
        <v>2307530</v>
      </c>
      <c r="AE37" s="21">
        <f>$AE$17*($A$36*0.5)</f>
        <v>740000</v>
      </c>
      <c r="AF37" s="21">
        <f>$A$36*$AF$17</f>
        <v>1160000</v>
      </c>
      <c r="AG37" s="21">
        <f>$A$36*$AG$17</f>
        <v>536000</v>
      </c>
      <c r="AH37" s="26">
        <f>AC37+AD37+AE37+AF37+AG37</f>
        <v>4743859.9424999999</v>
      </c>
      <c r="AI37" s="21"/>
      <c r="AJ37" s="17"/>
      <c r="AK37" s="7">
        <f>AH37-X37</f>
        <v>417249.94249999989</v>
      </c>
      <c r="AM37" s="18">
        <f>AH37/X37-1</f>
        <v>9.6438075652762745E-2</v>
      </c>
    </row>
    <row r="38" spans="1:39" x14ac:dyDescent="0.2">
      <c r="C38" s="13">
        <v>0.7</v>
      </c>
      <c r="E38" s="1">
        <f>C38*($A$36*730)</f>
        <v>102200000</v>
      </c>
      <c r="F38" s="1"/>
      <c r="G38" s="30">
        <f t="shared" si="0"/>
        <v>5242322</v>
      </c>
      <c r="H38" s="30">
        <f>+AH38</f>
        <v>5666871.9424999999</v>
      </c>
      <c r="I38" s="30">
        <f>+H38-G38</f>
        <v>424549.94249999989</v>
      </c>
      <c r="J38" s="56">
        <f>ROUND(+I38/G38,4)</f>
        <v>8.1000000000000003E-2</v>
      </c>
      <c r="K38" s="30">
        <f>ROUND($T$10*$E38,2)</f>
        <v>-194614.22</v>
      </c>
      <c r="L38" s="30">
        <f>ROUND($T$11*$E38,2)</f>
        <v>0</v>
      </c>
      <c r="M38" s="30">
        <f>ROUND($T$12*$E38,2)</f>
        <v>159418.75</v>
      </c>
      <c r="N38" s="30">
        <f>+G38+K38+L38+M38</f>
        <v>5207126.53</v>
      </c>
      <c r="O38" s="30">
        <f>+H38+K38+L38+M38</f>
        <v>5631676.4725000001</v>
      </c>
      <c r="P38" s="56">
        <f>ROUND((O38-N38)/N38,4)</f>
        <v>8.1500000000000003E-2</v>
      </c>
      <c r="Q38" s="1"/>
      <c r="S38" s="7">
        <f>$S$20</f>
        <v>330</v>
      </c>
      <c r="T38" s="21">
        <f>$T$17*E38</f>
        <v>3204992</v>
      </c>
      <c r="U38" s="21">
        <f>$U$17*($A$36*0.5)</f>
        <v>603000</v>
      </c>
      <c r="V38" s="21">
        <f>$V$17*$A$36</f>
        <v>919999.99999999988</v>
      </c>
      <c r="W38" s="21">
        <f>$W$17*$A$36</f>
        <v>513999.99999999994</v>
      </c>
      <c r="X38" s="26">
        <f>S38+T38+U38+V38+W38</f>
        <v>5242322</v>
      </c>
      <c r="Y38" s="26"/>
      <c r="Z38" s="21"/>
      <c r="AC38" s="7">
        <f>$AC$20</f>
        <v>329.9425</v>
      </c>
      <c r="AD38" s="21">
        <f>$AD$17*E38</f>
        <v>3230542</v>
      </c>
      <c r="AE38" s="21">
        <f>$AE$17*($A$36*0.5)</f>
        <v>740000</v>
      </c>
      <c r="AF38" s="21">
        <f>$A$36*$AF$17</f>
        <v>1160000</v>
      </c>
      <c r="AG38" s="21">
        <f>$A$36*$AG$17</f>
        <v>536000</v>
      </c>
      <c r="AH38" s="26">
        <f>AC38+AD38+AE38+AF38+AG38</f>
        <v>5666871.9424999999</v>
      </c>
      <c r="AI38" s="21"/>
      <c r="AJ38" s="17"/>
      <c r="AK38" s="7">
        <f>AH38-X38</f>
        <v>424549.94249999989</v>
      </c>
      <c r="AM38" s="18">
        <f>AH38/X38-1</f>
        <v>8.098509448675606E-2</v>
      </c>
    </row>
    <row r="39" spans="1:39" x14ac:dyDescent="0.2">
      <c r="T39" s="21"/>
      <c r="U39" s="21"/>
      <c r="V39" s="21"/>
      <c r="W39" s="21"/>
      <c r="X39" s="21"/>
      <c r="Y39" s="21"/>
      <c r="AE39" s="21"/>
    </row>
    <row r="40" spans="1:39" x14ac:dyDescent="0.2">
      <c r="A40" s="17" t="s">
        <v>313</v>
      </c>
      <c r="M40" s="53"/>
      <c r="T40" s="21"/>
      <c r="U40" s="21"/>
      <c r="V40" s="21"/>
      <c r="W40" s="21"/>
      <c r="X40" s="21"/>
      <c r="Y40" s="21"/>
    </row>
    <row r="41" spans="1:39" x14ac:dyDescent="0.2">
      <c r="A41" s="179" t="str">
        <f>("Average usage = "&amp;TEXT(INPUT!$O19*1,"0")&amp;" kWh per month")</f>
        <v>Average usage = 0 kWh per month</v>
      </c>
      <c r="G41" s="31" t="s">
        <v>331</v>
      </c>
      <c r="T41" s="21"/>
      <c r="U41" s="21"/>
      <c r="V41" s="21"/>
      <c r="W41" s="21"/>
      <c r="X41" s="21"/>
      <c r="Y41" s="21"/>
    </row>
    <row r="42" spans="1:39" x14ac:dyDescent="0.2">
      <c r="A42" s="180" t="s">
        <v>314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2"/>
      <c r="AF42" s="21"/>
      <c r="AG42" s="21"/>
      <c r="AH42" s="21"/>
      <c r="AI42" s="21"/>
      <c r="AJ42" s="21"/>
      <c r="AK42" s="6"/>
    </row>
    <row r="43" spans="1:39" x14ac:dyDescent="0.2">
      <c r="A43" s="181" t="s">
        <v>316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183" t="s">
        <v>252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2"/>
      <c r="AC44" s="3"/>
      <c r="AE44" s="3"/>
    </row>
    <row r="45" spans="1:39" x14ac:dyDescent="0.2">
      <c r="A45" s="180" t="str">
        <f>+'Rate Case Constants'!$C$26</f>
        <v>Calculations may vary from other schedules due to rounding</v>
      </c>
      <c r="AE45" s="9"/>
    </row>
    <row r="46" spans="1:39" x14ac:dyDescent="0.2">
      <c r="A46" s="183" t="s">
        <v>253</v>
      </c>
      <c r="S46" s="3"/>
      <c r="W46" s="3"/>
      <c r="AA46" s="3"/>
      <c r="AE46" s="9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2"/>
      <c r="AC48" s="3"/>
      <c r="AE48" s="3"/>
    </row>
    <row r="49" spans="2:31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"/>
      <c r="U49" s="3"/>
      <c r="V49" s="3"/>
      <c r="W49" s="3"/>
      <c r="X49" s="3"/>
      <c r="Y49" s="3"/>
    </row>
    <row r="50" spans="2:31" x14ac:dyDescent="0.2">
      <c r="B50" s="18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2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2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C52" s="6"/>
      <c r="AE52" s="9"/>
    </row>
    <row r="53" spans="2:3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2:31" ht="6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B54" s="10"/>
      <c r="AC54" s="6"/>
      <c r="AD54" s="10"/>
      <c r="AE54" s="9"/>
    </row>
    <row r="55" spans="2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2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2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2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2:3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2:31" ht="6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2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2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2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2:3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7"/>
      <c r="T64" s="12"/>
      <c r="W64" s="12"/>
      <c r="X64" s="12"/>
      <c r="Y64" s="12"/>
      <c r="AA64" s="6"/>
      <c r="AC64" s="6"/>
      <c r="AE64" s="9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T66" s="3"/>
      <c r="U66" s="3"/>
      <c r="V66" s="3"/>
      <c r="W66" s="3"/>
      <c r="X66" s="3"/>
      <c r="Y66" s="3"/>
    </row>
    <row r="67" spans="5:35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E67" s="9"/>
    </row>
    <row r="68" spans="5:35" x14ac:dyDescent="0.2">
      <c r="AH68" s="4"/>
      <c r="AI68" s="4"/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75" right="0.75" top="1.5" bottom="0.5" header="1" footer="0.5"/>
  <pageSetup scale="7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V202"/>
  <sheetViews>
    <sheetView view="pageBreakPreview" zoomScale="80" zoomScaleNormal="100" zoomScaleSheetLayoutView="80" workbookViewId="0">
      <selection sqref="A1:K1"/>
    </sheetView>
  </sheetViews>
  <sheetFormatPr defaultColWidth="9.140625" defaultRowHeight="12.75" x14ac:dyDescent="0.2"/>
  <cols>
    <col min="1" max="1" width="50.28515625" style="31" bestFit="1" customWidth="1"/>
    <col min="2" max="2" width="10.85546875" style="41" bestFit="1" customWidth="1"/>
    <col min="3" max="3" width="11" style="31" bestFit="1" customWidth="1"/>
    <col min="4" max="4" width="11.5703125" style="31" bestFit="1" customWidth="1"/>
    <col min="5" max="6" width="10.42578125" style="31" bestFit="1" customWidth="1"/>
    <col min="7" max="7" width="10.85546875" style="31" bestFit="1" customWidth="1"/>
    <col min="8" max="8" width="9.28515625" style="31" bestFit="1" customWidth="1"/>
    <col min="9" max="10" width="9.42578125" style="31" bestFit="1" customWidth="1"/>
    <col min="11" max="11" width="9.28515625" style="31" bestFit="1" customWidth="1"/>
    <col min="12" max="12" width="5.28515625" style="31" customWidth="1"/>
    <col min="13" max="13" width="9.140625" style="31"/>
    <col min="14" max="14" width="9.28515625" style="31" bestFit="1" customWidth="1"/>
    <col min="15" max="15" width="47.85546875" style="97" bestFit="1" customWidth="1"/>
    <col min="16" max="16" width="23.5703125" style="97" bestFit="1" customWidth="1"/>
    <col min="17" max="17" width="13.85546875" style="97" customWidth="1"/>
    <col min="18" max="18" width="11.85546875" style="31" customWidth="1"/>
    <col min="19" max="19" width="12.140625" style="31" customWidth="1"/>
    <col min="20" max="20" width="11.28515625" style="31" bestFit="1" customWidth="1"/>
    <col min="21" max="22" width="9.28515625" style="31" bestFit="1" customWidth="1"/>
    <col min="23" max="23" width="11.85546875" style="31" customWidth="1"/>
    <col min="24" max="16384" width="9.140625" style="31"/>
  </cols>
  <sheetData>
    <row r="1" spans="1:22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46"/>
    </row>
    <row r="2" spans="1:22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46"/>
    </row>
    <row r="3" spans="1:22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47"/>
    </row>
    <row r="4" spans="1:22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46"/>
    </row>
    <row r="5" spans="1:22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22" x14ac:dyDescent="0.2">
      <c r="A6" s="207" t="str">
        <f>+'Rate Case Constants'!C33</f>
        <v>DATA: ____BASE PERIOD__X___FORECASTED PERIOD</v>
      </c>
      <c r="B6" s="207"/>
      <c r="C6" s="207"/>
      <c r="D6" s="207"/>
      <c r="E6" s="207"/>
      <c r="F6" s="207"/>
      <c r="G6" s="207"/>
      <c r="H6" s="207"/>
      <c r="I6" s="207"/>
      <c r="J6" s="207"/>
      <c r="K6" s="214" t="str">
        <f>+'Rate Case Constants'!C25</f>
        <v>SCHEDULE N</v>
      </c>
    </row>
    <row r="7" spans="1:22" x14ac:dyDescent="0.2">
      <c r="A7" s="207" t="str">
        <f>+'Rate Case Constants'!C29</f>
        <v>TYPE OF FILING: __X__ ORIGINAL  _____ UPDATED  _____ REVISED</v>
      </c>
      <c r="B7" s="207"/>
      <c r="C7" s="207"/>
      <c r="D7" s="207"/>
      <c r="E7" s="207"/>
      <c r="F7" s="207"/>
      <c r="G7" s="207"/>
      <c r="H7" s="207"/>
      <c r="I7" s="207"/>
      <c r="J7" s="207"/>
      <c r="K7" s="208" t="str">
        <f>+'Rate Case Constants'!L22</f>
        <v>PAGE 15 of 24</v>
      </c>
    </row>
    <row r="8" spans="1:22" x14ac:dyDescent="0.2">
      <c r="A8" s="207" t="str">
        <f>+'Rate Case Constants'!C34</f>
        <v>WORKPAPER REFERENCE NO(S):________</v>
      </c>
      <c r="B8" s="207"/>
      <c r="C8" s="207"/>
      <c r="D8" s="207"/>
      <c r="E8" s="207"/>
      <c r="F8" s="207"/>
      <c r="G8" s="207"/>
      <c r="H8" s="207"/>
      <c r="I8" s="207"/>
      <c r="J8" s="207"/>
      <c r="K8" s="208" t="str">
        <f>+'Rate Case Constants'!C36</f>
        <v>WITNESS:   R. M. CONROY</v>
      </c>
    </row>
    <row r="9" spans="1:22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8"/>
      <c r="M9" s="31" t="s">
        <v>71</v>
      </c>
      <c r="N9" s="31">
        <f>+INPUT!G65</f>
        <v>-1.8575303135347282E-3</v>
      </c>
    </row>
    <row r="10" spans="1:22" x14ac:dyDescent="0.2">
      <c r="A10" s="126" t="s">
        <v>153</v>
      </c>
    </row>
    <row r="11" spans="1:22" x14ac:dyDescent="0.2">
      <c r="B11" s="3" t="s">
        <v>303</v>
      </c>
      <c r="C11" s="27" t="s">
        <v>304</v>
      </c>
      <c r="D11" s="27" t="s">
        <v>305</v>
      </c>
      <c r="E11" s="3" t="s">
        <v>306</v>
      </c>
      <c r="F11" s="3" t="s">
        <v>307</v>
      </c>
      <c r="G11" s="27" t="s">
        <v>308</v>
      </c>
      <c r="H11" s="3" t="s">
        <v>309</v>
      </c>
      <c r="I11" s="3" t="s">
        <v>310</v>
      </c>
      <c r="J11" s="3" t="s">
        <v>311</v>
      </c>
      <c r="K11" s="3" t="s">
        <v>312</v>
      </c>
    </row>
    <row r="12" spans="1:22" x14ac:dyDescent="0.2">
      <c r="C12" s="200" t="s">
        <v>327</v>
      </c>
      <c r="D12" s="200" t="s">
        <v>327</v>
      </c>
      <c r="I12" s="3" t="s">
        <v>5</v>
      </c>
      <c r="J12" s="3" t="s">
        <v>5</v>
      </c>
    </row>
    <row r="13" spans="1:22" ht="13.5" thickBot="1" x14ac:dyDescent="0.25">
      <c r="A13" s="44"/>
      <c r="B13" s="3" t="s">
        <v>219</v>
      </c>
      <c r="C13" s="3" t="s">
        <v>1</v>
      </c>
      <c r="D13" s="3" t="s">
        <v>74</v>
      </c>
      <c r="E13" s="3"/>
      <c r="F13" s="3"/>
      <c r="G13" s="247" t="s">
        <v>251</v>
      </c>
      <c r="H13" s="247"/>
      <c r="I13" s="3" t="s">
        <v>1</v>
      </c>
      <c r="J13" s="3" t="s">
        <v>74</v>
      </c>
      <c r="K13" s="3"/>
      <c r="O13" s="131" t="s">
        <v>224</v>
      </c>
    </row>
    <row r="14" spans="1:22" x14ac:dyDescent="0.2">
      <c r="A14" s="44"/>
      <c r="B14" s="3" t="s">
        <v>20</v>
      </c>
      <c r="C14" s="3" t="s">
        <v>4</v>
      </c>
      <c r="D14" s="3" t="s">
        <v>4</v>
      </c>
      <c r="E14" s="3" t="s">
        <v>75</v>
      </c>
      <c r="F14" s="3" t="s">
        <v>75</v>
      </c>
      <c r="G14" s="87" t="s">
        <v>337</v>
      </c>
      <c r="H14" s="52" t="s">
        <v>72</v>
      </c>
      <c r="I14" s="3" t="s">
        <v>4</v>
      </c>
      <c r="J14" s="3" t="s">
        <v>4</v>
      </c>
      <c r="K14" s="3" t="s">
        <v>75</v>
      </c>
      <c r="S14" s="158" t="s">
        <v>255</v>
      </c>
    </row>
    <row r="15" spans="1:22" ht="13.5" thickBot="1" x14ac:dyDescent="0.25">
      <c r="A15" s="44"/>
      <c r="C15" s="3"/>
      <c r="D15" s="3"/>
      <c r="E15" s="3" t="s">
        <v>69</v>
      </c>
      <c r="F15" s="27" t="s">
        <v>70</v>
      </c>
      <c r="G15" s="51"/>
      <c r="H15" s="54"/>
      <c r="I15" s="3" t="s">
        <v>69</v>
      </c>
      <c r="J15" s="3" t="s">
        <v>69</v>
      </c>
      <c r="K15" s="27" t="s">
        <v>70</v>
      </c>
      <c r="L15" s="178"/>
      <c r="O15" s="101" t="s">
        <v>153</v>
      </c>
      <c r="S15" s="159" t="s">
        <v>223</v>
      </c>
    </row>
    <row r="16" spans="1:22" ht="13.5" thickBot="1" x14ac:dyDescent="0.25">
      <c r="A16" s="219"/>
      <c r="B16" s="187"/>
      <c r="C16" s="82"/>
      <c r="D16" s="82"/>
      <c r="E16" s="204" t="str">
        <f>("[ "&amp;D11&amp;" - "&amp;C11&amp;" ]")</f>
        <v>[ C - B ]</v>
      </c>
      <c r="F16" s="204" t="str">
        <f>("[ "&amp;E11&amp;" / "&amp;C11&amp;" ]")</f>
        <v>[ D / B ]</v>
      </c>
      <c r="G16" s="205"/>
      <c r="H16" s="205"/>
      <c r="I16" s="204" t="str">
        <f>("["&amp;C11&amp;"+"&amp;$G$11&amp;"+"&amp;$H$11&amp;"]")</f>
        <v>[B+F+G]</v>
      </c>
      <c r="J16" s="204" t="str">
        <f>("["&amp;D11&amp;"+"&amp;$G$11&amp;"+"&amp;$H$11&amp;"]")</f>
        <v>[C+F+G]</v>
      </c>
      <c r="K16" s="204" t="str">
        <f>("[("&amp;J11&amp;" - "&amp;I11&amp;")/"&amp;I11&amp;"]")</f>
        <v>[(I - H)/H]</v>
      </c>
      <c r="O16" s="102"/>
      <c r="P16" s="103" t="s">
        <v>88</v>
      </c>
      <c r="Q16" s="104"/>
      <c r="S16" s="160" t="str">
        <f>+INPUT!$P$59</f>
        <v>Oct</v>
      </c>
      <c r="T16" s="41"/>
      <c r="U16" s="41" t="s">
        <v>5</v>
      </c>
      <c r="V16" s="41" t="s">
        <v>5</v>
      </c>
    </row>
    <row r="17" spans="1:22" ht="13.5" thickBot="1" x14ac:dyDescent="0.25">
      <c r="A17" s="344"/>
      <c r="B17" s="222"/>
      <c r="C17" s="211"/>
      <c r="D17" s="211"/>
      <c r="E17" s="223"/>
      <c r="F17" s="223"/>
      <c r="G17" s="212"/>
      <c r="H17" s="212"/>
      <c r="I17" s="223"/>
      <c r="J17" s="223"/>
      <c r="K17" s="223"/>
      <c r="O17" s="105"/>
      <c r="P17" s="320"/>
      <c r="Q17" s="321"/>
      <c r="S17" s="211"/>
      <c r="T17" s="41"/>
      <c r="U17" s="41"/>
      <c r="V17" s="41"/>
    </row>
    <row r="18" spans="1:22" ht="13.5" thickBot="1" x14ac:dyDescent="0.25">
      <c r="A18" s="332" t="s">
        <v>89</v>
      </c>
      <c r="O18" s="108" t="s">
        <v>89</v>
      </c>
      <c r="P18" s="106"/>
      <c r="Q18" s="106"/>
      <c r="S18" s="49"/>
      <c r="T18" s="98"/>
      <c r="U18" s="41" t="s">
        <v>4</v>
      </c>
      <c r="V18" s="41" t="s">
        <v>4</v>
      </c>
    </row>
    <row r="19" spans="1:22" ht="13.5" thickBot="1" x14ac:dyDescent="0.25">
      <c r="A19" s="345" t="s">
        <v>362</v>
      </c>
      <c r="C19" s="184"/>
      <c r="D19" s="184"/>
      <c r="E19" s="184"/>
      <c r="F19" s="185"/>
      <c r="G19" s="184"/>
      <c r="H19" s="184"/>
      <c r="I19" s="184"/>
      <c r="J19" s="184"/>
      <c r="K19" s="185"/>
      <c r="O19" s="248" t="s">
        <v>362</v>
      </c>
      <c r="P19" s="249"/>
      <c r="Q19" s="250"/>
      <c r="S19" s="99"/>
      <c r="T19" s="99"/>
      <c r="U19" s="100"/>
      <c r="V19" s="100"/>
    </row>
    <row r="20" spans="1:22" ht="13.5" thickBot="1" x14ac:dyDescent="0.25">
      <c r="A20" s="330" t="s">
        <v>341</v>
      </c>
      <c r="B20" s="370">
        <f>+R20</f>
        <v>7.0999999999999994E-2</v>
      </c>
      <c r="C20" s="184">
        <f>P20</f>
        <v>15.88</v>
      </c>
      <c r="D20" s="184">
        <f>Q20</f>
        <v>10.23</v>
      </c>
      <c r="E20" s="184">
        <f>+D20-C20</f>
        <v>-5.65</v>
      </c>
      <c r="F20" s="243">
        <f t="shared" ref="F20:F23" si="0">+E20/C20</f>
        <v>-0.35579345088161207</v>
      </c>
      <c r="G20" s="184">
        <f t="shared" ref="G20" si="1">+S20</f>
        <v>-4.8533552032035368E-2</v>
      </c>
      <c r="H20" s="184">
        <f t="shared" ref="H20" si="2">+T20</f>
        <v>0.49538288828779703</v>
      </c>
      <c r="I20" s="184">
        <f t="shared" ref="I20:I23" si="3">+C20+G20+H20</f>
        <v>16.326849336255762</v>
      </c>
      <c r="J20" s="184">
        <f>+D20+G20+H20</f>
        <v>10.676849336255762</v>
      </c>
      <c r="K20" s="243">
        <f t="shared" ref="K20:K23" si="4">(J20-I20)/I20</f>
        <v>-0.34605574435316711</v>
      </c>
      <c r="N20" s="31">
        <v>390</v>
      </c>
      <c r="O20" s="251" t="s">
        <v>341</v>
      </c>
      <c r="P20" s="123">
        <f>VLOOKUP($N20,INPUT!$AB$9:$AF$123,3,FALSE)</f>
        <v>15.88</v>
      </c>
      <c r="Q20" s="123">
        <f>VLOOKUP($N20,INPUT!$AB$9:$AF$123,4,FALSE)</f>
        <v>10.23</v>
      </c>
      <c r="R20" s="31">
        <f>VLOOKUP($N20,INPUT!$AB$9:$AF$123,5,FALSE)</f>
        <v>7.0999999999999994E-2</v>
      </c>
      <c r="S20" s="99">
        <f>($R20*INPUT!$Q$59)*INPUT!$G$65</f>
        <v>-4.8533552032035368E-2</v>
      </c>
      <c r="T20" s="99">
        <f>($R20*INPUT!$Q$59)*INPUT!$I$65</f>
        <v>0.49538288828779703</v>
      </c>
      <c r="U20" s="100">
        <f>+P20+S20+T20</f>
        <v>16.326849336255762</v>
      </c>
      <c r="V20" s="100">
        <f>+Q20+S20+T20</f>
        <v>10.676849336255762</v>
      </c>
    </row>
    <row r="21" spans="1:22" ht="13.5" thickBot="1" x14ac:dyDescent="0.25">
      <c r="A21" s="330" t="s">
        <v>342</v>
      </c>
      <c r="B21" s="370">
        <f t="shared" ref="B21:B23" si="5">+R21</f>
        <v>0.122</v>
      </c>
      <c r="C21" s="184">
        <f t="shared" ref="C21:C23" si="6">P21</f>
        <v>18.600000000000001</v>
      </c>
      <c r="D21" s="184">
        <f t="shared" ref="D21:D44" si="7">Q21</f>
        <v>12.34</v>
      </c>
      <c r="E21" s="184">
        <f t="shared" ref="E21:E23" si="8">+D21-C21</f>
        <v>-6.2600000000000016</v>
      </c>
      <c r="F21" s="243">
        <f t="shared" si="0"/>
        <v>-0.33655913978494628</v>
      </c>
      <c r="G21" s="184">
        <f t="shared" ref="G21:G23" si="9">+S21</f>
        <v>-8.3395680956455151E-2</v>
      </c>
      <c r="H21" s="184">
        <f t="shared" ref="H21:H23" si="10">+T21</f>
        <v>0.8512213010015669</v>
      </c>
      <c r="I21" s="184">
        <f t="shared" si="3"/>
        <v>19.36782562004511</v>
      </c>
      <c r="J21" s="184">
        <f t="shared" ref="J21:J23" si="11">+D21+G21+H21</f>
        <v>13.107825620045112</v>
      </c>
      <c r="K21" s="243">
        <f t="shared" si="4"/>
        <v>-0.32321645820277772</v>
      </c>
      <c r="N21" s="31">
        <v>391</v>
      </c>
      <c r="O21" s="251" t="s">
        <v>342</v>
      </c>
      <c r="P21" s="123">
        <f>VLOOKUP($N21,INPUT!$AB$9:$AF$123,3,FALSE)</f>
        <v>18.600000000000001</v>
      </c>
      <c r="Q21" s="123">
        <f>VLOOKUP($N21,INPUT!$AB$9:$AF$123,4,FALSE)</f>
        <v>12.34</v>
      </c>
      <c r="R21" s="31">
        <f>VLOOKUP($N21,INPUT!$AB$9:$AF$123,5,FALSE)</f>
        <v>0.122</v>
      </c>
      <c r="S21" s="99">
        <f>($R21*INPUT!$Q$59)*INPUT!$G$65</f>
        <v>-8.3395680956455151E-2</v>
      </c>
      <c r="T21" s="99">
        <f>($R21*INPUT!$Q$59)*INPUT!$I$65</f>
        <v>0.8512213010015669</v>
      </c>
      <c r="U21" s="100">
        <f t="shared" ref="U21:U23" si="12">+P21+S21+T21</f>
        <v>19.36782562004511</v>
      </c>
      <c r="V21" s="100">
        <f t="shared" ref="V21:V23" si="13">+Q21+S21+T21</f>
        <v>13.107825620045112</v>
      </c>
    </row>
    <row r="22" spans="1:22" ht="13.5" thickBot="1" x14ac:dyDescent="0.25">
      <c r="A22" s="330" t="s">
        <v>343</v>
      </c>
      <c r="B22" s="370">
        <f t="shared" si="5"/>
        <v>0.19400000000000001</v>
      </c>
      <c r="C22" s="184">
        <f t="shared" si="6"/>
        <v>27.95</v>
      </c>
      <c r="D22" s="184">
        <f t="shared" si="7"/>
        <v>15.67</v>
      </c>
      <c r="E22" s="184">
        <f t="shared" si="8"/>
        <v>-12.28</v>
      </c>
      <c r="F22" s="243">
        <f t="shared" si="0"/>
        <v>-0.43935599284436494</v>
      </c>
      <c r="G22" s="184">
        <f t="shared" si="9"/>
        <v>-0.1326128041438713</v>
      </c>
      <c r="H22" s="184">
        <f t="shared" si="10"/>
        <v>1.3535814130680652</v>
      </c>
      <c r="I22" s="184">
        <f t="shared" si="3"/>
        <v>29.170968608924191</v>
      </c>
      <c r="J22" s="184">
        <f t="shared" si="11"/>
        <v>16.890968608924194</v>
      </c>
      <c r="K22" s="243">
        <f t="shared" si="4"/>
        <v>-0.42096648090880368</v>
      </c>
      <c r="N22" s="31">
        <v>392</v>
      </c>
      <c r="O22" s="251" t="s">
        <v>343</v>
      </c>
      <c r="P22" s="123">
        <f>VLOOKUP($N22,INPUT!$AB$9:$AF$123,3,FALSE)</f>
        <v>27.95</v>
      </c>
      <c r="Q22" s="123">
        <f>VLOOKUP($N22,INPUT!$AB$9:$AF$123,4,FALSE)</f>
        <v>15.67</v>
      </c>
      <c r="R22" s="31">
        <f>VLOOKUP($N22,INPUT!$AB$9:$AF$123,5,FALSE)</f>
        <v>0.19400000000000001</v>
      </c>
      <c r="S22" s="99">
        <f>($R22*INPUT!$Q$59)*INPUT!$G$65</f>
        <v>-0.1326128041438713</v>
      </c>
      <c r="T22" s="99">
        <f>($R22*INPUT!$Q$59)*INPUT!$I$65</f>
        <v>1.3535814130680652</v>
      </c>
      <c r="U22" s="100">
        <f t="shared" si="12"/>
        <v>29.170968608924191</v>
      </c>
      <c r="V22" s="100">
        <f t="shared" si="13"/>
        <v>16.890968608924194</v>
      </c>
    </row>
    <row r="23" spans="1:22" ht="13.5" thickBot="1" x14ac:dyDescent="0.25">
      <c r="A23" s="330" t="s">
        <v>344</v>
      </c>
      <c r="B23" s="370">
        <f t="shared" si="5"/>
        <v>4.8000000000000001E-2</v>
      </c>
      <c r="C23" s="184">
        <f t="shared" si="6"/>
        <v>10.71</v>
      </c>
      <c r="D23" s="184">
        <f t="shared" si="7"/>
        <v>8.8000000000000007</v>
      </c>
      <c r="E23" s="184">
        <f t="shared" si="8"/>
        <v>-1.9100000000000001</v>
      </c>
      <c r="F23" s="243">
        <f t="shared" si="0"/>
        <v>-0.17833800186741364</v>
      </c>
      <c r="G23" s="184">
        <f t="shared" si="9"/>
        <v>-3.281141545827744E-2</v>
      </c>
      <c r="H23" s="184">
        <f t="shared" si="10"/>
        <v>0.33490674137766568</v>
      </c>
      <c r="I23" s="184">
        <f t="shared" si="3"/>
        <v>11.012095325919388</v>
      </c>
      <c r="J23" s="184">
        <f t="shared" si="11"/>
        <v>9.1020953259193877</v>
      </c>
      <c r="K23" s="243">
        <f t="shared" si="4"/>
        <v>-0.17344564712443009</v>
      </c>
      <c r="N23" s="31">
        <v>393</v>
      </c>
      <c r="O23" s="251" t="s">
        <v>344</v>
      </c>
      <c r="P23" s="123">
        <f>VLOOKUP($N23,INPUT!$AB$9:$AF$123,3,FALSE)</f>
        <v>10.71</v>
      </c>
      <c r="Q23" s="123">
        <f>VLOOKUP($N23,INPUT!$AB$9:$AF$123,4,FALSE)</f>
        <v>8.8000000000000007</v>
      </c>
      <c r="R23" s="31">
        <f>VLOOKUP($N23,INPUT!$AB$9:$AF$123,5,FALSE)</f>
        <v>4.8000000000000001E-2</v>
      </c>
      <c r="S23" s="99">
        <f>($R23*INPUT!$Q$59)*INPUT!$G$65</f>
        <v>-3.281141545827744E-2</v>
      </c>
      <c r="T23" s="99">
        <f>($R23*INPUT!$Q$59)*INPUT!$I$65</f>
        <v>0.33490674137766568</v>
      </c>
      <c r="U23" s="100">
        <f t="shared" si="12"/>
        <v>11.012095325919388</v>
      </c>
      <c r="V23" s="100">
        <f t="shared" si="13"/>
        <v>9.1020953259193877</v>
      </c>
    </row>
    <row r="24" spans="1:22" ht="13.5" thickBot="1" x14ac:dyDescent="0.25">
      <c r="A24" s="330" t="s">
        <v>395</v>
      </c>
      <c r="B24" s="371">
        <f t="shared" ref="B24:B28" si="14">+R24</f>
        <v>2.1999999999999999E-2</v>
      </c>
      <c r="C24" s="319" t="s">
        <v>457</v>
      </c>
      <c r="D24" s="384">
        <f>Q24</f>
        <v>8.9499999999999993</v>
      </c>
      <c r="E24" s="319" t="s">
        <v>457</v>
      </c>
      <c r="F24" s="243" t="s">
        <v>457</v>
      </c>
      <c r="G24" s="184">
        <f t="shared" ref="G24:G28" si="15">+S24</f>
        <v>-1.503856541837716E-2</v>
      </c>
      <c r="H24" s="184">
        <f t="shared" ref="H24:H28" si="16">+T24</f>
        <v>0.1534989231314301</v>
      </c>
      <c r="I24" s="319" t="s">
        <v>457</v>
      </c>
      <c r="J24" s="184">
        <f t="shared" ref="J24:J28" si="17">+D24+G24+H24</f>
        <v>9.0884603577130516</v>
      </c>
      <c r="K24" s="243" t="s">
        <v>457</v>
      </c>
      <c r="N24" s="31" t="s">
        <v>400</v>
      </c>
      <c r="O24" s="251" t="s">
        <v>395</v>
      </c>
      <c r="P24" s="123">
        <f>VLOOKUP($N24,INPUT!$AB$9:$AF$123,3,FALSE)</f>
        <v>0</v>
      </c>
      <c r="Q24" s="123">
        <f>VLOOKUP($N24,INPUT!$AB$9:$AF$123,4,FALSE)</f>
        <v>8.9499999999999993</v>
      </c>
      <c r="R24" s="31">
        <f>VLOOKUP($N24,INPUT!$AB$9:$AF$123,5,FALSE)</f>
        <v>2.1999999999999999E-2</v>
      </c>
      <c r="S24" s="99">
        <f>($R24*INPUT!$Q$59)*INPUT!$G$65</f>
        <v>-1.503856541837716E-2</v>
      </c>
      <c r="T24" s="99">
        <f>($R24*INPUT!$Q$59)*INPUT!$I$65</f>
        <v>0.1534989231314301</v>
      </c>
      <c r="U24" s="100">
        <f t="shared" ref="U24:U28" si="18">+P24+S24+T24</f>
        <v>0.13846035771305293</v>
      </c>
      <c r="V24" s="100">
        <f t="shared" ref="V24:V28" si="19">+Q24+S24+T24</f>
        <v>9.0884603577130516</v>
      </c>
    </row>
    <row r="25" spans="1:22" ht="13.5" thickBot="1" x14ac:dyDescent="0.25">
      <c r="A25" s="330" t="s">
        <v>396</v>
      </c>
      <c r="B25" s="371">
        <f t="shared" si="14"/>
        <v>0.03</v>
      </c>
      <c r="C25" s="319" t="s">
        <v>457</v>
      </c>
      <c r="D25" s="184">
        <f t="shared" si="7"/>
        <v>11.65</v>
      </c>
      <c r="E25" s="319" t="s">
        <v>457</v>
      </c>
      <c r="F25" s="243" t="s">
        <v>457</v>
      </c>
      <c r="G25" s="184">
        <f t="shared" si="15"/>
        <v>-2.0507134661423398E-2</v>
      </c>
      <c r="H25" s="184">
        <f t="shared" si="16"/>
        <v>0.20931671336104102</v>
      </c>
      <c r="I25" s="319" t="s">
        <v>457</v>
      </c>
      <c r="J25" s="184">
        <f t="shared" si="17"/>
        <v>11.838809578699617</v>
      </c>
      <c r="K25" s="243" t="s">
        <v>457</v>
      </c>
      <c r="N25" s="31" t="s">
        <v>401</v>
      </c>
      <c r="O25" s="251" t="s">
        <v>396</v>
      </c>
      <c r="P25" s="123">
        <f>VLOOKUP($N25,INPUT!$AB$9:$AF$123,3,FALSE)</f>
        <v>0</v>
      </c>
      <c r="Q25" s="123">
        <f>VLOOKUP($N25,INPUT!$AB$9:$AF$123,4,FALSE)</f>
        <v>11.65</v>
      </c>
      <c r="R25" s="31">
        <f>VLOOKUP($N25,INPUT!$AB$9:$AF$123,5,FALSE)</f>
        <v>0.03</v>
      </c>
      <c r="S25" s="99">
        <f>($R25*INPUT!$Q$59)*INPUT!$G$65</f>
        <v>-2.0507134661423398E-2</v>
      </c>
      <c r="T25" s="99">
        <f>($R25*INPUT!$Q$59)*INPUT!$I$65</f>
        <v>0.20931671336104102</v>
      </c>
      <c r="U25" s="100">
        <f t="shared" si="18"/>
        <v>0.18880957869961762</v>
      </c>
      <c r="V25" s="100">
        <f t="shared" si="19"/>
        <v>11.838809578699617</v>
      </c>
    </row>
    <row r="26" spans="1:22" ht="13.5" thickBot="1" x14ac:dyDescent="0.25">
      <c r="A26" s="330" t="s">
        <v>397</v>
      </c>
      <c r="B26" s="371">
        <f t="shared" si="14"/>
        <v>9.6000000000000002E-2</v>
      </c>
      <c r="C26" s="319" t="s">
        <v>457</v>
      </c>
      <c r="D26" s="184">
        <f t="shared" si="7"/>
        <v>13.51</v>
      </c>
      <c r="E26" s="319" t="s">
        <v>457</v>
      </c>
      <c r="F26" s="243" t="s">
        <v>457</v>
      </c>
      <c r="G26" s="184">
        <f t="shared" si="15"/>
        <v>-6.5622830916554881E-2</v>
      </c>
      <c r="H26" s="184">
        <f t="shared" si="16"/>
        <v>0.66981348275533137</v>
      </c>
      <c r="I26" s="319" t="s">
        <v>457</v>
      </c>
      <c r="J26" s="184">
        <f t="shared" si="17"/>
        <v>14.114190651838777</v>
      </c>
      <c r="K26" s="243" t="s">
        <v>457</v>
      </c>
      <c r="N26" s="31" t="s">
        <v>402</v>
      </c>
      <c r="O26" s="251" t="s">
        <v>397</v>
      </c>
      <c r="P26" s="123">
        <f>VLOOKUP($N26,INPUT!$AB$9:$AF$123,3,FALSE)</f>
        <v>0</v>
      </c>
      <c r="Q26" s="123">
        <f>VLOOKUP($N26,INPUT!$AB$9:$AF$123,4,FALSE)</f>
        <v>13.51</v>
      </c>
      <c r="R26" s="31">
        <f>VLOOKUP($N26,INPUT!$AB$9:$AF$123,5,FALSE)</f>
        <v>9.6000000000000002E-2</v>
      </c>
      <c r="S26" s="99">
        <f>($R26*INPUT!$Q$59)*INPUT!$G$65</f>
        <v>-6.5622830916554881E-2</v>
      </c>
      <c r="T26" s="99">
        <f>($R26*INPUT!$Q$59)*INPUT!$I$65</f>
        <v>0.66981348275533137</v>
      </c>
      <c r="U26" s="100">
        <f t="shared" si="18"/>
        <v>0.60419065183877652</v>
      </c>
      <c r="V26" s="100">
        <f t="shared" si="19"/>
        <v>14.114190651838777</v>
      </c>
    </row>
    <row r="27" spans="1:22" ht="13.5" thickBot="1" x14ac:dyDescent="0.25">
      <c r="A27" s="330" t="s">
        <v>398</v>
      </c>
      <c r="B27" s="371">
        <f t="shared" si="14"/>
        <v>0.17499999999999999</v>
      </c>
      <c r="C27" s="319" t="s">
        <v>457</v>
      </c>
      <c r="D27" s="184">
        <f t="shared" si="7"/>
        <v>15.96</v>
      </c>
      <c r="E27" s="319" t="s">
        <v>457</v>
      </c>
      <c r="F27" s="243" t="s">
        <v>457</v>
      </c>
      <c r="G27" s="184">
        <f t="shared" si="15"/>
        <v>-0.11962495219163648</v>
      </c>
      <c r="H27" s="184">
        <f t="shared" si="16"/>
        <v>1.2210141612727392</v>
      </c>
      <c r="I27" s="319" t="s">
        <v>457</v>
      </c>
      <c r="J27" s="184">
        <f t="shared" si="17"/>
        <v>17.061389209081103</v>
      </c>
      <c r="K27" s="243" t="s">
        <v>457</v>
      </c>
      <c r="N27" s="244" t="s">
        <v>403</v>
      </c>
      <c r="O27" s="251" t="s">
        <v>398</v>
      </c>
      <c r="P27" s="123">
        <f>VLOOKUP($N27,INPUT!$AB$9:$AF$123,3,FALSE)</f>
        <v>0</v>
      </c>
      <c r="Q27" s="123">
        <f>VLOOKUP($N27,INPUT!$AB$9:$AF$123,4,FALSE)</f>
        <v>15.96</v>
      </c>
      <c r="R27" s="31">
        <f>VLOOKUP($N27,INPUT!$AB$9:$AF$123,5,FALSE)</f>
        <v>0.17499999999999999</v>
      </c>
      <c r="S27" s="99">
        <f>($R27*INPUT!$Q$59)*INPUT!$G$65</f>
        <v>-0.11962495219163648</v>
      </c>
      <c r="T27" s="99">
        <f>($R27*INPUT!$Q$59)*INPUT!$I$65</f>
        <v>1.2210141612727392</v>
      </c>
      <c r="U27" s="100">
        <f t="shared" si="18"/>
        <v>1.1013892090811028</v>
      </c>
      <c r="V27" s="100">
        <f t="shared" si="19"/>
        <v>17.061389209081103</v>
      </c>
    </row>
    <row r="28" spans="1:22" ht="13.5" thickBot="1" x14ac:dyDescent="0.25">
      <c r="A28" s="330" t="s">
        <v>399</v>
      </c>
      <c r="B28" s="371">
        <f t="shared" si="14"/>
        <v>0.29699999999999999</v>
      </c>
      <c r="C28" s="319" t="s">
        <v>457</v>
      </c>
      <c r="D28" s="184">
        <f t="shared" si="7"/>
        <v>22.87</v>
      </c>
      <c r="E28" s="319" t="s">
        <v>457</v>
      </c>
      <c r="F28" s="243" t="s">
        <v>457</v>
      </c>
      <c r="G28" s="184">
        <f t="shared" si="15"/>
        <v>-0.20302063314809163</v>
      </c>
      <c r="H28" s="184">
        <f t="shared" si="16"/>
        <v>2.072235462274306</v>
      </c>
      <c r="I28" s="319" t="s">
        <v>457</v>
      </c>
      <c r="J28" s="184">
        <f t="shared" si="17"/>
        <v>24.739214829126215</v>
      </c>
      <c r="K28" s="243" t="s">
        <v>457</v>
      </c>
      <c r="N28" s="244" t="s">
        <v>404</v>
      </c>
      <c r="O28" s="251" t="s">
        <v>399</v>
      </c>
      <c r="P28" s="123">
        <f>VLOOKUP($N28,INPUT!$AB$9:$AF$123,3,FALSE)</f>
        <v>0</v>
      </c>
      <c r="Q28" s="123">
        <f>VLOOKUP($N28,INPUT!$AB$9:$AF$123,4,FALSE)</f>
        <v>22.87</v>
      </c>
      <c r="R28" s="31">
        <f>VLOOKUP($N28,INPUT!$AB$9:$AF$123,5,FALSE)</f>
        <v>0.29699999999999999</v>
      </c>
      <c r="S28" s="99">
        <f>($R28*INPUT!$Q$59)*INPUT!$G$65</f>
        <v>-0.20302063314809163</v>
      </c>
      <c r="T28" s="99">
        <f>($R28*INPUT!$Q$59)*INPUT!$I$65</f>
        <v>2.072235462274306</v>
      </c>
      <c r="U28" s="100">
        <f t="shared" si="18"/>
        <v>1.8692148291262143</v>
      </c>
      <c r="V28" s="100">
        <f t="shared" si="19"/>
        <v>24.739214829126215</v>
      </c>
    </row>
    <row r="29" spans="1:22" ht="13.5" thickBot="1" x14ac:dyDescent="0.25">
      <c r="A29" s="330"/>
      <c r="B29" s="324"/>
      <c r="C29" s="184"/>
      <c r="D29" s="184"/>
      <c r="E29" s="184"/>
      <c r="F29" s="243"/>
      <c r="G29" s="184"/>
      <c r="H29" s="184"/>
      <c r="I29" s="184"/>
      <c r="J29" s="184"/>
      <c r="K29" s="243"/>
      <c r="O29" s="251"/>
      <c r="P29" s="123"/>
      <c r="Q29" s="123"/>
      <c r="S29" s="99"/>
      <c r="T29" s="99"/>
      <c r="U29" s="100"/>
      <c r="V29" s="100"/>
    </row>
    <row r="30" spans="1:22" ht="13.5" thickBot="1" x14ac:dyDescent="0.25">
      <c r="A30" s="330" t="s">
        <v>412</v>
      </c>
      <c r="B30" s="371">
        <f t="shared" ref="B30" si="20">+R30</f>
        <v>2.1999999999999999E-2</v>
      </c>
      <c r="C30" s="319" t="s">
        <v>457</v>
      </c>
      <c r="D30" s="184">
        <f t="shared" si="7"/>
        <v>4.13</v>
      </c>
      <c r="E30" s="319" t="s">
        <v>457</v>
      </c>
      <c r="F30" s="243" t="s">
        <v>457</v>
      </c>
      <c r="G30" s="184">
        <f t="shared" ref="G30" si="21">+S30</f>
        <v>-1.503856541837716E-2</v>
      </c>
      <c r="H30" s="184">
        <f t="shared" ref="H30" si="22">+T30</f>
        <v>0.1534989231314301</v>
      </c>
      <c r="I30" s="319" t="s">
        <v>457</v>
      </c>
      <c r="J30" s="184">
        <f t="shared" ref="J30" si="23">+D30+G30+H30</f>
        <v>4.2684603577130522</v>
      </c>
      <c r="K30" s="243" t="s">
        <v>457</v>
      </c>
      <c r="N30" s="31" t="s">
        <v>410</v>
      </c>
      <c r="O30" s="251" t="s">
        <v>412</v>
      </c>
      <c r="P30" s="123">
        <f>VLOOKUP($N30,INPUT!$AB$9:$AF$123,3,FALSE)</f>
        <v>0</v>
      </c>
      <c r="Q30" s="123">
        <f>VLOOKUP($N30,INPUT!$AB$9:$AF$123,4,FALSE)</f>
        <v>4.13</v>
      </c>
      <c r="R30" s="31">
        <f>VLOOKUP($N30,INPUT!$AB$9:$AF$123,5,FALSE)</f>
        <v>2.1999999999999999E-2</v>
      </c>
      <c r="S30" s="99">
        <f>($R30*INPUT!$Q$59)*INPUT!$G$65</f>
        <v>-1.503856541837716E-2</v>
      </c>
      <c r="T30" s="99">
        <f>($R30*INPUT!$Q$59)*INPUT!$I$65</f>
        <v>0.1534989231314301</v>
      </c>
      <c r="U30" s="100">
        <f t="shared" ref="U30" si="24">+P30+S30+T30</f>
        <v>0.13846035771305293</v>
      </c>
      <c r="V30" s="100">
        <f t="shared" ref="V30" si="25">+Q30+S30+T30</f>
        <v>4.2684603577130522</v>
      </c>
    </row>
    <row r="31" spans="1:22" ht="13.5" thickBot="1" x14ac:dyDescent="0.25">
      <c r="A31" s="330" t="s">
        <v>458</v>
      </c>
      <c r="B31" s="371">
        <f t="shared" ref="B31:B34" si="26">+R31</f>
        <v>7.0999999999999994E-2</v>
      </c>
      <c r="C31" s="184">
        <f t="shared" ref="C31:C34" si="27">P31</f>
        <v>36.4</v>
      </c>
      <c r="D31" s="184">
        <f t="shared" si="7"/>
        <v>5.4</v>
      </c>
      <c r="E31" s="184">
        <f t="shared" ref="E31:E34" si="28">+D31-C31</f>
        <v>-31</v>
      </c>
      <c r="F31" s="243" t="s">
        <v>358</v>
      </c>
      <c r="G31" s="184">
        <f t="shared" ref="G31:G34" si="29">+S31</f>
        <v>-4.8533552032035368E-2</v>
      </c>
      <c r="H31" s="184">
        <f t="shared" ref="H31:H34" si="30">+T31</f>
        <v>0.49538288828779703</v>
      </c>
      <c r="I31" s="184">
        <f t="shared" ref="I31:I34" si="31">+C31+G31+H31</f>
        <v>36.846849336255765</v>
      </c>
      <c r="J31" s="184">
        <f t="shared" ref="J31:J34" si="32">+D31+G31+H31</f>
        <v>5.8468493362557625</v>
      </c>
      <c r="K31" s="243" t="s">
        <v>358</v>
      </c>
      <c r="N31" s="31">
        <v>396</v>
      </c>
      <c r="O31" s="251" t="s">
        <v>346</v>
      </c>
      <c r="P31" s="123">
        <f>VLOOKUP($N31,INPUT!$AB$9:$AF$123,3,FALSE)</f>
        <v>36.4</v>
      </c>
      <c r="Q31" s="123">
        <f>VLOOKUP($N31,INPUT!$AB$9:$AF$123,4,FALSE)</f>
        <v>5.4</v>
      </c>
      <c r="R31" s="31">
        <f>VLOOKUP($N31,INPUT!$AB$9:$AF$123,5,FALSE)</f>
        <v>7.0999999999999994E-2</v>
      </c>
      <c r="S31" s="99">
        <f>($R31*INPUT!$Q$59)*INPUT!$G$65</f>
        <v>-4.8533552032035368E-2</v>
      </c>
      <c r="T31" s="99">
        <f>($R31*INPUT!$Q$59)*INPUT!$I$65</f>
        <v>0.49538288828779703</v>
      </c>
      <c r="U31" s="100">
        <f t="shared" ref="U31:U34" si="33">+P31+S31+T31</f>
        <v>36.846849336255765</v>
      </c>
      <c r="V31" s="100">
        <f t="shared" ref="V31:V34" si="34">+Q31+S31+T31</f>
        <v>5.8468493362557625</v>
      </c>
    </row>
    <row r="32" spans="1:22" ht="13.5" thickBot="1" x14ac:dyDescent="0.25">
      <c r="A32" s="330" t="s">
        <v>459</v>
      </c>
      <c r="B32" s="371">
        <f t="shared" si="26"/>
        <v>0.122</v>
      </c>
      <c r="C32" s="184">
        <f t="shared" si="27"/>
        <v>39.119999999999997</v>
      </c>
      <c r="D32" s="184">
        <f t="shared" si="7"/>
        <v>7.52</v>
      </c>
      <c r="E32" s="184">
        <f t="shared" si="28"/>
        <v>-31.599999999999998</v>
      </c>
      <c r="F32" s="243" t="s">
        <v>358</v>
      </c>
      <c r="G32" s="184">
        <f t="shared" si="29"/>
        <v>-8.3395680956455151E-2</v>
      </c>
      <c r="H32" s="184">
        <f t="shared" si="30"/>
        <v>0.8512213010015669</v>
      </c>
      <c r="I32" s="184">
        <f t="shared" si="31"/>
        <v>39.887825620045106</v>
      </c>
      <c r="J32" s="184">
        <f t="shared" si="32"/>
        <v>8.2878256200451119</v>
      </c>
      <c r="K32" s="243" t="s">
        <v>358</v>
      </c>
      <c r="N32" s="244">
        <v>397</v>
      </c>
      <c r="O32" s="251" t="s">
        <v>347</v>
      </c>
      <c r="P32" s="123">
        <f>VLOOKUP($N32,INPUT!$AB$9:$AF$123,3,FALSE)</f>
        <v>39.119999999999997</v>
      </c>
      <c r="Q32" s="123">
        <f>VLOOKUP($N32,INPUT!$AB$9:$AF$123,4,FALSE)</f>
        <v>7.52</v>
      </c>
      <c r="R32" s="31">
        <f>VLOOKUP($N32,INPUT!$AB$9:$AF$123,5,FALSE)</f>
        <v>0.122</v>
      </c>
      <c r="S32" s="99">
        <f>($R32*INPUT!$Q$59)*INPUT!$G$65</f>
        <v>-8.3395680956455151E-2</v>
      </c>
      <c r="T32" s="99">
        <f>($R32*INPUT!$Q$59)*INPUT!$I$65</f>
        <v>0.8512213010015669</v>
      </c>
      <c r="U32" s="100">
        <f t="shared" si="33"/>
        <v>39.887825620045106</v>
      </c>
      <c r="V32" s="100">
        <f t="shared" si="34"/>
        <v>8.2878256200451119</v>
      </c>
    </row>
    <row r="33" spans="1:22" ht="13.5" thickBot="1" x14ac:dyDescent="0.25">
      <c r="A33" s="330" t="s">
        <v>460</v>
      </c>
      <c r="B33" s="371">
        <f t="shared" si="26"/>
        <v>0.19400000000000001</v>
      </c>
      <c r="C33" s="184">
        <f t="shared" si="27"/>
        <v>48.46</v>
      </c>
      <c r="D33" s="184">
        <f t="shared" si="7"/>
        <v>10.85</v>
      </c>
      <c r="E33" s="184">
        <f t="shared" si="28"/>
        <v>-37.61</v>
      </c>
      <c r="F33" s="243" t="s">
        <v>358</v>
      </c>
      <c r="G33" s="184">
        <f t="shared" si="29"/>
        <v>-0.1326128041438713</v>
      </c>
      <c r="H33" s="184">
        <f t="shared" si="30"/>
        <v>1.3535814130680652</v>
      </c>
      <c r="I33" s="184">
        <f t="shared" si="31"/>
        <v>49.680968608924196</v>
      </c>
      <c r="J33" s="184">
        <f t="shared" si="32"/>
        <v>12.070968608924193</v>
      </c>
      <c r="K33" s="243" t="s">
        <v>358</v>
      </c>
      <c r="N33" s="244">
        <v>398</v>
      </c>
      <c r="O33" s="112" t="s">
        <v>348</v>
      </c>
      <c r="P33" s="123">
        <f>VLOOKUP($N33,INPUT!$AB$9:$AF$123,3,FALSE)</f>
        <v>48.46</v>
      </c>
      <c r="Q33" s="123">
        <f>VLOOKUP($N33,INPUT!$AB$9:$AF$123,4,FALSE)</f>
        <v>10.85</v>
      </c>
      <c r="R33" s="31">
        <f>VLOOKUP($N33,INPUT!$AB$9:$AF$123,5,FALSE)</f>
        <v>0.19400000000000001</v>
      </c>
      <c r="S33" s="99">
        <f>($R33*INPUT!$Q$59)*INPUT!$G$65</f>
        <v>-0.1326128041438713</v>
      </c>
      <c r="T33" s="99">
        <f>($R33*INPUT!$Q$59)*INPUT!$I$65</f>
        <v>1.3535814130680652</v>
      </c>
      <c r="U33" s="100">
        <f t="shared" si="33"/>
        <v>49.680968608924196</v>
      </c>
      <c r="V33" s="100">
        <f t="shared" si="34"/>
        <v>12.070968608924193</v>
      </c>
    </row>
    <row r="34" spans="1:22" ht="13.5" thickBot="1" x14ac:dyDescent="0.25">
      <c r="A34" s="330" t="s">
        <v>461</v>
      </c>
      <c r="B34" s="371">
        <f t="shared" si="26"/>
        <v>4.3999999999999997E-2</v>
      </c>
      <c r="C34" s="184">
        <f t="shared" si="27"/>
        <v>38.22</v>
      </c>
      <c r="D34" s="184">
        <f t="shared" si="7"/>
        <v>7.65</v>
      </c>
      <c r="E34" s="184">
        <f t="shared" si="28"/>
        <v>-30.57</v>
      </c>
      <c r="F34" s="243" t="s">
        <v>358</v>
      </c>
      <c r="G34" s="184">
        <f t="shared" si="29"/>
        <v>-3.0077130836754319E-2</v>
      </c>
      <c r="H34" s="184">
        <f t="shared" si="30"/>
        <v>0.3069978462628602</v>
      </c>
      <c r="I34" s="184">
        <f t="shared" si="31"/>
        <v>38.496920715426107</v>
      </c>
      <c r="J34" s="184">
        <f t="shared" si="32"/>
        <v>7.9269207154261068</v>
      </c>
      <c r="K34" s="243" t="s">
        <v>358</v>
      </c>
      <c r="N34" s="244">
        <v>399</v>
      </c>
      <c r="O34" s="251" t="s">
        <v>349</v>
      </c>
      <c r="P34" s="123">
        <f>VLOOKUP($N34,INPUT!$AB$9:$AF$123,3,FALSE)</f>
        <v>38.22</v>
      </c>
      <c r="Q34" s="123">
        <f>VLOOKUP($N34,INPUT!$AB$9:$AF$123,4,FALSE)</f>
        <v>7.65</v>
      </c>
      <c r="R34" s="31">
        <f>VLOOKUP($N34,INPUT!$AB$9:$AF$123,5,FALSE)</f>
        <v>4.3999999999999997E-2</v>
      </c>
      <c r="S34" s="99">
        <f>($R34*INPUT!$Q$59)*INPUT!$G$65</f>
        <v>-3.0077130836754319E-2</v>
      </c>
      <c r="T34" s="99">
        <f>($R34*INPUT!$Q$59)*INPUT!$I$65</f>
        <v>0.3069978462628602</v>
      </c>
      <c r="U34" s="100">
        <f t="shared" si="33"/>
        <v>38.496920715426107</v>
      </c>
      <c r="V34" s="100">
        <f t="shared" si="34"/>
        <v>7.9269207154261068</v>
      </c>
    </row>
    <row r="35" spans="1:22" ht="13.5" thickBot="1" x14ac:dyDescent="0.25">
      <c r="A35" s="330" t="s">
        <v>434</v>
      </c>
      <c r="B35" s="371">
        <f t="shared" ref="B35:B44" si="35">+R35</f>
        <v>0.04</v>
      </c>
      <c r="C35" s="319" t="s">
        <v>457</v>
      </c>
      <c r="D35" s="184">
        <f t="shared" si="7"/>
        <v>9.1199999999999992</v>
      </c>
      <c r="E35" s="319" t="s">
        <v>457</v>
      </c>
      <c r="F35" s="243" t="s">
        <v>358</v>
      </c>
      <c r="G35" s="184">
        <f t="shared" ref="G35:G44" si="36">+S35</f>
        <v>-2.7342846215231201E-2</v>
      </c>
      <c r="H35" s="184">
        <f t="shared" ref="H35:H44" si="37">+T35</f>
        <v>0.27908895114805471</v>
      </c>
      <c r="I35" s="319" t="s">
        <v>457</v>
      </c>
      <c r="J35" s="184">
        <f t="shared" ref="J35:J44" si="38">+D35+G35+H35</f>
        <v>9.3717461049328215</v>
      </c>
      <c r="K35" s="243" t="s">
        <v>358</v>
      </c>
      <c r="N35" s="31" t="s">
        <v>414</v>
      </c>
      <c r="O35" s="251" t="s">
        <v>434</v>
      </c>
      <c r="P35" s="123">
        <f>VLOOKUP($N35,INPUT!$AB$9:$AF$123,3,FALSE)</f>
        <v>0</v>
      </c>
      <c r="Q35" s="123">
        <f>VLOOKUP($N35,INPUT!$AB$9:$AF$123,4,FALSE)</f>
        <v>9.1199999999999992</v>
      </c>
      <c r="R35" s="31">
        <f>VLOOKUP($N35,INPUT!$AB$9:$AF$123,5,FALSE)</f>
        <v>0.04</v>
      </c>
      <c r="S35" s="99">
        <f>($R35*INPUT!$Q$59)*INPUT!$G$65</f>
        <v>-2.7342846215231201E-2</v>
      </c>
      <c r="T35" s="99">
        <f>($R35*INPUT!$Q$59)*INPUT!$I$65</f>
        <v>0.27908895114805471</v>
      </c>
      <c r="U35" s="100">
        <f t="shared" ref="U35:U44" si="39">+P35+S35+T35</f>
        <v>0.25174610493282351</v>
      </c>
      <c r="V35" s="100">
        <f t="shared" ref="V35:V44" si="40">+Q35+S35+T35</f>
        <v>9.3717461049328215</v>
      </c>
    </row>
    <row r="36" spans="1:22" ht="13.5" thickBot="1" x14ac:dyDescent="0.25">
      <c r="A36" s="330" t="s">
        <v>435</v>
      </c>
      <c r="B36" s="371">
        <f t="shared" si="35"/>
        <v>5.7000000000000002E-2</v>
      </c>
      <c r="C36" s="319" t="s">
        <v>457</v>
      </c>
      <c r="D36" s="184">
        <f t="shared" si="7"/>
        <v>7.09</v>
      </c>
      <c r="E36" s="319" t="s">
        <v>457</v>
      </c>
      <c r="F36" s="243" t="s">
        <v>358</v>
      </c>
      <c r="G36" s="184">
        <f t="shared" si="36"/>
        <v>-3.8963555856704454E-2</v>
      </c>
      <c r="H36" s="184">
        <f t="shared" si="37"/>
        <v>0.39770175538597796</v>
      </c>
      <c r="I36" s="319" t="s">
        <v>457</v>
      </c>
      <c r="J36" s="184">
        <f t="shared" si="38"/>
        <v>7.4487381995292736</v>
      </c>
      <c r="K36" s="243" t="s">
        <v>358</v>
      </c>
      <c r="N36" s="31" t="s">
        <v>415</v>
      </c>
      <c r="O36" s="251" t="s">
        <v>435</v>
      </c>
      <c r="P36" s="123">
        <f>VLOOKUP($N36,INPUT!$AB$9:$AF$123,3,FALSE)</f>
        <v>0</v>
      </c>
      <c r="Q36" s="123">
        <f>VLOOKUP($N36,INPUT!$AB$9:$AF$123,4,FALSE)</f>
        <v>7.09</v>
      </c>
      <c r="R36" s="31">
        <f>VLOOKUP($N36,INPUT!$AB$9:$AF$123,5,FALSE)</f>
        <v>5.7000000000000002E-2</v>
      </c>
      <c r="S36" s="99">
        <f>($R36*INPUT!$Q$59)*INPUT!$G$65</f>
        <v>-3.8963555856704454E-2</v>
      </c>
      <c r="T36" s="99">
        <f>($R36*INPUT!$Q$59)*INPUT!$I$65</f>
        <v>0.39770175538597796</v>
      </c>
      <c r="U36" s="100">
        <f t="shared" si="39"/>
        <v>0.35873819952927349</v>
      </c>
      <c r="V36" s="100">
        <f t="shared" si="40"/>
        <v>7.4487381995292736</v>
      </c>
    </row>
    <row r="37" spans="1:22" ht="13.5" thickBot="1" x14ac:dyDescent="0.25">
      <c r="A37" s="330" t="s">
        <v>436</v>
      </c>
      <c r="B37" s="371">
        <f t="shared" si="35"/>
        <v>8.6999999999999994E-2</v>
      </c>
      <c r="C37" s="319" t="s">
        <v>457</v>
      </c>
      <c r="D37" s="184">
        <f t="shared" si="7"/>
        <v>8.25</v>
      </c>
      <c r="E37" s="319" t="s">
        <v>457</v>
      </c>
      <c r="F37" s="243" t="s">
        <v>358</v>
      </c>
      <c r="G37" s="184">
        <f t="shared" si="36"/>
        <v>-5.9470690518127853E-2</v>
      </c>
      <c r="H37" s="184">
        <f t="shared" si="37"/>
        <v>0.60701846874701892</v>
      </c>
      <c r="I37" s="319" t="s">
        <v>457</v>
      </c>
      <c r="J37" s="184">
        <f t="shared" si="38"/>
        <v>8.7975477782288909</v>
      </c>
      <c r="K37" s="243" t="s">
        <v>358</v>
      </c>
      <c r="N37" s="31" t="s">
        <v>416</v>
      </c>
      <c r="O37" s="251" t="s">
        <v>436</v>
      </c>
      <c r="P37" s="123">
        <f>VLOOKUP($N37,INPUT!$AB$9:$AF$123,3,FALSE)</f>
        <v>0</v>
      </c>
      <c r="Q37" s="123">
        <f>VLOOKUP($N37,INPUT!$AB$9:$AF$123,4,FALSE)</f>
        <v>8.25</v>
      </c>
      <c r="R37" s="31">
        <f>VLOOKUP($N37,INPUT!$AB$9:$AF$123,5,FALSE)</f>
        <v>8.6999999999999994E-2</v>
      </c>
      <c r="S37" s="99">
        <f>($R37*INPUT!$Q$59)*INPUT!$G$65</f>
        <v>-5.9470690518127853E-2</v>
      </c>
      <c r="T37" s="99">
        <f>($R37*INPUT!$Q$59)*INPUT!$I$65</f>
        <v>0.60701846874701892</v>
      </c>
      <c r="U37" s="100">
        <f t="shared" si="39"/>
        <v>0.54754777822889111</v>
      </c>
      <c r="V37" s="100">
        <f t="shared" si="40"/>
        <v>8.7975477782288909</v>
      </c>
    </row>
    <row r="38" spans="1:22" ht="13.5" thickBot="1" x14ac:dyDescent="0.25">
      <c r="A38" s="330" t="s">
        <v>438</v>
      </c>
      <c r="B38" s="371">
        <f t="shared" si="35"/>
        <v>0.14299999999999999</v>
      </c>
      <c r="C38" s="319" t="s">
        <v>457</v>
      </c>
      <c r="D38" s="184">
        <f t="shared" si="7"/>
        <v>10.029999999999999</v>
      </c>
      <c r="E38" s="319" t="s">
        <v>457</v>
      </c>
      <c r="F38" s="243" t="s">
        <v>358</v>
      </c>
      <c r="G38" s="184">
        <f t="shared" si="36"/>
        <v>-9.7750675219451522E-2</v>
      </c>
      <c r="H38" s="184">
        <f t="shared" si="37"/>
        <v>0.99774300035429553</v>
      </c>
      <c r="I38" s="319" t="s">
        <v>457</v>
      </c>
      <c r="J38" s="184">
        <f t="shared" si="38"/>
        <v>10.929992325134844</v>
      </c>
      <c r="K38" s="243" t="s">
        <v>358</v>
      </c>
      <c r="N38" s="31" t="s">
        <v>417</v>
      </c>
      <c r="O38" s="251" t="s">
        <v>438</v>
      </c>
      <c r="P38" s="123">
        <f>VLOOKUP($N38,INPUT!$AB$9:$AF$123,3,FALSE)</f>
        <v>0</v>
      </c>
      <c r="Q38" s="123">
        <f>VLOOKUP($N38,INPUT!$AB$9:$AF$123,4,FALSE)</f>
        <v>10.029999999999999</v>
      </c>
      <c r="R38" s="31">
        <f>VLOOKUP($N38,INPUT!$AB$9:$AF$123,5,FALSE)</f>
        <v>0.14299999999999999</v>
      </c>
      <c r="S38" s="99">
        <f>($R38*INPUT!$Q$59)*INPUT!$G$65</f>
        <v>-9.7750675219451522E-2</v>
      </c>
      <c r="T38" s="99">
        <f>($R38*INPUT!$Q$59)*INPUT!$I$65</f>
        <v>0.99774300035429553</v>
      </c>
      <c r="U38" s="100">
        <f t="shared" si="39"/>
        <v>0.89999232513484406</v>
      </c>
      <c r="V38" s="100">
        <f t="shared" si="40"/>
        <v>10.929992325134844</v>
      </c>
    </row>
    <row r="39" spans="1:22" ht="13.5" thickBot="1" x14ac:dyDescent="0.25">
      <c r="A39" s="330" t="s">
        <v>439</v>
      </c>
      <c r="B39" s="371">
        <f t="shared" si="35"/>
        <v>0.22</v>
      </c>
      <c r="C39" s="319" t="s">
        <v>457</v>
      </c>
      <c r="D39" s="184">
        <f t="shared" si="7"/>
        <v>14.55</v>
      </c>
      <c r="E39" s="319" t="s">
        <v>457</v>
      </c>
      <c r="F39" s="243" t="s">
        <v>358</v>
      </c>
      <c r="G39" s="184">
        <f t="shared" si="36"/>
        <v>-0.15038565418377159</v>
      </c>
      <c r="H39" s="184">
        <f t="shared" si="37"/>
        <v>1.5349892313143008</v>
      </c>
      <c r="I39" s="319" t="s">
        <v>457</v>
      </c>
      <c r="J39" s="184">
        <f t="shared" si="38"/>
        <v>15.934603577130529</v>
      </c>
      <c r="K39" s="243" t="s">
        <v>358</v>
      </c>
      <c r="N39" s="31" t="s">
        <v>418</v>
      </c>
      <c r="O39" s="251" t="s">
        <v>439</v>
      </c>
      <c r="P39" s="123">
        <f>VLOOKUP($N39,INPUT!$AB$9:$AF$123,3,FALSE)</f>
        <v>0</v>
      </c>
      <c r="Q39" s="123">
        <f>VLOOKUP($N39,INPUT!$AB$9:$AF$123,4,FALSE)</f>
        <v>14.55</v>
      </c>
      <c r="R39" s="31">
        <f>VLOOKUP($N39,INPUT!$AB$9:$AF$123,5,FALSE)</f>
        <v>0.22</v>
      </c>
      <c r="S39" s="99">
        <f>($R39*INPUT!$Q$59)*INPUT!$G$65</f>
        <v>-0.15038565418377159</v>
      </c>
      <c r="T39" s="99">
        <f>($R39*INPUT!$Q$59)*INPUT!$I$65</f>
        <v>1.5349892313143008</v>
      </c>
      <c r="U39" s="100">
        <f t="shared" si="39"/>
        <v>1.3846035771305292</v>
      </c>
      <c r="V39" s="100">
        <f t="shared" si="40"/>
        <v>15.934603577130529</v>
      </c>
    </row>
    <row r="40" spans="1:22" ht="13.5" thickBot="1" x14ac:dyDescent="0.25">
      <c r="A40" s="330" t="s">
        <v>437</v>
      </c>
      <c r="B40" s="371">
        <f t="shared" si="35"/>
        <v>0.38</v>
      </c>
      <c r="C40" s="319" t="s">
        <v>457</v>
      </c>
      <c r="D40" s="184">
        <f t="shared" si="7"/>
        <v>21.95</v>
      </c>
      <c r="E40" s="319" t="s">
        <v>457</v>
      </c>
      <c r="F40" s="243" t="s">
        <v>358</v>
      </c>
      <c r="G40" s="184">
        <f t="shared" si="36"/>
        <v>-0.25975703904469638</v>
      </c>
      <c r="H40" s="184">
        <f t="shared" si="37"/>
        <v>2.65134503590652</v>
      </c>
      <c r="I40" s="319" t="s">
        <v>457</v>
      </c>
      <c r="J40" s="184">
        <f t="shared" si="38"/>
        <v>24.341587996861822</v>
      </c>
      <c r="K40" s="243" t="s">
        <v>358</v>
      </c>
      <c r="N40" s="31" t="s">
        <v>419</v>
      </c>
      <c r="O40" s="251" t="s">
        <v>437</v>
      </c>
      <c r="P40" s="123">
        <f>VLOOKUP($N40,INPUT!$AB$9:$AF$123,3,FALSE)</f>
        <v>0</v>
      </c>
      <c r="Q40" s="123">
        <f>VLOOKUP($N40,INPUT!$AB$9:$AF$123,4,FALSE)</f>
        <v>21.95</v>
      </c>
      <c r="R40" s="31">
        <f>VLOOKUP($N40,INPUT!$AB$9:$AF$123,5,FALSE)</f>
        <v>0.38</v>
      </c>
      <c r="S40" s="99">
        <f>($R40*INPUT!$Q$59)*INPUT!$G$65</f>
        <v>-0.25975703904469638</v>
      </c>
      <c r="T40" s="99">
        <f>($R40*INPUT!$Q$59)*INPUT!$I$65</f>
        <v>2.65134503590652</v>
      </c>
      <c r="U40" s="100">
        <f t="shared" si="39"/>
        <v>2.3915879968618237</v>
      </c>
      <c r="V40" s="100">
        <f t="shared" si="40"/>
        <v>24.341587996861822</v>
      </c>
    </row>
    <row r="41" spans="1:22" ht="13.5" thickBot="1" x14ac:dyDescent="0.25">
      <c r="A41" s="330" t="s">
        <v>440</v>
      </c>
      <c r="B41" s="371">
        <f t="shared" si="35"/>
        <v>0.03</v>
      </c>
      <c r="C41" s="319" t="s">
        <v>457</v>
      </c>
      <c r="D41" s="184">
        <f t="shared" si="7"/>
        <v>8.4499999999999993</v>
      </c>
      <c r="E41" s="319" t="s">
        <v>457</v>
      </c>
      <c r="F41" s="243" t="s">
        <v>358</v>
      </c>
      <c r="G41" s="184">
        <f t="shared" si="36"/>
        <v>-2.0507134661423398E-2</v>
      </c>
      <c r="H41" s="184">
        <f t="shared" si="37"/>
        <v>0.20931671336104102</v>
      </c>
      <c r="I41" s="319" t="s">
        <v>457</v>
      </c>
      <c r="J41" s="184">
        <f t="shared" si="38"/>
        <v>8.6388095786996164</v>
      </c>
      <c r="K41" s="243" t="s">
        <v>358</v>
      </c>
      <c r="N41" s="31" t="s">
        <v>420</v>
      </c>
      <c r="O41" s="251" t="s">
        <v>440</v>
      </c>
      <c r="P41" s="123">
        <f>VLOOKUP($N41,INPUT!$AB$9:$AF$123,3,FALSE)</f>
        <v>0</v>
      </c>
      <c r="Q41" s="123">
        <f>VLOOKUP($N41,INPUT!$AB$9:$AF$123,4,FALSE)</f>
        <v>8.4499999999999993</v>
      </c>
      <c r="R41" s="31">
        <f>VLOOKUP($N41,INPUT!$AB$9:$AF$123,5,FALSE)</f>
        <v>0.03</v>
      </c>
      <c r="S41" s="99">
        <f>($R41*INPUT!$Q$59)*INPUT!$G$65</f>
        <v>-2.0507134661423398E-2</v>
      </c>
      <c r="T41" s="99">
        <f>($R41*INPUT!$Q$59)*INPUT!$I$65</f>
        <v>0.20931671336104102</v>
      </c>
      <c r="U41" s="100">
        <f t="shared" si="39"/>
        <v>0.18880957869961762</v>
      </c>
      <c r="V41" s="100">
        <f t="shared" si="40"/>
        <v>8.6388095786996164</v>
      </c>
    </row>
    <row r="42" spans="1:22" ht="13.5" thickBot="1" x14ac:dyDescent="0.25">
      <c r="A42" s="330" t="s">
        <v>441</v>
      </c>
      <c r="B42" s="371">
        <f t="shared" si="35"/>
        <v>9.6000000000000002E-2</v>
      </c>
      <c r="C42" s="319" t="s">
        <v>457</v>
      </c>
      <c r="D42" s="184">
        <f t="shared" si="7"/>
        <v>10.31</v>
      </c>
      <c r="E42" s="319" t="s">
        <v>457</v>
      </c>
      <c r="F42" s="243" t="s">
        <v>358</v>
      </c>
      <c r="G42" s="184">
        <f t="shared" si="36"/>
        <v>-6.5622830916554881E-2</v>
      </c>
      <c r="H42" s="184">
        <f t="shared" si="37"/>
        <v>0.66981348275533137</v>
      </c>
      <c r="I42" s="319" t="s">
        <v>457</v>
      </c>
      <c r="J42" s="184">
        <f t="shared" si="38"/>
        <v>10.914190651838778</v>
      </c>
      <c r="K42" s="243" t="s">
        <v>358</v>
      </c>
      <c r="N42" s="31" t="s">
        <v>421</v>
      </c>
      <c r="O42" s="251" t="s">
        <v>441</v>
      </c>
      <c r="P42" s="123">
        <f>VLOOKUP($N42,INPUT!$AB$9:$AF$123,3,FALSE)</f>
        <v>0</v>
      </c>
      <c r="Q42" s="123">
        <f>VLOOKUP($N42,INPUT!$AB$9:$AF$123,4,FALSE)</f>
        <v>10.31</v>
      </c>
      <c r="R42" s="31">
        <f>VLOOKUP($N42,INPUT!$AB$9:$AF$123,5,FALSE)</f>
        <v>9.6000000000000002E-2</v>
      </c>
      <c r="S42" s="99">
        <f>($R42*INPUT!$Q$59)*INPUT!$G$65</f>
        <v>-6.5622830916554881E-2</v>
      </c>
      <c r="T42" s="99">
        <f>($R42*INPUT!$Q$59)*INPUT!$I$65</f>
        <v>0.66981348275533137</v>
      </c>
      <c r="U42" s="100">
        <f t="shared" si="39"/>
        <v>0.60419065183877652</v>
      </c>
      <c r="V42" s="100">
        <f t="shared" si="40"/>
        <v>10.914190651838778</v>
      </c>
    </row>
    <row r="43" spans="1:22" ht="13.5" thickBot="1" x14ac:dyDescent="0.25">
      <c r="A43" s="330" t="s">
        <v>442</v>
      </c>
      <c r="B43" s="371">
        <f t="shared" si="35"/>
        <v>0.17499999999999999</v>
      </c>
      <c r="C43" s="319" t="s">
        <v>457</v>
      </c>
      <c r="D43" s="184">
        <f t="shared" si="7"/>
        <v>12.75</v>
      </c>
      <c r="E43" s="319" t="s">
        <v>457</v>
      </c>
      <c r="F43" s="243" t="s">
        <v>358</v>
      </c>
      <c r="G43" s="184">
        <f t="shared" si="36"/>
        <v>-0.11962495219163648</v>
      </c>
      <c r="H43" s="184">
        <f t="shared" si="37"/>
        <v>1.2210141612727392</v>
      </c>
      <c r="I43" s="319" t="s">
        <v>457</v>
      </c>
      <c r="J43" s="184">
        <f t="shared" si="38"/>
        <v>13.851389209081104</v>
      </c>
      <c r="K43" s="243" t="s">
        <v>358</v>
      </c>
      <c r="N43" s="31" t="s">
        <v>422</v>
      </c>
      <c r="O43" s="251" t="s">
        <v>442</v>
      </c>
      <c r="P43" s="123">
        <f>VLOOKUP($N43,INPUT!$AB$9:$AF$123,3,FALSE)</f>
        <v>0</v>
      </c>
      <c r="Q43" s="123">
        <f>VLOOKUP($N43,INPUT!$AB$9:$AF$123,4,FALSE)</f>
        <v>12.75</v>
      </c>
      <c r="R43" s="31">
        <f>VLOOKUP($N43,INPUT!$AB$9:$AF$123,5,FALSE)</f>
        <v>0.17499999999999999</v>
      </c>
      <c r="S43" s="99">
        <f>($R43*INPUT!$Q$59)*INPUT!$G$65</f>
        <v>-0.11962495219163648</v>
      </c>
      <c r="T43" s="99">
        <f>($R43*INPUT!$Q$59)*INPUT!$I$65</f>
        <v>1.2210141612727392</v>
      </c>
      <c r="U43" s="100">
        <f t="shared" si="39"/>
        <v>1.1013892090811028</v>
      </c>
      <c r="V43" s="100">
        <f t="shared" si="40"/>
        <v>13.851389209081104</v>
      </c>
    </row>
    <row r="44" spans="1:22" ht="13.5" thickBot="1" x14ac:dyDescent="0.25">
      <c r="A44" s="330" t="s">
        <v>443</v>
      </c>
      <c r="B44" s="371">
        <f t="shared" si="35"/>
        <v>0.29699999999999999</v>
      </c>
      <c r="C44" s="319" t="s">
        <v>457</v>
      </c>
      <c r="D44" s="184">
        <f t="shared" si="7"/>
        <v>19.670000000000002</v>
      </c>
      <c r="E44" s="319" t="s">
        <v>457</v>
      </c>
      <c r="F44" s="243" t="s">
        <v>358</v>
      </c>
      <c r="G44" s="184">
        <f t="shared" si="36"/>
        <v>-0.20302063314809163</v>
      </c>
      <c r="H44" s="184">
        <f t="shared" si="37"/>
        <v>2.072235462274306</v>
      </c>
      <c r="I44" s="319" t="s">
        <v>457</v>
      </c>
      <c r="J44" s="184">
        <f t="shared" si="38"/>
        <v>21.539214829126216</v>
      </c>
      <c r="K44" s="243" t="s">
        <v>358</v>
      </c>
      <c r="N44" s="31" t="s">
        <v>423</v>
      </c>
      <c r="O44" s="251" t="s">
        <v>443</v>
      </c>
      <c r="P44" s="123">
        <f>VLOOKUP($N44,INPUT!$AB$9:$AF$123,3,FALSE)</f>
        <v>0</v>
      </c>
      <c r="Q44" s="123">
        <f>VLOOKUP($N44,INPUT!$AB$9:$AF$123,4,FALSE)</f>
        <v>19.670000000000002</v>
      </c>
      <c r="R44" s="31">
        <f>VLOOKUP($N44,INPUT!$AB$9:$AF$123,5,FALSE)</f>
        <v>0.29699999999999999</v>
      </c>
      <c r="S44" s="99">
        <f>($R44*INPUT!$Q$59)*INPUT!$G$65</f>
        <v>-0.20302063314809163</v>
      </c>
      <c r="T44" s="99">
        <f>($R44*INPUT!$Q$59)*INPUT!$I$65</f>
        <v>2.072235462274306</v>
      </c>
      <c r="U44" s="100">
        <f t="shared" si="39"/>
        <v>1.8692148291262143</v>
      </c>
      <c r="V44" s="100">
        <f t="shared" si="40"/>
        <v>21.539214829126216</v>
      </c>
    </row>
    <row r="45" spans="1:22" x14ac:dyDescent="0.2">
      <c r="A45" s="111"/>
      <c r="C45" s="184"/>
      <c r="D45" s="184"/>
      <c r="E45" s="184"/>
      <c r="F45" s="243"/>
      <c r="G45" s="184"/>
      <c r="H45" s="184"/>
      <c r="I45" s="184"/>
      <c r="J45" s="184"/>
      <c r="K45" s="243"/>
      <c r="O45" s="362"/>
      <c r="P45" s="363"/>
      <c r="Q45" s="362"/>
      <c r="S45" s="99"/>
      <c r="T45" s="99"/>
      <c r="U45" s="100"/>
      <c r="V45" s="100"/>
    </row>
    <row r="46" spans="1:22" x14ac:dyDescent="0.2">
      <c r="A46" s="89" t="s">
        <v>313</v>
      </c>
      <c r="C46" s="184"/>
      <c r="D46" s="184"/>
      <c r="E46" s="184"/>
      <c r="F46" s="185"/>
      <c r="G46" s="184"/>
      <c r="H46" s="184"/>
      <c r="I46" s="184"/>
      <c r="J46" s="184"/>
      <c r="K46" s="185"/>
      <c r="O46" s="111"/>
      <c r="P46" s="127"/>
      <c r="Q46" s="111"/>
      <c r="S46" s="99"/>
      <c r="T46" s="99"/>
      <c r="U46" s="100"/>
      <c r="V46" s="100"/>
    </row>
    <row r="47" spans="1:22" x14ac:dyDescent="0.2">
      <c r="A47" s="180" t="s">
        <v>318</v>
      </c>
      <c r="C47" s="184"/>
      <c r="D47" s="184"/>
      <c r="E47" s="184"/>
      <c r="F47" s="185"/>
      <c r="G47" s="184"/>
      <c r="H47" s="184"/>
      <c r="I47" s="184"/>
      <c r="J47" s="184"/>
      <c r="K47" s="185"/>
      <c r="O47" s="111"/>
      <c r="P47" s="127"/>
      <c r="Q47" s="111"/>
      <c r="S47" s="99"/>
      <c r="T47" s="99"/>
    </row>
    <row r="48" spans="1:22" x14ac:dyDescent="0.2">
      <c r="A48" s="180" t="str">
        <f>+'Rate Case Constants'!$C$26</f>
        <v>Calculations may vary from other schedules due to rounding</v>
      </c>
      <c r="C48" s="184"/>
      <c r="D48" s="184"/>
      <c r="E48" s="184"/>
      <c r="F48" s="185"/>
      <c r="G48" s="184"/>
      <c r="H48" s="184"/>
      <c r="I48" s="184"/>
      <c r="J48" s="184"/>
      <c r="K48" s="185"/>
      <c r="L48" s="245"/>
      <c r="O48" s="111"/>
      <c r="P48" s="127"/>
      <c r="Q48" s="111"/>
      <c r="S48" s="99"/>
      <c r="T48" s="99"/>
    </row>
    <row r="49" spans="1:20" x14ac:dyDescent="0.2">
      <c r="A49" s="398" t="str">
        <f>+$A$1</f>
        <v>KENTUCKY UTILITIES COMPANY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245"/>
      <c r="O49" s="111"/>
      <c r="P49" s="127"/>
      <c r="Q49" s="111"/>
      <c r="S49" s="99"/>
      <c r="T49" s="99"/>
    </row>
    <row r="50" spans="1:20" x14ac:dyDescent="0.2">
      <c r="A50" s="398" t="str">
        <f>+$A$2</f>
        <v>CASE NO. 2018-00294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246"/>
      <c r="O50" s="111"/>
      <c r="P50" s="127"/>
      <c r="Q50" s="111"/>
      <c r="S50" s="99"/>
      <c r="T50" s="99"/>
    </row>
    <row r="51" spans="1:20" x14ac:dyDescent="0.2">
      <c r="A51" s="399" t="str">
        <f>+$A$3</f>
        <v>Typical Bill Comparison under Present &amp; Proposed Rates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2"/>
      <c r="O51" s="111"/>
      <c r="P51" s="127"/>
      <c r="Q51" s="111"/>
      <c r="S51" s="99"/>
      <c r="T51" s="99"/>
    </row>
    <row r="52" spans="1:20" x14ac:dyDescent="0.2">
      <c r="A52" s="398" t="str">
        <f>+$A$4</f>
        <v>FORECAST PERIOD FOR THE 12 MONTHS ENDED APRIL 30, 2020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2"/>
      <c r="O52" s="111"/>
      <c r="P52" s="127"/>
      <c r="Q52" s="111"/>
      <c r="S52" s="99"/>
      <c r="T52" s="99"/>
    </row>
    <row r="53" spans="1:20" x14ac:dyDescent="0.2">
      <c r="A53" s="107"/>
      <c r="B53" s="3"/>
      <c r="C53" s="215"/>
      <c r="D53" s="215"/>
      <c r="E53" s="215"/>
      <c r="F53" s="216"/>
      <c r="G53" s="215"/>
      <c r="H53" s="215"/>
      <c r="I53" s="215"/>
      <c r="J53" s="215"/>
      <c r="K53" s="216"/>
      <c r="O53" s="111"/>
      <c r="P53" s="127"/>
      <c r="Q53" s="111"/>
      <c r="S53" s="99"/>
      <c r="T53" s="99"/>
    </row>
    <row r="54" spans="1:20" x14ac:dyDescent="0.2">
      <c r="A54" s="107" t="str">
        <f>+$A$6</f>
        <v>DATA: ____BASE PERIOD__X___FORECASTED PERIOD</v>
      </c>
      <c r="B54" s="3"/>
      <c r="C54" s="215"/>
      <c r="D54" s="215"/>
      <c r="E54" s="215"/>
      <c r="F54" s="216"/>
      <c r="G54" s="215"/>
      <c r="H54" s="215"/>
      <c r="I54" s="215"/>
      <c r="J54" s="215"/>
      <c r="K54" s="217" t="str">
        <f>+$K$6</f>
        <v>SCHEDULE N</v>
      </c>
      <c r="O54" s="111"/>
      <c r="P54" s="127"/>
      <c r="Q54" s="111"/>
      <c r="S54" s="99"/>
      <c r="T54" s="99"/>
    </row>
    <row r="55" spans="1:20" x14ac:dyDescent="0.2">
      <c r="A55" s="107" t="str">
        <f>+$A$7</f>
        <v>TYPE OF FILING: __X__ ORIGINAL  _____ UPDATED  _____ REVISED</v>
      </c>
      <c r="B55" s="3"/>
      <c r="C55" s="215"/>
      <c r="D55" s="215"/>
      <c r="E55" s="215"/>
      <c r="F55" s="216"/>
      <c r="G55" s="215"/>
      <c r="H55" s="215"/>
      <c r="I55" s="215"/>
      <c r="J55" s="215"/>
      <c r="K55" s="218" t="str">
        <f>+'Rate Case Constants'!L23</f>
        <v>PAGE 16 of 24</v>
      </c>
      <c r="O55" s="111"/>
      <c r="P55" s="127"/>
      <c r="Q55" s="111"/>
      <c r="S55" s="99"/>
      <c r="T55" s="99"/>
    </row>
    <row r="56" spans="1:20" x14ac:dyDescent="0.2">
      <c r="A56" s="107" t="str">
        <f>+$A$8</f>
        <v>WORKPAPER REFERENCE NO(S):________</v>
      </c>
      <c r="B56" s="3"/>
      <c r="C56" s="215"/>
      <c r="D56" s="215"/>
      <c r="E56" s="215"/>
      <c r="F56" s="216"/>
      <c r="G56" s="215"/>
      <c r="H56" s="215"/>
      <c r="I56" s="215"/>
      <c r="J56" s="215"/>
      <c r="K56" s="218" t="str">
        <f>+$K$8</f>
        <v>WITNESS:   R. M. CONROY</v>
      </c>
      <c r="L56" s="210"/>
      <c r="O56" s="111"/>
      <c r="P56" s="127"/>
      <c r="Q56" s="111"/>
      <c r="S56" s="99"/>
      <c r="T56" s="99"/>
    </row>
    <row r="57" spans="1:20" x14ac:dyDescent="0.2">
      <c r="A57" s="107"/>
      <c r="B57" s="211"/>
      <c r="C57" s="220"/>
      <c r="D57" s="220"/>
      <c r="E57" s="220"/>
      <c r="F57" s="221"/>
      <c r="G57" s="220"/>
      <c r="H57" s="220"/>
      <c r="I57" s="220"/>
      <c r="J57" s="220"/>
      <c r="K57" s="221"/>
      <c r="L57" s="195"/>
      <c r="O57" s="111"/>
      <c r="P57" s="127"/>
      <c r="Q57" s="111"/>
      <c r="S57" s="99"/>
      <c r="T57" s="99"/>
    </row>
    <row r="58" spans="1:20" x14ac:dyDescent="0.2">
      <c r="A58" s="126" t="s">
        <v>153</v>
      </c>
      <c r="B58" s="3" t="s">
        <v>303</v>
      </c>
      <c r="C58" s="27" t="s">
        <v>304</v>
      </c>
      <c r="D58" s="27" t="s">
        <v>305</v>
      </c>
      <c r="E58" s="3" t="s">
        <v>306</v>
      </c>
      <c r="F58" s="3" t="s">
        <v>307</v>
      </c>
      <c r="G58" s="27" t="s">
        <v>308</v>
      </c>
      <c r="H58" s="3" t="s">
        <v>309</v>
      </c>
      <c r="I58" s="3" t="s">
        <v>310</v>
      </c>
      <c r="J58" s="3" t="s">
        <v>311</v>
      </c>
      <c r="K58" s="3" t="s">
        <v>312</v>
      </c>
      <c r="L58" s="195"/>
      <c r="O58" s="111"/>
      <c r="P58" s="127"/>
      <c r="Q58" s="111"/>
      <c r="S58" s="99"/>
      <c r="T58" s="99"/>
    </row>
    <row r="59" spans="1:20" x14ac:dyDescent="0.2">
      <c r="A59" s="111"/>
      <c r="C59" s="200" t="s">
        <v>327</v>
      </c>
      <c r="D59" s="200" t="s">
        <v>327</v>
      </c>
      <c r="I59" s="3" t="s">
        <v>5</v>
      </c>
      <c r="J59" s="3" t="s">
        <v>5</v>
      </c>
      <c r="L59" s="195"/>
      <c r="O59" s="111"/>
      <c r="P59" s="127"/>
      <c r="Q59" s="111"/>
      <c r="S59" s="99"/>
      <c r="T59" s="99"/>
    </row>
    <row r="60" spans="1:20" x14ac:dyDescent="0.2">
      <c r="A60" s="111"/>
      <c r="B60" s="3" t="s">
        <v>219</v>
      </c>
      <c r="C60" s="3" t="s">
        <v>1</v>
      </c>
      <c r="D60" s="3" t="s">
        <v>74</v>
      </c>
      <c r="E60" s="3"/>
      <c r="F60" s="3"/>
      <c r="G60" s="400" t="s">
        <v>251</v>
      </c>
      <c r="H60" s="400"/>
      <c r="I60" s="3" t="s">
        <v>1</v>
      </c>
      <c r="J60" s="3" t="s">
        <v>74</v>
      </c>
      <c r="K60" s="3"/>
      <c r="L60" s="195"/>
      <c r="O60" s="111"/>
      <c r="P60" s="127"/>
      <c r="Q60" s="111"/>
      <c r="S60" s="99"/>
      <c r="T60" s="99"/>
    </row>
    <row r="61" spans="1:20" x14ac:dyDescent="0.2">
      <c r="A61" s="111"/>
      <c r="B61" s="3" t="s">
        <v>20</v>
      </c>
      <c r="C61" s="3" t="s">
        <v>4</v>
      </c>
      <c r="D61" s="3" t="s">
        <v>4</v>
      </c>
      <c r="E61" s="3" t="s">
        <v>75</v>
      </c>
      <c r="F61" s="3" t="s">
        <v>75</v>
      </c>
      <c r="G61" s="87" t="s">
        <v>337</v>
      </c>
      <c r="H61" s="52" t="s">
        <v>72</v>
      </c>
      <c r="I61" s="3" t="s">
        <v>4</v>
      </c>
      <c r="J61" s="3" t="s">
        <v>4</v>
      </c>
      <c r="K61" s="3" t="s">
        <v>75</v>
      </c>
      <c r="L61" s="195"/>
      <c r="O61" s="111"/>
      <c r="P61" s="127"/>
      <c r="Q61" s="111"/>
      <c r="S61" s="99"/>
      <c r="T61" s="99"/>
    </row>
    <row r="62" spans="1:20" x14ac:dyDescent="0.2">
      <c r="A62" s="111"/>
      <c r="C62" s="3"/>
      <c r="D62" s="3"/>
      <c r="E62" s="3" t="s">
        <v>69</v>
      </c>
      <c r="F62" s="27" t="s">
        <v>70</v>
      </c>
      <c r="G62" s="51"/>
      <c r="H62" s="54"/>
      <c r="I62" s="3" t="s">
        <v>69</v>
      </c>
      <c r="J62" s="3" t="s">
        <v>69</v>
      </c>
      <c r="K62" s="27" t="s">
        <v>70</v>
      </c>
      <c r="L62" s="195"/>
      <c r="O62" s="111"/>
      <c r="P62" s="127"/>
      <c r="Q62" s="111"/>
      <c r="S62" s="99"/>
      <c r="T62" s="99"/>
    </row>
    <row r="63" spans="1:20" x14ac:dyDescent="0.2">
      <c r="A63" s="186"/>
      <c r="B63" s="187"/>
      <c r="C63" s="82"/>
      <c r="D63" s="82"/>
      <c r="E63" s="204" t="str">
        <f>("[ "&amp;D58&amp;" - "&amp;C58&amp;" ]")</f>
        <v>[ C - B ]</v>
      </c>
      <c r="F63" s="204" t="str">
        <f>("[ "&amp;E58&amp;" / "&amp;C58&amp;" ]")</f>
        <v>[ D / B ]</v>
      </c>
      <c r="G63" s="205"/>
      <c r="H63" s="205"/>
      <c r="I63" s="204" t="str">
        <f>("["&amp;C58&amp;"+"&amp;$G$11&amp;"+"&amp;$H$11&amp;"]")</f>
        <v>[B+F+G]</v>
      </c>
      <c r="J63" s="204" t="str">
        <f>("["&amp;D58&amp;"+"&amp;$G$11&amp;"+"&amp;$H$11&amp;"]")</f>
        <v>[C+F+G]</v>
      </c>
      <c r="K63" s="204" t="str">
        <f>("[("&amp;J58&amp;" - "&amp;I58&amp;")/"&amp;I58&amp;"]")</f>
        <v>[(I - H)/H]</v>
      </c>
      <c r="L63" s="195"/>
      <c r="O63" s="111"/>
      <c r="P63" s="127"/>
      <c r="Q63" s="111"/>
      <c r="S63" s="99"/>
      <c r="T63" s="99"/>
    </row>
    <row r="64" spans="1:20" ht="13.5" thickBot="1" x14ac:dyDescent="0.25">
      <c r="A64" s="111"/>
      <c r="B64" s="222"/>
      <c r="C64" s="211"/>
      <c r="D64" s="211"/>
      <c r="E64" s="223"/>
      <c r="F64" s="223"/>
      <c r="G64" s="212"/>
      <c r="H64" s="212"/>
      <c r="I64" s="223"/>
      <c r="J64" s="223"/>
      <c r="K64" s="223"/>
      <c r="O64" s="320"/>
      <c r="P64" s="358"/>
      <c r="Q64" s="320"/>
      <c r="S64" s="99"/>
      <c r="T64" s="99"/>
    </row>
    <row r="65" spans="1:22" ht="13.5" thickBot="1" x14ac:dyDescent="0.25">
      <c r="A65" s="107" t="s">
        <v>107</v>
      </c>
      <c r="C65" s="184"/>
      <c r="D65" s="184"/>
      <c r="E65" s="184"/>
      <c r="F65" s="185"/>
      <c r="G65" s="184"/>
      <c r="H65" s="184"/>
      <c r="I65" s="184"/>
      <c r="J65" s="184"/>
      <c r="K65" s="185"/>
      <c r="O65" s="108" t="s">
        <v>107</v>
      </c>
      <c r="P65" s="116"/>
      <c r="Q65" s="125"/>
      <c r="S65" s="99"/>
      <c r="T65" s="99"/>
    </row>
    <row r="66" spans="1:22" ht="13.5" thickBot="1" x14ac:dyDescent="0.25">
      <c r="A66" s="109" t="s">
        <v>220</v>
      </c>
      <c r="C66" s="184"/>
      <c r="D66" s="184"/>
      <c r="E66" s="184"/>
      <c r="F66" s="185"/>
      <c r="G66" s="184"/>
      <c r="H66" s="184"/>
      <c r="I66" s="184"/>
      <c r="J66" s="184"/>
      <c r="K66" s="185"/>
      <c r="O66" s="110" t="s">
        <v>220</v>
      </c>
      <c r="P66" s="123"/>
      <c r="Q66" s="124"/>
      <c r="S66" s="99"/>
      <c r="T66" s="99"/>
    </row>
    <row r="67" spans="1:22" ht="13.5" thickBot="1" x14ac:dyDescent="0.25">
      <c r="A67" s="330" t="s">
        <v>462</v>
      </c>
      <c r="B67" s="41">
        <f t="shared" ref="B67:B68" si="41">+R67</f>
        <v>8.3000000000000004E-2</v>
      </c>
      <c r="C67" s="184">
        <f t="shared" ref="C67:C68" si="42">P67</f>
        <v>34.32</v>
      </c>
      <c r="D67" s="184">
        <f t="shared" ref="D67:D75" si="43">Q67</f>
        <v>36.75</v>
      </c>
      <c r="E67" s="184">
        <f t="shared" ref="E67:E68" si="44">+D67-C67</f>
        <v>2.4299999999999997</v>
      </c>
      <c r="F67" s="243">
        <f t="shared" ref="F67:F68" si="45">+E67/C67</f>
        <v>7.0804195804195794E-2</v>
      </c>
      <c r="G67" s="184">
        <f t="shared" ref="G67:G68" si="46">+S67</f>
        <v>-5.6736405896604739E-2</v>
      </c>
      <c r="H67" s="184">
        <f t="shared" ref="H67:H68" si="47">+T67</f>
        <v>0.57910957363221349</v>
      </c>
      <c r="I67" s="184">
        <f t="shared" ref="I67:I68" si="48">+C67+G67+H67</f>
        <v>34.842373167735609</v>
      </c>
      <c r="J67" s="184">
        <f t="shared" ref="J67:J68" si="49">+D67+G67+H67</f>
        <v>37.272373167735608</v>
      </c>
      <c r="K67" s="243">
        <f t="shared" ref="K67:K68" si="50">(J67-I67)/I67</f>
        <v>6.9742666158291541E-2</v>
      </c>
      <c r="N67" s="31">
        <v>414</v>
      </c>
      <c r="O67" s="105" t="s">
        <v>114</v>
      </c>
      <c r="P67" s="123">
        <f>VLOOKUP($N67,INPUT!$AB$9:$AF$123,3,FALSE)</f>
        <v>34.32</v>
      </c>
      <c r="Q67" s="123">
        <f>VLOOKUP($N67,INPUT!$AB$9:$AF$123,4,FALSE)</f>
        <v>36.75</v>
      </c>
      <c r="R67" s="31">
        <f>VLOOKUP($N67,INPUT!$AB$9:$AF$123,5,FALSE)</f>
        <v>8.3000000000000004E-2</v>
      </c>
      <c r="S67" s="99">
        <f>($R67*INPUT!$Q$59)*INPUT!$G$65</f>
        <v>-5.6736405896604739E-2</v>
      </c>
      <c r="T67" s="99">
        <f>($R67*INPUT!$Q$59)*INPUT!$I$65</f>
        <v>0.57910957363221349</v>
      </c>
      <c r="U67" s="100">
        <f t="shared" ref="U67:U68" si="51">+P67+S67+T67</f>
        <v>34.842373167735609</v>
      </c>
      <c r="V67" s="100">
        <f t="shared" ref="V67:V68" si="52">+Q67+S67+T67</f>
        <v>37.272373167735608</v>
      </c>
    </row>
    <row r="68" spans="1:22" ht="13.5" thickBot="1" x14ac:dyDescent="0.25">
      <c r="A68" s="330" t="s">
        <v>463</v>
      </c>
      <c r="B68" s="41">
        <f t="shared" si="41"/>
        <v>0.11700000000000001</v>
      </c>
      <c r="C68" s="184">
        <f t="shared" si="42"/>
        <v>34.53</v>
      </c>
      <c r="D68" s="184">
        <f t="shared" si="43"/>
        <v>36.979999999999997</v>
      </c>
      <c r="E68" s="184">
        <f t="shared" si="44"/>
        <v>2.4499999999999957</v>
      </c>
      <c r="F68" s="243">
        <f t="shared" si="45"/>
        <v>7.0952794671300196E-2</v>
      </c>
      <c r="G68" s="184">
        <f t="shared" si="46"/>
        <v>-7.9977825179551265E-2</v>
      </c>
      <c r="H68" s="184">
        <f t="shared" si="47"/>
        <v>0.81633518210806011</v>
      </c>
      <c r="I68" s="184">
        <f t="shared" si="48"/>
        <v>35.266357356928509</v>
      </c>
      <c r="J68" s="184">
        <f t="shared" si="49"/>
        <v>37.716357356928505</v>
      </c>
      <c r="K68" s="243">
        <f t="shared" si="50"/>
        <v>6.9471308737778195E-2</v>
      </c>
      <c r="N68" s="31">
        <v>415</v>
      </c>
      <c r="O68" s="105" t="s">
        <v>115</v>
      </c>
      <c r="P68" s="123">
        <f>VLOOKUP($N68,INPUT!$AB$9:$AF$123,3,FALSE)</f>
        <v>34.53</v>
      </c>
      <c r="Q68" s="123">
        <f>VLOOKUP($N68,INPUT!$AB$9:$AF$123,4,FALSE)</f>
        <v>36.979999999999997</v>
      </c>
      <c r="R68" s="31">
        <f>VLOOKUP($N68,INPUT!$AB$9:$AF$123,5,FALSE)</f>
        <v>0.11700000000000001</v>
      </c>
      <c r="S68" s="99">
        <f>($R68*INPUT!$Q$59)*INPUT!$G$65</f>
        <v>-7.9977825179551265E-2</v>
      </c>
      <c r="T68" s="99">
        <f>($R68*INPUT!$Q$59)*INPUT!$I$65</f>
        <v>0.81633518210806011</v>
      </c>
      <c r="U68" s="100">
        <f t="shared" si="51"/>
        <v>35.266357356928509</v>
      </c>
      <c r="V68" s="100">
        <f t="shared" si="52"/>
        <v>37.716357356928505</v>
      </c>
    </row>
    <row r="69" spans="1:22" ht="13.5" thickBot="1" x14ac:dyDescent="0.25">
      <c r="A69" s="89"/>
      <c r="B69" s="31"/>
      <c r="O69" s="105"/>
      <c r="P69" s="123"/>
      <c r="Q69" s="124"/>
    </row>
    <row r="70" spans="1:22" ht="13.5" thickBot="1" x14ac:dyDescent="0.25">
      <c r="A70" s="89" t="s">
        <v>452</v>
      </c>
      <c r="B70" s="319" t="s">
        <v>457</v>
      </c>
      <c r="C70" s="319" t="s">
        <v>457</v>
      </c>
      <c r="D70" s="184">
        <f t="shared" si="43"/>
        <v>12.49</v>
      </c>
      <c r="E70" s="319" t="s">
        <v>457</v>
      </c>
      <c r="F70" s="243" t="s">
        <v>358</v>
      </c>
      <c r="I70" s="319" t="s">
        <v>457</v>
      </c>
      <c r="J70" s="184">
        <f t="shared" ref="J70:J73" si="53">+D70+G70+H70</f>
        <v>12.49</v>
      </c>
      <c r="K70" s="243" t="s">
        <v>358</v>
      </c>
      <c r="N70" s="31" t="s">
        <v>448</v>
      </c>
      <c r="O70" s="105" t="s">
        <v>452</v>
      </c>
      <c r="P70" s="123">
        <f>VLOOKUP($N70,INPUT!$AB$9:$AF$123,3,FALSE)</f>
        <v>0</v>
      </c>
      <c r="Q70" s="123">
        <f>VLOOKUP($N70,INPUT!$AB$9:$AF$123,4,FALSE)</f>
        <v>12.49</v>
      </c>
      <c r="R70" s="31">
        <f>VLOOKUP($N70,INPUT!$AB$9:$AF$123,5,FALSE)</f>
        <v>0</v>
      </c>
      <c r="S70" s="99">
        <f>($R70*INPUT!$Q$59)*INPUT!$G$65</f>
        <v>0</v>
      </c>
      <c r="T70" s="99">
        <f>($R70*INPUT!$Q$59)*INPUT!$I$65</f>
        <v>0</v>
      </c>
      <c r="U70" s="100">
        <f t="shared" ref="U70:U75" si="54">+P70+S70+T70</f>
        <v>0</v>
      </c>
      <c r="V70" s="100">
        <f t="shared" ref="V70:V75" si="55">+Q70+S70+T70</f>
        <v>12.49</v>
      </c>
    </row>
    <row r="71" spans="1:22" ht="13.5" thickBot="1" x14ac:dyDescent="0.25">
      <c r="A71" s="89" t="s">
        <v>453</v>
      </c>
      <c r="B71" s="319" t="s">
        <v>457</v>
      </c>
      <c r="C71" s="319" t="s">
        <v>457</v>
      </c>
      <c r="D71" s="184">
        <f t="shared" si="43"/>
        <v>12</v>
      </c>
      <c r="E71" s="319" t="s">
        <v>457</v>
      </c>
      <c r="F71" s="243" t="s">
        <v>358</v>
      </c>
      <c r="I71" s="319" t="s">
        <v>457</v>
      </c>
      <c r="J71" s="184">
        <f t="shared" si="53"/>
        <v>12</v>
      </c>
      <c r="K71" s="243" t="s">
        <v>358</v>
      </c>
      <c r="N71" s="31" t="s">
        <v>449</v>
      </c>
      <c r="O71" s="105" t="s">
        <v>453</v>
      </c>
      <c r="P71" s="123">
        <f>VLOOKUP($N71,INPUT!$AB$9:$AF$123,3,FALSE)</f>
        <v>0</v>
      </c>
      <c r="Q71" s="123">
        <f>VLOOKUP($N71,INPUT!$AB$9:$AF$123,4,FALSE)</f>
        <v>12</v>
      </c>
      <c r="R71" s="31">
        <f>VLOOKUP($N71,INPUT!$AB$9:$AF$123,5,FALSE)</f>
        <v>0</v>
      </c>
      <c r="S71" s="99">
        <f>($R71*INPUT!$Q$59)*INPUT!$G$65</f>
        <v>0</v>
      </c>
      <c r="T71" s="99">
        <f>($R71*INPUT!$Q$59)*INPUT!$I$65</f>
        <v>0</v>
      </c>
      <c r="U71" s="100">
        <f t="shared" si="54"/>
        <v>0</v>
      </c>
      <c r="V71" s="100">
        <f t="shared" si="55"/>
        <v>12</v>
      </c>
    </row>
    <row r="72" spans="1:22" ht="13.5" thickBot="1" x14ac:dyDescent="0.25">
      <c r="A72" s="89" t="s">
        <v>454</v>
      </c>
      <c r="B72" s="319" t="s">
        <v>457</v>
      </c>
      <c r="C72" s="319" t="s">
        <v>457</v>
      </c>
      <c r="D72" s="184">
        <f t="shared" si="43"/>
        <v>8.25</v>
      </c>
      <c r="E72" s="319" t="s">
        <v>457</v>
      </c>
      <c r="F72" s="243" t="s">
        <v>358</v>
      </c>
      <c r="I72" s="319" t="s">
        <v>457</v>
      </c>
      <c r="J72" s="184">
        <f t="shared" si="53"/>
        <v>8.25</v>
      </c>
      <c r="K72" s="243" t="s">
        <v>358</v>
      </c>
      <c r="N72" s="31" t="s">
        <v>450</v>
      </c>
      <c r="O72" s="105" t="s">
        <v>454</v>
      </c>
      <c r="P72" s="123">
        <f>VLOOKUP($N72,INPUT!$AB$9:$AF$123,3,FALSE)</f>
        <v>0</v>
      </c>
      <c r="Q72" s="123">
        <f>VLOOKUP($N72,INPUT!$AB$9:$AF$123,4,FALSE)</f>
        <v>8.25</v>
      </c>
      <c r="R72" s="31">
        <f>VLOOKUP($N72,INPUT!$AB$9:$AF$123,5,FALSE)</f>
        <v>0</v>
      </c>
      <c r="S72" s="99">
        <f>($R72*INPUT!$Q$59)*INPUT!$G$65</f>
        <v>0</v>
      </c>
      <c r="T72" s="99">
        <f>($R72*INPUT!$Q$59)*INPUT!$I$65</f>
        <v>0</v>
      </c>
      <c r="U72" s="100">
        <f t="shared" si="54"/>
        <v>0</v>
      </c>
      <c r="V72" s="100">
        <f t="shared" si="55"/>
        <v>8.25</v>
      </c>
    </row>
    <row r="73" spans="1:22" ht="13.5" thickBot="1" x14ac:dyDescent="0.25">
      <c r="A73" s="89" t="s">
        <v>455</v>
      </c>
      <c r="B73" s="319" t="s">
        <v>457</v>
      </c>
      <c r="C73" s="319" t="s">
        <v>457</v>
      </c>
      <c r="D73" s="184">
        <f t="shared" si="43"/>
        <v>15.48</v>
      </c>
      <c r="E73" s="319" t="s">
        <v>457</v>
      </c>
      <c r="F73" s="243" t="s">
        <v>358</v>
      </c>
      <c r="I73" s="319" t="s">
        <v>457</v>
      </c>
      <c r="J73" s="184">
        <f t="shared" si="53"/>
        <v>15.48</v>
      </c>
      <c r="K73" s="243" t="s">
        <v>358</v>
      </c>
      <c r="N73" s="31" t="s">
        <v>451</v>
      </c>
      <c r="O73" s="105" t="s">
        <v>455</v>
      </c>
      <c r="P73" s="123">
        <f>VLOOKUP($N73,INPUT!$AB$9:$AF$123,3,FALSE)</f>
        <v>0</v>
      </c>
      <c r="Q73" s="123">
        <f>VLOOKUP($N73,INPUT!$AB$9:$AF$123,4,FALSE)</f>
        <v>15.48</v>
      </c>
      <c r="R73" s="31">
        <f>VLOOKUP($N73,INPUT!$AB$9:$AF$123,5,FALSE)</f>
        <v>0</v>
      </c>
      <c r="S73" s="99">
        <f>($R73*INPUT!$Q$59)*INPUT!$G$65</f>
        <v>0</v>
      </c>
      <c r="T73" s="99">
        <f>($R73*INPUT!$Q$59)*INPUT!$I$65</f>
        <v>0</v>
      </c>
      <c r="U73" s="100">
        <f t="shared" si="54"/>
        <v>0</v>
      </c>
      <c r="V73" s="100">
        <f t="shared" si="55"/>
        <v>15.48</v>
      </c>
    </row>
    <row r="74" spans="1:22" ht="13.5" thickBot="1" x14ac:dyDescent="0.25">
      <c r="A74" s="89"/>
      <c r="B74" s="31"/>
      <c r="O74" s="105"/>
      <c r="P74" s="123"/>
      <c r="Q74" s="123"/>
    </row>
    <row r="75" spans="1:22" ht="13.5" thickBot="1" x14ac:dyDescent="0.25">
      <c r="A75" s="89" t="s">
        <v>464</v>
      </c>
      <c r="B75" s="319" t="s">
        <v>457</v>
      </c>
      <c r="C75" s="319" t="s">
        <v>457</v>
      </c>
      <c r="D75" s="184">
        <f t="shared" si="43"/>
        <v>6.12</v>
      </c>
      <c r="E75" s="319" t="s">
        <v>457</v>
      </c>
      <c r="F75" s="243" t="s">
        <v>358</v>
      </c>
      <c r="I75" s="319" t="s">
        <v>457</v>
      </c>
      <c r="J75" s="184">
        <f t="shared" ref="J75" si="56">+D75+G75+H75</f>
        <v>6.12</v>
      </c>
      <c r="K75" s="243" t="s">
        <v>358</v>
      </c>
      <c r="N75" s="31" t="s">
        <v>499</v>
      </c>
      <c r="O75" s="105" t="s">
        <v>464</v>
      </c>
      <c r="P75" s="123">
        <f>VLOOKUP($N75,INPUT!$AB$9:$AF$123,3,FALSE)</f>
        <v>0</v>
      </c>
      <c r="Q75" s="123">
        <f>VLOOKUP($N75,INPUT!$AB$9:$AF$123,4,FALSE)</f>
        <v>6.12</v>
      </c>
      <c r="R75" s="31">
        <f>VLOOKUP($N75,INPUT!$AB$9:$AF$123,5,FALSE)</f>
        <v>0</v>
      </c>
      <c r="S75" s="99"/>
      <c r="T75" s="99"/>
      <c r="U75" s="100">
        <f t="shared" si="54"/>
        <v>0</v>
      </c>
      <c r="V75" s="100">
        <f t="shared" si="55"/>
        <v>6.12</v>
      </c>
    </row>
    <row r="76" spans="1:22" x14ac:dyDescent="0.2">
      <c r="B76" s="31"/>
      <c r="O76" s="31"/>
      <c r="P76" s="31"/>
      <c r="Q76" s="31"/>
    </row>
    <row r="77" spans="1:22" x14ac:dyDescent="0.2">
      <c r="A77" s="89" t="s">
        <v>313</v>
      </c>
      <c r="C77" s="184"/>
      <c r="D77" s="184"/>
      <c r="E77" s="184"/>
      <c r="F77" s="185"/>
      <c r="G77" s="184"/>
      <c r="H77" s="184"/>
      <c r="I77" s="184"/>
      <c r="J77" s="184"/>
      <c r="K77" s="185"/>
      <c r="O77" s="111"/>
      <c r="P77" s="127"/>
      <c r="Q77" s="111"/>
      <c r="S77" s="99"/>
      <c r="T77" s="99"/>
      <c r="U77" s="100"/>
      <c r="V77" s="100"/>
    </row>
    <row r="78" spans="1:22" x14ac:dyDescent="0.2">
      <c r="A78" s="180" t="s">
        <v>318</v>
      </c>
      <c r="C78" s="184"/>
      <c r="D78" s="184"/>
      <c r="E78" s="184"/>
      <c r="F78" s="185"/>
      <c r="G78" s="184"/>
      <c r="H78" s="184"/>
      <c r="I78" s="184"/>
      <c r="J78" s="184"/>
      <c r="K78" s="185"/>
      <c r="O78" s="111"/>
      <c r="P78" s="127"/>
      <c r="Q78" s="111"/>
      <c r="S78" s="99"/>
      <c r="T78" s="99"/>
      <c r="U78" s="100"/>
      <c r="V78" s="100"/>
    </row>
    <row r="79" spans="1:22" x14ac:dyDescent="0.2">
      <c r="A79" s="180" t="str">
        <f>+'Rate Case Constants'!$C$26</f>
        <v>Calculations may vary from other schedules due to rounding</v>
      </c>
      <c r="C79" s="184"/>
      <c r="D79" s="184"/>
      <c r="E79" s="184"/>
      <c r="F79" s="185"/>
      <c r="G79" s="184"/>
      <c r="H79" s="184"/>
      <c r="I79" s="184"/>
      <c r="J79" s="184"/>
      <c r="K79" s="185"/>
      <c r="L79" s="245"/>
      <c r="O79" s="115"/>
      <c r="P79" s="127"/>
      <c r="Q79" s="111"/>
      <c r="S79" s="99"/>
      <c r="T79" s="99"/>
    </row>
    <row r="80" spans="1:22" x14ac:dyDescent="0.2">
      <c r="A80" s="398" t="str">
        <f>+$A$1</f>
        <v>KENTUCKY UTILITIES COMPANY</v>
      </c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245"/>
      <c r="O80" s="129"/>
      <c r="P80" s="111"/>
      <c r="Q80" s="111"/>
      <c r="S80" s="99"/>
      <c r="T80" s="99"/>
    </row>
    <row r="81" spans="1:20" x14ac:dyDescent="0.2">
      <c r="A81" s="398" t="str">
        <f>+$A$2</f>
        <v>CASE NO. 2018-00294</v>
      </c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246"/>
      <c r="O81" s="129"/>
      <c r="P81" s="111"/>
      <c r="Q81" s="111"/>
      <c r="S81" s="99"/>
      <c r="T81" s="99"/>
    </row>
    <row r="82" spans="1:20" x14ac:dyDescent="0.2">
      <c r="A82" s="399" t="str">
        <f>+$A$3</f>
        <v>Typical Bill Comparison under Present &amp; Proposed Rates</v>
      </c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2"/>
      <c r="O82" s="129"/>
      <c r="P82" s="111"/>
      <c r="Q82" s="111"/>
      <c r="S82" s="99"/>
      <c r="T82" s="99"/>
    </row>
    <row r="83" spans="1:20" x14ac:dyDescent="0.2">
      <c r="A83" s="398" t="str">
        <f>+$A$4</f>
        <v>FORECAST PERIOD FOR THE 12 MONTHS ENDED APRIL 30, 2020</v>
      </c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2"/>
      <c r="O83" s="129"/>
      <c r="P83" s="111"/>
      <c r="Q83" s="111"/>
      <c r="S83" s="99"/>
      <c r="T83" s="99"/>
    </row>
    <row r="84" spans="1:20" x14ac:dyDescent="0.2">
      <c r="A84" s="107"/>
      <c r="B84" s="3"/>
      <c r="C84" s="215"/>
      <c r="D84" s="215"/>
      <c r="E84" s="215"/>
      <c r="F84" s="216"/>
      <c r="G84" s="215"/>
      <c r="H84" s="215"/>
      <c r="I84" s="215"/>
      <c r="J84" s="215"/>
      <c r="K84" s="216"/>
      <c r="L84" s="2"/>
      <c r="O84" s="129"/>
      <c r="P84" s="111"/>
      <c r="Q84" s="111"/>
      <c r="S84" s="99"/>
      <c r="T84" s="99"/>
    </row>
    <row r="85" spans="1:20" x14ac:dyDescent="0.2">
      <c r="A85" s="107" t="str">
        <f>+$A$6</f>
        <v>DATA: ____BASE PERIOD__X___FORECASTED PERIOD</v>
      </c>
      <c r="B85" s="3"/>
      <c r="C85" s="215"/>
      <c r="D85" s="215"/>
      <c r="E85" s="215"/>
      <c r="F85" s="216"/>
      <c r="G85" s="215"/>
      <c r="H85" s="215"/>
      <c r="I85" s="215"/>
      <c r="J85" s="215"/>
      <c r="K85" s="217" t="str">
        <f>+$K$6</f>
        <v>SCHEDULE N</v>
      </c>
      <c r="L85" s="2"/>
      <c r="O85" s="129"/>
      <c r="P85" s="111"/>
      <c r="Q85" s="111"/>
      <c r="S85" s="99"/>
      <c r="T85" s="99"/>
    </row>
    <row r="86" spans="1:20" x14ac:dyDescent="0.2">
      <c r="A86" s="107" t="str">
        <f>+$A$7</f>
        <v>TYPE OF FILING: __X__ ORIGINAL  _____ UPDATED  _____ REVISED</v>
      </c>
      <c r="B86" s="3"/>
      <c r="C86" s="215"/>
      <c r="D86" s="215"/>
      <c r="E86" s="215"/>
      <c r="F86" s="216"/>
      <c r="G86" s="215"/>
      <c r="H86" s="215"/>
      <c r="I86" s="215"/>
      <c r="J86" s="215"/>
      <c r="K86" s="218" t="str">
        <f>+'Rate Case Constants'!L24</f>
        <v>PAGE 17 of 24</v>
      </c>
      <c r="L86" s="2"/>
      <c r="O86" s="129"/>
      <c r="P86" s="111"/>
      <c r="Q86" s="111"/>
      <c r="S86" s="99"/>
      <c r="T86" s="99"/>
    </row>
    <row r="87" spans="1:20" x14ac:dyDescent="0.2">
      <c r="A87" s="107" t="str">
        <f>+$A$8</f>
        <v>WORKPAPER REFERENCE NO(S):________</v>
      </c>
      <c r="B87" s="3"/>
      <c r="C87" s="215"/>
      <c r="D87" s="215"/>
      <c r="E87" s="215"/>
      <c r="F87" s="216"/>
      <c r="G87" s="215"/>
      <c r="H87" s="215"/>
      <c r="I87" s="215"/>
      <c r="J87" s="215"/>
      <c r="K87" s="218" t="str">
        <f>+$K$8</f>
        <v>WITNESS:   R. M. CONROY</v>
      </c>
      <c r="L87" s="195"/>
      <c r="O87" s="129"/>
      <c r="P87" s="111"/>
      <c r="Q87" s="111"/>
      <c r="S87" s="99"/>
      <c r="T87" s="99"/>
    </row>
    <row r="88" spans="1:20" x14ac:dyDescent="0.2">
      <c r="A88" s="111"/>
      <c r="B88" s="222"/>
      <c r="C88" s="224"/>
      <c r="D88" s="224"/>
      <c r="E88" s="224"/>
      <c r="F88" s="225"/>
      <c r="G88" s="224"/>
      <c r="H88" s="224"/>
      <c r="I88" s="224"/>
      <c r="J88" s="224"/>
      <c r="K88" s="225"/>
      <c r="L88" s="195"/>
      <c r="O88" s="129"/>
      <c r="P88" s="111"/>
      <c r="Q88" s="111"/>
      <c r="S88" s="99"/>
      <c r="T88" s="99"/>
    </row>
    <row r="89" spans="1:20" x14ac:dyDescent="0.2">
      <c r="A89" s="128" t="s">
        <v>152</v>
      </c>
      <c r="B89" s="3" t="s">
        <v>303</v>
      </c>
      <c r="C89" s="27" t="s">
        <v>304</v>
      </c>
      <c r="D89" s="27" t="s">
        <v>305</v>
      </c>
      <c r="E89" s="3" t="s">
        <v>306</v>
      </c>
      <c r="F89" s="3" t="s">
        <v>307</v>
      </c>
      <c r="G89" s="27" t="s">
        <v>308</v>
      </c>
      <c r="H89" s="3" t="s">
        <v>309</v>
      </c>
      <c r="I89" s="3" t="s">
        <v>310</v>
      </c>
      <c r="J89" s="3" t="s">
        <v>311</v>
      </c>
      <c r="K89" s="3" t="s">
        <v>312</v>
      </c>
      <c r="L89" s="195"/>
      <c r="O89" s="129"/>
      <c r="P89" s="111"/>
      <c r="Q89" s="111"/>
      <c r="S89" s="99"/>
      <c r="T89" s="99"/>
    </row>
    <row r="90" spans="1:20" x14ac:dyDescent="0.2">
      <c r="A90" s="111"/>
      <c r="C90" s="200" t="s">
        <v>327</v>
      </c>
      <c r="D90" s="200" t="s">
        <v>327</v>
      </c>
      <c r="I90" s="3" t="s">
        <v>5</v>
      </c>
      <c r="J90" s="3" t="s">
        <v>5</v>
      </c>
      <c r="L90" s="195"/>
      <c r="O90" s="129"/>
      <c r="P90" s="111"/>
      <c r="Q90" s="111"/>
      <c r="S90" s="99"/>
      <c r="T90" s="99"/>
    </row>
    <row r="91" spans="1:20" x14ac:dyDescent="0.2">
      <c r="A91" s="111"/>
      <c r="B91" s="3" t="s">
        <v>219</v>
      </c>
      <c r="C91" s="3" t="s">
        <v>1</v>
      </c>
      <c r="D91" s="3" t="s">
        <v>74</v>
      </c>
      <c r="E91" s="3"/>
      <c r="F91" s="3"/>
      <c r="G91" s="400" t="s">
        <v>251</v>
      </c>
      <c r="H91" s="400"/>
      <c r="I91" s="3" t="s">
        <v>1</v>
      </c>
      <c r="J91" s="3" t="s">
        <v>74</v>
      </c>
      <c r="K91" s="3"/>
      <c r="L91" s="195"/>
      <c r="O91" s="129"/>
      <c r="P91" s="111"/>
      <c r="Q91" s="111"/>
      <c r="S91" s="99"/>
      <c r="T91" s="99"/>
    </row>
    <row r="92" spans="1:20" x14ac:dyDescent="0.2">
      <c r="A92" s="111"/>
      <c r="B92" s="3" t="s">
        <v>20</v>
      </c>
      <c r="C92" s="3" t="s">
        <v>4</v>
      </c>
      <c r="D92" s="3" t="s">
        <v>4</v>
      </c>
      <c r="E92" s="3" t="s">
        <v>75</v>
      </c>
      <c r="F92" s="3" t="s">
        <v>75</v>
      </c>
      <c r="G92" s="87" t="s">
        <v>337</v>
      </c>
      <c r="H92" s="52" t="s">
        <v>72</v>
      </c>
      <c r="I92" s="3" t="s">
        <v>4</v>
      </c>
      <c r="J92" s="3" t="s">
        <v>4</v>
      </c>
      <c r="K92" s="3" t="s">
        <v>75</v>
      </c>
      <c r="L92" s="195"/>
      <c r="O92" s="129"/>
      <c r="P92" s="111"/>
      <c r="Q92" s="111"/>
      <c r="S92" s="99"/>
      <c r="T92" s="99"/>
    </row>
    <row r="93" spans="1:20" x14ac:dyDescent="0.2">
      <c r="A93" s="111"/>
      <c r="C93" s="3"/>
      <c r="D93" s="3"/>
      <c r="E93" s="3" t="s">
        <v>69</v>
      </c>
      <c r="F93" s="27" t="s">
        <v>70</v>
      </c>
      <c r="G93" s="51"/>
      <c r="H93" s="54"/>
      <c r="I93" s="3" t="s">
        <v>69</v>
      </c>
      <c r="J93" s="3" t="s">
        <v>69</v>
      </c>
      <c r="K93" s="27" t="s">
        <v>70</v>
      </c>
      <c r="L93" s="195"/>
      <c r="O93" s="129"/>
      <c r="P93" s="111"/>
      <c r="Q93" s="111"/>
      <c r="S93" s="99"/>
      <c r="T93" s="99"/>
    </row>
    <row r="94" spans="1:20" ht="13.5" thickBot="1" x14ac:dyDescent="0.25">
      <c r="A94" s="186"/>
      <c r="B94" s="187"/>
      <c r="C94" s="82"/>
      <c r="D94" s="82"/>
      <c r="E94" s="204" t="str">
        <f>("[ "&amp;D89&amp;" - "&amp;C89&amp;" ]")</f>
        <v>[ C - B ]</v>
      </c>
      <c r="F94" s="204" t="str">
        <f>("[ "&amp;E89&amp;" / "&amp;C89&amp;" ]")</f>
        <v>[ D / B ]</v>
      </c>
      <c r="G94" s="205"/>
      <c r="H94" s="205"/>
      <c r="I94" s="204" t="str">
        <f>("["&amp;C89&amp;"+"&amp;$G$11&amp;"+"&amp;$H$11&amp;"]")</f>
        <v>[B+F+G]</v>
      </c>
      <c r="J94" s="204" t="str">
        <f>("["&amp;D89&amp;"+"&amp;$G$11&amp;"+"&amp;$H$11&amp;"]")</f>
        <v>[C+F+G]</v>
      </c>
      <c r="K94" s="204" t="str">
        <f>("[("&amp;J89&amp;" - "&amp;I89&amp;")/"&amp;I89&amp;"]")</f>
        <v>[(I - H)/H]</v>
      </c>
      <c r="O94" s="129"/>
      <c r="P94" s="111"/>
      <c r="Q94" s="111"/>
      <c r="S94" s="99"/>
      <c r="T94" s="99"/>
    </row>
    <row r="95" spans="1:20" ht="13.5" thickBot="1" x14ac:dyDescent="0.25">
      <c r="A95" s="111"/>
      <c r="C95" s="184"/>
      <c r="D95" s="184"/>
      <c r="E95" s="184"/>
      <c r="F95" s="185"/>
      <c r="G95" s="184"/>
      <c r="H95" s="184"/>
      <c r="I95" s="184"/>
      <c r="J95" s="184"/>
      <c r="K95" s="185"/>
      <c r="O95" s="322" t="s">
        <v>152</v>
      </c>
      <c r="P95" s="103" t="s">
        <v>88</v>
      </c>
      <c r="Q95" s="104"/>
      <c r="S95" s="99"/>
      <c r="T95" s="99"/>
    </row>
    <row r="96" spans="1:20" ht="13.5" thickBot="1" x14ac:dyDescent="0.25">
      <c r="A96" s="323" t="s">
        <v>89</v>
      </c>
      <c r="B96" s="324"/>
      <c r="C96" s="325"/>
      <c r="D96" s="325"/>
      <c r="E96" s="325"/>
      <c r="F96" s="326"/>
      <c r="G96" s="325"/>
      <c r="H96" s="325"/>
      <c r="I96" s="325"/>
      <c r="J96" s="325"/>
      <c r="K96" s="326"/>
      <c r="O96" s="118" t="s">
        <v>89</v>
      </c>
      <c r="P96" s="106" t="s">
        <v>1</v>
      </c>
      <c r="Q96" s="106" t="s">
        <v>9</v>
      </c>
      <c r="S96" s="99"/>
      <c r="T96" s="99"/>
    </row>
    <row r="97" spans="1:22" ht="13.5" thickBot="1" x14ac:dyDescent="0.25">
      <c r="A97" s="327" t="s">
        <v>132</v>
      </c>
      <c r="B97" s="324"/>
      <c r="C97" s="325"/>
      <c r="D97" s="325"/>
      <c r="E97" s="325"/>
      <c r="F97" s="326"/>
      <c r="G97" s="325"/>
      <c r="H97" s="325"/>
      <c r="I97" s="325"/>
      <c r="J97" s="325"/>
      <c r="K97" s="326"/>
      <c r="O97" s="119" t="s">
        <v>132</v>
      </c>
      <c r="P97" s="114"/>
      <c r="Q97" s="114"/>
      <c r="S97" s="99"/>
      <c r="T97" s="99"/>
    </row>
    <row r="98" spans="1:22" ht="13.5" thickBot="1" x14ac:dyDescent="0.25">
      <c r="A98" s="328" t="s">
        <v>133</v>
      </c>
      <c r="B98" s="371">
        <f>+R98</f>
        <v>0.6</v>
      </c>
      <c r="C98" s="184">
        <f t="shared" ref="C98:C113" si="57">P98</f>
        <v>9.0299999999999994</v>
      </c>
      <c r="D98" s="184">
        <f t="shared" ref="D98:D113" si="58">Q98</f>
        <v>9.67</v>
      </c>
      <c r="E98" s="325">
        <f t="shared" ref="E98" si="59">+D98-C98</f>
        <v>0.64000000000000057</v>
      </c>
      <c r="F98" s="329">
        <f t="shared" ref="F98" si="60">+E98/C98</f>
        <v>7.0874861572536058E-2</v>
      </c>
      <c r="G98" s="325">
        <f t="shared" ref="G98" si="61">+S98</f>
        <v>-0.41014269322846797</v>
      </c>
      <c r="H98" s="325">
        <f t="shared" ref="H98" si="62">+T98</f>
        <v>4.1863342672208201</v>
      </c>
      <c r="I98" s="325">
        <f t="shared" ref="I98" si="63">+C98+G98+H98</f>
        <v>12.806191573992352</v>
      </c>
      <c r="J98" s="325">
        <f t="shared" ref="J98" si="64">+D98+G98+H98</f>
        <v>13.446191573992353</v>
      </c>
      <c r="K98" s="329">
        <f t="shared" ref="K98" si="65">(J98-I98)/I98</f>
        <v>4.9975825857529278E-2</v>
      </c>
      <c r="N98" s="31">
        <v>461</v>
      </c>
      <c r="O98" s="120" t="s">
        <v>133</v>
      </c>
      <c r="P98" s="123">
        <f>VLOOKUP($N98,INPUT!$AB$9:$AF$123,3,FALSE)</f>
        <v>9.0299999999999994</v>
      </c>
      <c r="Q98" s="123">
        <f>VLOOKUP($N98,INPUT!$AB$9:$AF$123,4,FALSE)</f>
        <v>9.67</v>
      </c>
      <c r="R98" s="31">
        <f>VLOOKUP($N98,INPUT!$AB$9:$AF$123,5,FALSE)</f>
        <v>0.6</v>
      </c>
      <c r="S98" s="99">
        <f>($R98*INPUT!$Q$59)*INPUT!$G$65</f>
        <v>-0.41014269322846797</v>
      </c>
      <c r="T98" s="99">
        <f>($R98*INPUT!$Q$59)*INPUT!$I$65</f>
        <v>4.1863342672208201</v>
      </c>
      <c r="U98" s="100">
        <f t="shared" ref="U98:U109" si="66">+P98+S98+T98</f>
        <v>12.806191573992352</v>
      </c>
      <c r="V98" s="100">
        <f t="shared" ref="V98:V109" si="67">+Q98+S98+T98</f>
        <v>13.446191573992353</v>
      </c>
    </row>
    <row r="99" spans="1:22" ht="13.5" thickBot="1" x14ac:dyDescent="0.25">
      <c r="A99" s="328" t="s">
        <v>134</v>
      </c>
      <c r="B99" s="371">
        <f t="shared" ref="B99:B109" si="68">+R99</f>
        <v>0.6</v>
      </c>
      <c r="C99" s="184">
        <f t="shared" si="57"/>
        <v>12.35</v>
      </c>
      <c r="D99" s="184">
        <f t="shared" si="58"/>
        <v>13.23</v>
      </c>
      <c r="E99" s="325">
        <f t="shared" ref="E99:E109" si="69">+D99-C99</f>
        <v>0.88000000000000078</v>
      </c>
      <c r="F99" s="329">
        <f t="shared" ref="F99:F109" si="70">+E99/C99</f>
        <v>7.1255060728745004E-2</v>
      </c>
      <c r="G99" s="325">
        <f t="shared" ref="G99:G109" si="71">+S99</f>
        <v>-0.41014269322846797</v>
      </c>
      <c r="H99" s="325">
        <f t="shared" ref="H99:H109" si="72">+T99</f>
        <v>4.1863342672208201</v>
      </c>
      <c r="I99" s="325">
        <f t="shared" ref="I99:I109" si="73">+C99+G99+H99</f>
        <v>16.126191573992351</v>
      </c>
      <c r="J99" s="325">
        <f t="shared" ref="J99:J109" si="74">+D99+G99+H99</f>
        <v>17.006191573992353</v>
      </c>
      <c r="K99" s="329">
        <f t="shared" ref="K99:K109" si="75">(J99-I99)/I99</f>
        <v>5.4569610931525202E-2</v>
      </c>
      <c r="N99" s="31">
        <v>471</v>
      </c>
      <c r="O99" s="113" t="s">
        <v>134</v>
      </c>
      <c r="P99" s="123">
        <f>VLOOKUP($N99,INPUT!$AB$9:$AF$123,3,FALSE)</f>
        <v>12.35</v>
      </c>
      <c r="Q99" s="123">
        <f>VLOOKUP($N99,INPUT!$AB$9:$AF$123,4,FALSE)</f>
        <v>13.23</v>
      </c>
      <c r="R99" s="31">
        <f>VLOOKUP($N99,INPUT!$AB$9:$AF$123,5,FALSE)</f>
        <v>0.6</v>
      </c>
      <c r="S99" s="99">
        <f>($R99*INPUT!$Q$59)*INPUT!$G$65</f>
        <v>-0.41014269322846797</v>
      </c>
      <c r="T99" s="99">
        <f>($R99*INPUT!$Q$59)*INPUT!$I$65</f>
        <v>4.1863342672208201</v>
      </c>
      <c r="U99" s="100">
        <f t="shared" si="66"/>
        <v>16.126191573992351</v>
      </c>
      <c r="V99" s="100">
        <f t="shared" si="67"/>
        <v>17.006191573992353</v>
      </c>
    </row>
    <row r="100" spans="1:22" ht="13.5" thickBot="1" x14ac:dyDescent="0.25">
      <c r="A100" s="330" t="s">
        <v>468</v>
      </c>
      <c r="B100" s="371">
        <f t="shared" ref="B100:B107" si="76">+R100</f>
        <v>8.3000000000000004E-2</v>
      </c>
      <c r="C100" s="184">
        <f t="shared" si="57"/>
        <v>10.1</v>
      </c>
      <c r="D100" s="184">
        <f t="shared" si="58"/>
        <v>10.82</v>
      </c>
      <c r="E100" s="325">
        <f t="shared" ref="E100:E107" si="77">+D100-C100</f>
        <v>0.72000000000000064</v>
      </c>
      <c r="F100" s="329">
        <f t="shared" ref="F100:F107" si="78">+E100/C100</f>
        <v>7.128712871287135E-2</v>
      </c>
      <c r="G100" s="325">
        <f t="shared" ref="G100:H107" si="79">+S100</f>
        <v>-5.6736405896604739E-2</v>
      </c>
      <c r="H100" s="325">
        <f t="shared" si="79"/>
        <v>0.57910957363221349</v>
      </c>
      <c r="I100" s="325">
        <f t="shared" ref="I100:I107" si="80">+C100+G100+H100</f>
        <v>10.622373167735608</v>
      </c>
      <c r="J100" s="325">
        <f t="shared" ref="J100:J107" si="81">+D100+G100+H100</f>
        <v>11.342373167735609</v>
      </c>
      <c r="K100" s="329">
        <f t="shared" ref="K100:K107" si="82">(J100-I100)/I100</f>
        <v>6.778146357980798E-2</v>
      </c>
      <c r="N100" s="31">
        <v>462</v>
      </c>
      <c r="O100" s="113" t="s">
        <v>91</v>
      </c>
      <c r="P100" s="123">
        <f>VLOOKUP($N100,INPUT!$AB$9:$AF$123,3,FALSE)</f>
        <v>10.1</v>
      </c>
      <c r="Q100" s="123">
        <f>VLOOKUP($N100,INPUT!$AB$9:$AF$123,4,FALSE)</f>
        <v>10.82</v>
      </c>
      <c r="R100" s="31">
        <f>VLOOKUP($N100,INPUT!$AB$9:$AF$123,5,FALSE)</f>
        <v>8.3000000000000004E-2</v>
      </c>
      <c r="S100" s="99">
        <f>($R100*INPUT!$Q$59)*INPUT!$G$65</f>
        <v>-5.6736405896604739E-2</v>
      </c>
      <c r="T100" s="99">
        <f>($R100*INPUT!$Q$59)*INPUT!$I$65</f>
        <v>0.57910957363221349</v>
      </c>
      <c r="U100" s="100">
        <f t="shared" ref="U100:U107" si="83">+P100+S100+T100</f>
        <v>10.622373167735608</v>
      </c>
      <c r="V100" s="100">
        <f t="shared" ref="V100:V107" si="84">+Q100+S100+T100</f>
        <v>11.342373167735609</v>
      </c>
    </row>
    <row r="101" spans="1:22" ht="13.5" thickBot="1" x14ac:dyDescent="0.25">
      <c r="A101" s="330" t="s">
        <v>469</v>
      </c>
      <c r="B101" s="371">
        <f t="shared" si="76"/>
        <v>8.3000000000000004E-2</v>
      </c>
      <c r="C101" s="184">
        <f t="shared" si="57"/>
        <v>13.77</v>
      </c>
      <c r="D101" s="184">
        <f t="shared" si="58"/>
        <v>14.75</v>
      </c>
      <c r="E101" s="325">
        <f t="shared" si="77"/>
        <v>0.98000000000000043</v>
      </c>
      <c r="F101" s="329">
        <f t="shared" si="78"/>
        <v>7.1169208424110411E-2</v>
      </c>
      <c r="G101" s="325">
        <f t="shared" si="79"/>
        <v>-5.6736405896604739E-2</v>
      </c>
      <c r="H101" s="325">
        <f t="shared" si="79"/>
        <v>0.57910957363221349</v>
      </c>
      <c r="I101" s="325">
        <f t="shared" si="80"/>
        <v>14.292373167735608</v>
      </c>
      <c r="J101" s="325">
        <f t="shared" si="81"/>
        <v>15.272373167735608</v>
      </c>
      <c r="K101" s="329">
        <f t="shared" si="82"/>
        <v>6.8568038946275667E-2</v>
      </c>
      <c r="N101" s="31">
        <v>472</v>
      </c>
      <c r="O101" s="113" t="s">
        <v>92</v>
      </c>
      <c r="P101" s="123">
        <f>VLOOKUP($N101,INPUT!$AB$9:$AF$123,3,FALSE)</f>
        <v>13.77</v>
      </c>
      <c r="Q101" s="123">
        <f>VLOOKUP($N101,INPUT!$AB$9:$AF$123,4,FALSE)</f>
        <v>14.75</v>
      </c>
      <c r="R101" s="31">
        <f>VLOOKUP($N101,INPUT!$AB$9:$AF$123,5,FALSE)</f>
        <v>8.3000000000000004E-2</v>
      </c>
      <c r="S101" s="99">
        <f>($R101*INPUT!$Q$59)*INPUT!$G$65</f>
        <v>-5.6736405896604739E-2</v>
      </c>
      <c r="T101" s="99">
        <f>($R101*INPUT!$Q$59)*INPUT!$I$65</f>
        <v>0.57910957363221349</v>
      </c>
      <c r="U101" s="100">
        <f t="shared" si="83"/>
        <v>14.292373167735608</v>
      </c>
      <c r="V101" s="100">
        <f t="shared" si="84"/>
        <v>15.272373167735608</v>
      </c>
    </row>
    <row r="102" spans="1:22" ht="13.5" thickBot="1" x14ac:dyDescent="0.25">
      <c r="A102" s="330" t="s">
        <v>470</v>
      </c>
      <c r="B102" s="371">
        <f t="shared" si="76"/>
        <v>0.11700000000000001</v>
      </c>
      <c r="C102" s="184">
        <f t="shared" si="57"/>
        <v>10.49</v>
      </c>
      <c r="D102" s="184">
        <f t="shared" si="58"/>
        <v>11.23</v>
      </c>
      <c r="E102" s="325">
        <f t="shared" si="77"/>
        <v>0.74000000000000021</v>
      </c>
      <c r="F102" s="329">
        <f t="shared" si="78"/>
        <v>7.0543374642516699E-2</v>
      </c>
      <c r="G102" s="325">
        <f t="shared" si="79"/>
        <v>-7.9977825179551265E-2</v>
      </c>
      <c r="H102" s="325">
        <f t="shared" si="79"/>
        <v>0.81633518210806011</v>
      </c>
      <c r="I102" s="325">
        <f t="shared" si="80"/>
        <v>11.22635735692851</v>
      </c>
      <c r="J102" s="325">
        <f t="shared" si="81"/>
        <v>11.96635735692851</v>
      </c>
      <c r="K102" s="329">
        <f t="shared" si="82"/>
        <v>6.5916305393868335E-2</v>
      </c>
      <c r="N102" s="31">
        <v>463</v>
      </c>
      <c r="O102" s="113" t="s">
        <v>93</v>
      </c>
      <c r="P102" s="123">
        <f>VLOOKUP($N102,INPUT!$AB$9:$AF$123,3,FALSE)</f>
        <v>10.49</v>
      </c>
      <c r="Q102" s="123">
        <f>VLOOKUP($N102,INPUT!$AB$9:$AF$123,4,FALSE)</f>
        <v>11.23</v>
      </c>
      <c r="R102" s="31">
        <f>VLOOKUP($N102,INPUT!$AB$9:$AF$123,5,FALSE)</f>
        <v>0.11700000000000001</v>
      </c>
      <c r="S102" s="99">
        <f>($R102*INPUT!$Q$59)*INPUT!$G$65</f>
        <v>-7.9977825179551265E-2</v>
      </c>
      <c r="T102" s="99">
        <f>($R102*INPUT!$Q$59)*INPUT!$I$65</f>
        <v>0.81633518210806011</v>
      </c>
      <c r="U102" s="100">
        <f t="shared" si="83"/>
        <v>11.22635735692851</v>
      </c>
      <c r="V102" s="100">
        <f t="shared" si="84"/>
        <v>11.96635735692851</v>
      </c>
    </row>
    <row r="103" spans="1:22" ht="13.5" thickBot="1" x14ac:dyDescent="0.25">
      <c r="A103" s="330" t="s">
        <v>471</v>
      </c>
      <c r="B103" s="371">
        <f t="shared" si="76"/>
        <v>0.11700000000000001</v>
      </c>
      <c r="C103" s="184">
        <f t="shared" si="57"/>
        <v>14.36</v>
      </c>
      <c r="D103" s="184">
        <f t="shared" si="58"/>
        <v>15.38</v>
      </c>
      <c r="E103" s="325">
        <f t="shared" si="77"/>
        <v>1.0200000000000014</v>
      </c>
      <c r="F103" s="329">
        <f t="shared" si="78"/>
        <v>7.103064066852377E-2</v>
      </c>
      <c r="G103" s="325">
        <f t="shared" si="79"/>
        <v>-7.9977825179551265E-2</v>
      </c>
      <c r="H103" s="325">
        <f t="shared" si="79"/>
        <v>0.81633518210806011</v>
      </c>
      <c r="I103" s="325">
        <f t="shared" si="80"/>
        <v>15.096357356928509</v>
      </c>
      <c r="J103" s="325">
        <f t="shared" si="81"/>
        <v>16.116357356928511</v>
      </c>
      <c r="K103" s="329">
        <f t="shared" si="82"/>
        <v>6.7565968126202969E-2</v>
      </c>
      <c r="N103" s="31">
        <v>473</v>
      </c>
      <c r="O103" s="113" t="s">
        <v>94</v>
      </c>
      <c r="P103" s="123">
        <f>VLOOKUP($N103,INPUT!$AB$9:$AF$123,3,FALSE)</f>
        <v>14.36</v>
      </c>
      <c r="Q103" s="123">
        <f>VLOOKUP($N103,INPUT!$AB$9:$AF$123,4,FALSE)</f>
        <v>15.38</v>
      </c>
      <c r="R103" s="31">
        <f>VLOOKUP($N103,INPUT!$AB$9:$AF$123,5,FALSE)</f>
        <v>0.11700000000000001</v>
      </c>
      <c r="S103" s="99">
        <f>($R103*INPUT!$Q$59)*INPUT!$G$65</f>
        <v>-7.9977825179551265E-2</v>
      </c>
      <c r="T103" s="99">
        <f>($R103*INPUT!$Q$59)*INPUT!$I$65</f>
        <v>0.81633518210806011</v>
      </c>
      <c r="U103" s="100">
        <f t="shared" si="83"/>
        <v>15.096357356928509</v>
      </c>
      <c r="V103" s="100">
        <f t="shared" si="84"/>
        <v>16.116357356928511</v>
      </c>
    </row>
    <row r="104" spans="1:22" ht="13.5" thickBot="1" x14ac:dyDescent="0.25">
      <c r="A104" s="330" t="s">
        <v>472</v>
      </c>
      <c r="B104" s="371">
        <f t="shared" si="76"/>
        <v>0.24199999999999999</v>
      </c>
      <c r="C104" s="184">
        <f t="shared" si="57"/>
        <v>16.28</v>
      </c>
      <c r="D104" s="184">
        <f t="shared" si="58"/>
        <v>17.43</v>
      </c>
      <c r="E104" s="325">
        <f t="shared" si="77"/>
        <v>1.1499999999999986</v>
      </c>
      <c r="F104" s="329">
        <f t="shared" si="78"/>
        <v>7.0638820638820543E-2</v>
      </c>
      <c r="G104" s="325">
        <f t="shared" si="79"/>
        <v>-0.16542421960214876</v>
      </c>
      <c r="H104" s="325">
        <f t="shared" si="79"/>
        <v>1.6884881544457311</v>
      </c>
      <c r="I104" s="325">
        <f t="shared" si="80"/>
        <v>17.803063934843586</v>
      </c>
      <c r="J104" s="325">
        <f t="shared" si="81"/>
        <v>18.953063934843584</v>
      </c>
      <c r="K104" s="329">
        <f t="shared" si="82"/>
        <v>6.4595622652865697E-2</v>
      </c>
      <c r="N104" s="31">
        <v>464</v>
      </c>
      <c r="O104" s="113" t="s">
        <v>95</v>
      </c>
      <c r="P104" s="123">
        <f>VLOOKUP($N104,INPUT!$AB$9:$AF$123,3,FALSE)</f>
        <v>16.28</v>
      </c>
      <c r="Q104" s="123">
        <f>VLOOKUP($N104,INPUT!$AB$9:$AF$123,4,FALSE)</f>
        <v>17.43</v>
      </c>
      <c r="R104" s="31">
        <f>VLOOKUP($N104,INPUT!$AB$9:$AF$123,5,FALSE)</f>
        <v>0.24199999999999999</v>
      </c>
      <c r="S104" s="99">
        <f>($R104*INPUT!$Q$59)*INPUT!$G$65</f>
        <v>-0.16542421960214876</v>
      </c>
      <c r="T104" s="99">
        <f>($R104*INPUT!$Q$59)*INPUT!$I$65</f>
        <v>1.6884881544457311</v>
      </c>
      <c r="U104" s="100">
        <f t="shared" si="83"/>
        <v>17.803063934843586</v>
      </c>
      <c r="V104" s="100">
        <f t="shared" si="84"/>
        <v>18.953063934843584</v>
      </c>
    </row>
    <row r="105" spans="1:22" ht="13.5" thickBot="1" x14ac:dyDescent="0.25">
      <c r="A105" s="330" t="s">
        <v>473</v>
      </c>
      <c r="B105" s="371">
        <f t="shared" si="76"/>
        <v>0.24199999999999999</v>
      </c>
      <c r="C105" s="184">
        <f t="shared" si="57"/>
        <v>20.43</v>
      </c>
      <c r="D105" s="184">
        <f t="shared" si="58"/>
        <v>21.88</v>
      </c>
      <c r="E105" s="325">
        <f t="shared" si="77"/>
        <v>1.4499999999999993</v>
      </c>
      <c r="F105" s="329">
        <f t="shared" si="78"/>
        <v>7.0974057758198691E-2</v>
      </c>
      <c r="G105" s="325">
        <f t="shared" si="79"/>
        <v>-0.16542421960214876</v>
      </c>
      <c r="H105" s="325">
        <f t="shared" si="79"/>
        <v>1.6884881544457311</v>
      </c>
      <c r="I105" s="325">
        <f t="shared" si="80"/>
        <v>21.953063934843584</v>
      </c>
      <c r="J105" s="325">
        <f t="shared" si="81"/>
        <v>23.403063934843583</v>
      </c>
      <c r="K105" s="329">
        <f t="shared" si="82"/>
        <v>6.6050005789787744E-2</v>
      </c>
      <c r="N105" s="31">
        <v>474</v>
      </c>
      <c r="O105" s="113" t="s">
        <v>96</v>
      </c>
      <c r="P105" s="123">
        <f>VLOOKUP($N105,INPUT!$AB$9:$AF$123,3,FALSE)</f>
        <v>20.43</v>
      </c>
      <c r="Q105" s="123">
        <f>VLOOKUP($N105,INPUT!$AB$9:$AF$123,4,FALSE)</f>
        <v>21.88</v>
      </c>
      <c r="R105" s="31">
        <f>VLOOKUP($N105,INPUT!$AB$9:$AF$123,5,FALSE)</f>
        <v>0.24199999999999999</v>
      </c>
      <c r="S105" s="99">
        <f>($R105*INPUT!$Q$59)*INPUT!$G$65</f>
        <v>-0.16542421960214876</v>
      </c>
      <c r="T105" s="99">
        <f>($R105*INPUT!$Q$59)*INPUT!$I$65</f>
        <v>1.6884881544457311</v>
      </c>
      <c r="U105" s="100">
        <f t="shared" si="83"/>
        <v>21.953063934843584</v>
      </c>
      <c r="V105" s="100">
        <f t="shared" si="84"/>
        <v>23.403063934843583</v>
      </c>
    </row>
    <row r="106" spans="1:22" ht="13.5" thickBot="1" x14ac:dyDescent="0.25">
      <c r="A106" s="330" t="s">
        <v>474</v>
      </c>
      <c r="B106" s="371">
        <f t="shared" si="76"/>
        <v>0.47099999999999997</v>
      </c>
      <c r="C106" s="184">
        <f t="shared" si="57"/>
        <v>25.75</v>
      </c>
      <c r="D106" s="184">
        <f t="shared" si="58"/>
        <v>27.58</v>
      </c>
      <c r="E106" s="325">
        <f t="shared" si="77"/>
        <v>1.8299999999999983</v>
      </c>
      <c r="F106" s="329">
        <f t="shared" si="78"/>
        <v>7.1067961165048474E-2</v>
      </c>
      <c r="G106" s="325">
        <f t="shared" si="79"/>
        <v>-0.32196201418434739</v>
      </c>
      <c r="H106" s="325">
        <f t="shared" si="79"/>
        <v>3.2862723997683445</v>
      </c>
      <c r="I106" s="325">
        <f t="shared" si="80"/>
        <v>28.714310385583996</v>
      </c>
      <c r="J106" s="325">
        <f t="shared" si="81"/>
        <v>30.544310385583994</v>
      </c>
      <c r="K106" s="329">
        <f t="shared" si="82"/>
        <v>6.3731288525694443E-2</v>
      </c>
      <c r="N106" s="31">
        <v>465</v>
      </c>
      <c r="O106" s="113" t="s">
        <v>97</v>
      </c>
      <c r="P106" s="123">
        <f>VLOOKUP($N106,INPUT!$AB$9:$AF$123,3,FALSE)</f>
        <v>25.75</v>
      </c>
      <c r="Q106" s="123">
        <f>VLOOKUP($N106,INPUT!$AB$9:$AF$123,4,FALSE)</f>
        <v>27.58</v>
      </c>
      <c r="R106" s="31">
        <f>VLOOKUP($N106,INPUT!$AB$9:$AF$123,5,FALSE)</f>
        <v>0.47099999999999997</v>
      </c>
      <c r="S106" s="99">
        <f>($R106*INPUT!$Q$59)*INPUT!$G$65</f>
        <v>-0.32196201418434739</v>
      </c>
      <c r="T106" s="99">
        <f>($R106*INPUT!$Q$59)*INPUT!$I$65</f>
        <v>3.2862723997683445</v>
      </c>
      <c r="U106" s="100">
        <f t="shared" si="83"/>
        <v>28.714310385583996</v>
      </c>
      <c r="V106" s="100">
        <f t="shared" si="84"/>
        <v>30.544310385583994</v>
      </c>
    </row>
    <row r="107" spans="1:22" ht="13.5" thickBot="1" x14ac:dyDescent="0.25">
      <c r="A107" s="330" t="s">
        <v>475</v>
      </c>
      <c r="B107" s="371">
        <f t="shared" si="76"/>
        <v>0.47099999999999997</v>
      </c>
      <c r="C107" s="184">
        <f t="shared" si="57"/>
        <v>28.53</v>
      </c>
      <c r="D107" s="184">
        <f t="shared" si="58"/>
        <v>30.55</v>
      </c>
      <c r="E107" s="325">
        <f t="shared" si="77"/>
        <v>2.0199999999999996</v>
      </c>
      <c r="F107" s="329">
        <f t="shared" si="78"/>
        <v>7.0802663862600757E-2</v>
      </c>
      <c r="G107" s="325">
        <f t="shared" si="79"/>
        <v>-0.32196201418434739</v>
      </c>
      <c r="H107" s="325">
        <f t="shared" si="79"/>
        <v>3.2862723997683445</v>
      </c>
      <c r="I107" s="325">
        <f t="shared" si="80"/>
        <v>31.494310385583997</v>
      </c>
      <c r="J107" s="325">
        <f t="shared" si="81"/>
        <v>33.514310385583997</v>
      </c>
      <c r="K107" s="329">
        <f t="shared" si="82"/>
        <v>6.4138569007201426E-2</v>
      </c>
      <c r="N107" s="31">
        <v>475</v>
      </c>
      <c r="O107" s="113" t="s">
        <v>98</v>
      </c>
      <c r="P107" s="123">
        <f>VLOOKUP($N107,INPUT!$AB$9:$AF$123,3,FALSE)</f>
        <v>28.53</v>
      </c>
      <c r="Q107" s="123">
        <f>VLOOKUP($N107,INPUT!$AB$9:$AF$123,4,FALSE)</f>
        <v>30.55</v>
      </c>
      <c r="R107" s="31">
        <f>VLOOKUP($N107,INPUT!$AB$9:$AF$123,5,FALSE)</f>
        <v>0.47099999999999997</v>
      </c>
      <c r="S107" s="99">
        <f>($R107*INPUT!$Q$59)*INPUT!$G$65</f>
        <v>-0.32196201418434739</v>
      </c>
      <c r="T107" s="99">
        <f>($R107*INPUT!$Q$59)*INPUT!$I$65</f>
        <v>3.2862723997683445</v>
      </c>
      <c r="U107" s="100">
        <f t="shared" si="83"/>
        <v>31.494310385583997</v>
      </c>
      <c r="V107" s="100">
        <f t="shared" si="84"/>
        <v>33.514310385583997</v>
      </c>
    </row>
    <row r="108" spans="1:22" ht="13.5" thickBot="1" x14ac:dyDescent="0.25">
      <c r="A108" s="328" t="s">
        <v>467</v>
      </c>
      <c r="B108" s="371">
        <f t="shared" si="68"/>
        <v>0.47099999999999997</v>
      </c>
      <c r="C108" s="184">
        <f t="shared" si="57"/>
        <v>14.21</v>
      </c>
      <c r="D108" s="184">
        <f t="shared" si="58"/>
        <v>15.22</v>
      </c>
      <c r="E108" s="325">
        <f t="shared" si="69"/>
        <v>1.0099999999999998</v>
      </c>
      <c r="F108" s="329">
        <f t="shared" si="70"/>
        <v>7.1076706544686827E-2</v>
      </c>
      <c r="G108" s="325">
        <f t="shared" si="71"/>
        <v>-0.32196201418434739</v>
      </c>
      <c r="H108" s="325">
        <f t="shared" si="72"/>
        <v>3.2862723997683445</v>
      </c>
      <c r="I108" s="325">
        <f t="shared" si="73"/>
        <v>17.174310385583997</v>
      </c>
      <c r="J108" s="325">
        <f t="shared" si="74"/>
        <v>18.184310385583998</v>
      </c>
      <c r="K108" s="329">
        <f t="shared" si="75"/>
        <v>5.8808765960570324E-2</v>
      </c>
      <c r="N108" s="31">
        <v>409</v>
      </c>
      <c r="O108" s="121" t="s">
        <v>135</v>
      </c>
      <c r="P108" s="123">
        <f>VLOOKUP($N108,INPUT!$AB$9:$AF$123,3,FALSE)</f>
        <v>14.21</v>
      </c>
      <c r="Q108" s="123">
        <f>VLOOKUP($N108,INPUT!$AB$9:$AF$123,4,FALSE)</f>
        <v>15.22</v>
      </c>
      <c r="R108" s="31">
        <f>VLOOKUP($N108,INPUT!$AB$9:$AF$123,5,FALSE)</f>
        <v>0.47099999999999997</v>
      </c>
      <c r="S108" s="99">
        <f>($R108*INPUT!$Q$59)*INPUT!$G$65</f>
        <v>-0.32196201418434739</v>
      </c>
      <c r="T108" s="99">
        <f>($R108*INPUT!$Q$59)*INPUT!$I$65</f>
        <v>3.2862723997683445</v>
      </c>
      <c r="U108" s="100">
        <f t="shared" si="66"/>
        <v>17.174310385583997</v>
      </c>
      <c r="V108" s="100">
        <f t="shared" si="67"/>
        <v>18.184310385583998</v>
      </c>
    </row>
    <row r="109" spans="1:22" ht="13.15" customHeight="1" thickBot="1" x14ac:dyDescent="0.25">
      <c r="A109" s="328" t="s">
        <v>136</v>
      </c>
      <c r="B109" s="371">
        <f t="shared" si="68"/>
        <v>8.3000000000000004E-2</v>
      </c>
      <c r="C109" s="184">
        <f t="shared" si="57"/>
        <v>8.7799999999999994</v>
      </c>
      <c r="D109" s="184">
        <f t="shared" si="58"/>
        <v>9.4</v>
      </c>
      <c r="E109" s="325">
        <f t="shared" si="69"/>
        <v>0.62000000000000099</v>
      </c>
      <c r="F109" s="329">
        <f t="shared" si="70"/>
        <v>7.0615034168565044E-2</v>
      </c>
      <c r="G109" s="325">
        <f t="shared" si="71"/>
        <v>-5.6736405896604739E-2</v>
      </c>
      <c r="H109" s="325">
        <f t="shared" si="72"/>
        <v>0.57910957363221349</v>
      </c>
      <c r="I109" s="325">
        <f t="shared" si="73"/>
        <v>9.3023731677356079</v>
      </c>
      <c r="J109" s="325">
        <f t="shared" si="74"/>
        <v>9.9223731677356088</v>
      </c>
      <c r="K109" s="329">
        <f t="shared" si="75"/>
        <v>6.6649659051564572E-2</v>
      </c>
      <c r="N109" s="31">
        <v>426</v>
      </c>
      <c r="O109" s="121" t="s">
        <v>136</v>
      </c>
      <c r="P109" s="123">
        <f>VLOOKUP($N109,INPUT!$AB$9:$AF$123,3,FALSE)</f>
        <v>8.7799999999999994</v>
      </c>
      <c r="Q109" s="123">
        <f>VLOOKUP($N109,INPUT!$AB$9:$AF$123,4,FALSE)</f>
        <v>9.4</v>
      </c>
      <c r="R109" s="31">
        <f>VLOOKUP($N109,INPUT!$AB$9:$AF$123,5,FALSE)</f>
        <v>8.3000000000000004E-2</v>
      </c>
      <c r="S109" s="99">
        <f>($R109*INPUT!$Q$59)*INPUT!$G$65</f>
        <v>-5.6736405896604739E-2</v>
      </c>
      <c r="T109" s="99">
        <f>($R109*INPUT!$Q$59)*INPUT!$I$65</f>
        <v>0.57910957363221349</v>
      </c>
      <c r="U109" s="100">
        <f t="shared" si="66"/>
        <v>9.3023731677356079</v>
      </c>
      <c r="V109" s="100">
        <f t="shared" si="67"/>
        <v>9.9223731677356088</v>
      </c>
    </row>
    <row r="110" spans="1:22" ht="13.15" customHeight="1" thickBot="1" x14ac:dyDescent="0.25">
      <c r="A110" s="330" t="s">
        <v>456</v>
      </c>
      <c r="B110" s="371">
        <f>+R110</f>
        <v>0.11700000000000001</v>
      </c>
      <c r="C110" s="184">
        <f t="shared" si="57"/>
        <v>9.01</v>
      </c>
      <c r="D110" s="184">
        <f t="shared" si="58"/>
        <v>9.65</v>
      </c>
      <c r="E110" s="325">
        <f>+D110-C110</f>
        <v>0.64000000000000057</v>
      </c>
      <c r="F110" s="329">
        <f>+E110/C110</f>
        <v>7.1032186459489527E-2</v>
      </c>
      <c r="G110" s="325">
        <f>+S110</f>
        <v>-7.9977825179551265E-2</v>
      </c>
      <c r="H110" s="325">
        <f>+T110</f>
        <v>0.81633518210806011</v>
      </c>
      <c r="I110" s="325">
        <f>+C110+G110+H110</f>
        <v>9.7463573569285096</v>
      </c>
      <c r="J110" s="325">
        <f>+D110+G110+H110</f>
        <v>10.38635735692851</v>
      </c>
      <c r="K110" s="329">
        <f>(J110-I110)/I110</f>
        <v>6.5665558583796038E-2</v>
      </c>
      <c r="N110" s="31">
        <v>428</v>
      </c>
      <c r="O110" s="113" t="s">
        <v>102</v>
      </c>
      <c r="P110" s="123">
        <f>VLOOKUP($N110,INPUT!$AB$9:$AF$123,3,FALSE)</f>
        <v>9.01</v>
      </c>
      <c r="Q110" s="123">
        <f>VLOOKUP($N110,INPUT!$AB$9:$AF$123,4,FALSE)</f>
        <v>9.65</v>
      </c>
      <c r="R110" s="31">
        <f>VLOOKUP($N110,INPUT!$AB$9:$AF$123,5,FALSE)</f>
        <v>0.11700000000000001</v>
      </c>
      <c r="S110" s="99">
        <f>($R110*INPUT!$Q$59)*INPUT!$G$65</f>
        <v>-7.9977825179551265E-2</v>
      </c>
      <c r="T110" s="99">
        <f>($R110*INPUT!$Q$59)*INPUT!$I$65</f>
        <v>0.81633518210806011</v>
      </c>
      <c r="U110" s="100">
        <f>+P110+S110+T110</f>
        <v>9.7463573569285096</v>
      </c>
      <c r="V110" s="100">
        <f>+Q110+S110+T110</f>
        <v>10.38635735692851</v>
      </c>
    </row>
    <row r="111" spans="1:22" ht="13.15" customHeight="1" thickBot="1" x14ac:dyDescent="0.25">
      <c r="A111" s="330" t="s">
        <v>476</v>
      </c>
      <c r="B111" s="371">
        <f t="shared" ref="B111:B113" si="85">+R111</f>
        <v>0.11700000000000001</v>
      </c>
      <c r="C111" s="184">
        <f t="shared" si="57"/>
        <v>10.33</v>
      </c>
      <c r="D111" s="184">
        <f t="shared" si="58"/>
        <v>11.06</v>
      </c>
      <c r="E111" s="325">
        <f t="shared" ref="E111:E113" si="86">+D111-C111</f>
        <v>0.73000000000000043</v>
      </c>
      <c r="F111" s="329">
        <f t="shared" ref="F111:F113" si="87">+E111/C111</f>
        <v>7.0667957405614754E-2</v>
      </c>
      <c r="G111" s="325">
        <f t="shared" ref="G111:G113" si="88">+S111</f>
        <v>-7.9977825179551265E-2</v>
      </c>
      <c r="H111" s="325">
        <f t="shared" ref="H111:H113" si="89">+T111</f>
        <v>0.81633518210806011</v>
      </c>
      <c r="I111" s="325">
        <f t="shared" ref="I111:I113" si="90">+C111+G111+H111</f>
        <v>11.06635735692851</v>
      </c>
      <c r="J111" s="325">
        <f t="shared" ref="J111:J113" si="91">+D111+G111+H111</f>
        <v>11.79635735692851</v>
      </c>
      <c r="K111" s="329">
        <f t="shared" ref="K111:K113" si="92">(J111-I111)/I111</f>
        <v>6.5965699141547818E-2</v>
      </c>
      <c r="N111" s="31">
        <v>487</v>
      </c>
      <c r="O111" s="113" t="s">
        <v>99</v>
      </c>
      <c r="P111" s="123">
        <f>VLOOKUP($N111,INPUT!$AB$9:$AF$123,3,FALSE)</f>
        <v>10.33</v>
      </c>
      <c r="Q111" s="123">
        <f>VLOOKUP($N111,INPUT!$AB$9:$AF$123,4,FALSE)</f>
        <v>11.06</v>
      </c>
      <c r="R111" s="31">
        <f>VLOOKUP($N111,INPUT!$AB$9:$AF$123,5,FALSE)</f>
        <v>0.11700000000000001</v>
      </c>
      <c r="S111" s="99">
        <f>($R111*INPUT!$Q$59)*INPUT!$G$65</f>
        <v>-7.9977825179551265E-2</v>
      </c>
      <c r="T111" s="99">
        <f>($R111*INPUT!$Q$59)*INPUT!$I$65</f>
        <v>0.81633518210806011</v>
      </c>
      <c r="U111" s="100">
        <f t="shared" ref="U111:U113" si="93">+P111+S111+T111</f>
        <v>11.06635735692851</v>
      </c>
      <c r="V111" s="100">
        <f t="shared" ref="V111:V113" si="94">+Q111+S111+T111</f>
        <v>11.79635735692851</v>
      </c>
    </row>
    <row r="112" spans="1:22" ht="13.15" customHeight="1" thickBot="1" x14ac:dyDescent="0.25">
      <c r="A112" s="330" t="s">
        <v>477</v>
      </c>
      <c r="B112" s="371">
        <f t="shared" si="85"/>
        <v>0.24199999999999999</v>
      </c>
      <c r="C112" s="184">
        <f t="shared" si="57"/>
        <v>15.62</v>
      </c>
      <c r="D112" s="184">
        <f t="shared" si="58"/>
        <v>16.73</v>
      </c>
      <c r="E112" s="325">
        <f t="shared" si="86"/>
        <v>1.1100000000000012</v>
      </c>
      <c r="F112" s="329">
        <f t="shared" si="87"/>
        <v>7.1062740076824671E-2</v>
      </c>
      <c r="G112" s="325">
        <f t="shared" si="88"/>
        <v>-0.16542421960214876</v>
      </c>
      <c r="H112" s="325">
        <f t="shared" si="89"/>
        <v>1.6884881544457311</v>
      </c>
      <c r="I112" s="325">
        <f t="shared" si="90"/>
        <v>17.143063934843582</v>
      </c>
      <c r="J112" s="325">
        <f t="shared" si="91"/>
        <v>18.253063934843585</v>
      </c>
      <c r="K112" s="329">
        <f t="shared" si="92"/>
        <v>6.4749218938856559E-2</v>
      </c>
      <c r="N112" s="31">
        <v>488</v>
      </c>
      <c r="O112" s="113" t="s">
        <v>100</v>
      </c>
      <c r="P112" s="123">
        <f>VLOOKUP($N112,INPUT!$AB$9:$AF$123,3,FALSE)</f>
        <v>15.62</v>
      </c>
      <c r="Q112" s="123">
        <f>VLOOKUP($N112,INPUT!$AB$9:$AF$123,4,FALSE)</f>
        <v>16.73</v>
      </c>
      <c r="R112" s="31">
        <f>VLOOKUP($N112,INPUT!$AB$9:$AF$123,5,FALSE)</f>
        <v>0.24199999999999999</v>
      </c>
      <c r="S112" s="99">
        <f>($R112*INPUT!$Q$59)*INPUT!$G$65</f>
        <v>-0.16542421960214876</v>
      </c>
      <c r="T112" s="99">
        <f>($R112*INPUT!$Q$59)*INPUT!$I$65</f>
        <v>1.6884881544457311</v>
      </c>
      <c r="U112" s="100">
        <f t="shared" si="93"/>
        <v>17.143063934843582</v>
      </c>
      <c r="V112" s="100">
        <f t="shared" si="94"/>
        <v>18.253063934843585</v>
      </c>
    </row>
    <row r="113" spans="1:22" ht="13.15" customHeight="1" thickBot="1" x14ac:dyDescent="0.25">
      <c r="A113" s="330" t="s">
        <v>478</v>
      </c>
      <c r="B113" s="371">
        <f t="shared" si="85"/>
        <v>0.47099999999999997</v>
      </c>
      <c r="C113" s="184">
        <f t="shared" si="57"/>
        <v>22.09</v>
      </c>
      <c r="D113" s="184">
        <f t="shared" si="58"/>
        <v>23.66</v>
      </c>
      <c r="E113" s="325">
        <f t="shared" si="86"/>
        <v>1.5700000000000003</v>
      </c>
      <c r="F113" s="329">
        <f t="shared" si="87"/>
        <v>7.1072883657763708E-2</v>
      </c>
      <c r="G113" s="325">
        <f t="shared" si="88"/>
        <v>-0.32196201418434739</v>
      </c>
      <c r="H113" s="325">
        <f t="shared" si="89"/>
        <v>3.2862723997683445</v>
      </c>
      <c r="I113" s="325">
        <f t="shared" si="90"/>
        <v>25.054310385583996</v>
      </c>
      <c r="J113" s="325">
        <f t="shared" si="91"/>
        <v>26.624310385583996</v>
      </c>
      <c r="K113" s="329">
        <f t="shared" si="92"/>
        <v>6.2663868046568261E-2</v>
      </c>
      <c r="N113" s="31">
        <v>489</v>
      </c>
      <c r="O113" s="113" t="s">
        <v>101</v>
      </c>
      <c r="P113" s="123">
        <f>VLOOKUP($N113,INPUT!$AB$9:$AF$123,3,FALSE)</f>
        <v>22.09</v>
      </c>
      <c r="Q113" s="123">
        <f>VLOOKUP($N113,INPUT!$AB$9:$AF$123,4,FALSE)</f>
        <v>23.66</v>
      </c>
      <c r="R113" s="31">
        <f>VLOOKUP($N113,INPUT!$AB$9:$AF$123,5,FALSE)</f>
        <v>0.47099999999999997</v>
      </c>
      <c r="S113" s="99">
        <f>($R113*INPUT!$Q$59)*INPUT!$G$65</f>
        <v>-0.32196201418434739</v>
      </c>
      <c r="T113" s="99">
        <f>($R113*INPUT!$Q$59)*INPUT!$I$65</f>
        <v>3.2862723997683445</v>
      </c>
      <c r="U113" s="100">
        <f t="shared" si="93"/>
        <v>25.054310385583996</v>
      </c>
      <c r="V113" s="100">
        <f t="shared" si="94"/>
        <v>26.624310385583996</v>
      </c>
    </row>
    <row r="114" spans="1:22" ht="13.5" thickBot="1" x14ac:dyDescent="0.25">
      <c r="A114" s="328"/>
      <c r="B114" s="324"/>
      <c r="C114" s="325"/>
      <c r="D114" s="325"/>
      <c r="E114" s="325"/>
      <c r="F114" s="326"/>
      <c r="G114" s="325"/>
      <c r="H114" s="325"/>
      <c r="I114" s="325"/>
      <c r="J114" s="325"/>
      <c r="K114" s="326"/>
      <c r="O114" s="355"/>
      <c r="P114" s="361"/>
      <c r="Q114" s="242"/>
      <c r="S114" s="99"/>
      <c r="T114" s="99"/>
      <c r="U114" s="100"/>
      <c r="V114" s="100"/>
    </row>
    <row r="115" spans="1:22" ht="13.5" thickBot="1" x14ac:dyDescent="0.25">
      <c r="A115" s="327" t="s">
        <v>137</v>
      </c>
      <c r="B115" s="324"/>
      <c r="C115" s="325"/>
      <c r="D115" s="325"/>
      <c r="E115" s="325"/>
      <c r="F115" s="329"/>
      <c r="G115" s="325"/>
      <c r="H115" s="325"/>
      <c r="I115" s="325"/>
      <c r="J115" s="325"/>
      <c r="K115" s="329"/>
      <c r="O115" s="351" t="s">
        <v>137</v>
      </c>
      <c r="P115" s="123"/>
      <c r="Q115" s="124"/>
      <c r="S115" s="99"/>
      <c r="T115" s="99"/>
    </row>
    <row r="116" spans="1:22" ht="13.5" thickBot="1" x14ac:dyDescent="0.25">
      <c r="A116" s="330" t="s">
        <v>465</v>
      </c>
      <c r="B116" s="371">
        <f>+R116</f>
        <v>0.15</v>
      </c>
      <c r="C116" s="184">
        <f t="shared" ref="C116:C121" si="95">P116</f>
        <v>16.47</v>
      </c>
      <c r="D116" s="184">
        <f t="shared" ref="D116:D121" si="96">Q116</f>
        <v>17.64</v>
      </c>
      <c r="E116" s="325">
        <f>+D116-C116</f>
        <v>1.1700000000000017</v>
      </c>
      <c r="F116" s="329">
        <f>+E116/C116</f>
        <v>7.1038251366120325E-2</v>
      </c>
      <c r="G116" s="325">
        <f>+S116</f>
        <v>-0.10253567330711699</v>
      </c>
      <c r="H116" s="325">
        <f>+T116</f>
        <v>1.046583566805205</v>
      </c>
      <c r="I116" s="325">
        <f>+C116+G116+H116</f>
        <v>17.414047893498086</v>
      </c>
      <c r="J116" s="325">
        <f>+D116+G116+H116</f>
        <v>18.584047893498088</v>
      </c>
      <c r="K116" s="329">
        <f>(J116-I116)/I116</f>
        <v>6.7187135762779585E-2</v>
      </c>
      <c r="N116" s="31">
        <v>450</v>
      </c>
      <c r="O116" s="113" t="s">
        <v>104</v>
      </c>
      <c r="P116" s="123">
        <f>VLOOKUP($N116,INPUT!$AB$9:$AF$123,3,FALSE)</f>
        <v>16.47</v>
      </c>
      <c r="Q116" s="123">
        <f>VLOOKUP($N116,INPUT!$AB$9:$AF$123,4,FALSE)</f>
        <v>17.64</v>
      </c>
      <c r="R116" s="31">
        <f>VLOOKUP($N116,INPUT!$AB$9:$AF$123,5,FALSE)</f>
        <v>0.15</v>
      </c>
      <c r="S116" s="99">
        <f>($R116*INPUT!$Q$59)*INPUT!$G$65</f>
        <v>-0.10253567330711699</v>
      </c>
      <c r="T116" s="99">
        <f>($R116*INPUT!$Q$59)*INPUT!$I$65</f>
        <v>1.046583566805205</v>
      </c>
      <c r="U116" s="100">
        <f>+P116+S116+T116</f>
        <v>17.414047893498086</v>
      </c>
      <c r="V116" s="100">
        <f>+Q116+S116+T116</f>
        <v>18.584047893498088</v>
      </c>
    </row>
    <row r="117" spans="1:22" ht="13.5" thickBot="1" x14ac:dyDescent="0.25">
      <c r="A117" s="328" t="s">
        <v>138</v>
      </c>
      <c r="B117" s="371">
        <f t="shared" ref="B117:B120" si="97">+R117</f>
        <v>0.15</v>
      </c>
      <c r="C117" s="184">
        <f t="shared" si="95"/>
        <v>21.23</v>
      </c>
      <c r="D117" s="184">
        <f t="shared" si="96"/>
        <v>22.74</v>
      </c>
      <c r="E117" s="325">
        <f t="shared" ref="E117:E120" si="98">+D117-C117</f>
        <v>1.509999999999998</v>
      </c>
      <c r="F117" s="329">
        <f t="shared" ref="F117:F120" si="99">+E117/C117</f>
        <v>7.112576542628346E-2</v>
      </c>
      <c r="G117" s="325">
        <f t="shared" ref="G117:G120" si="100">+S117</f>
        <v>-0.10253567330711699</v>
      </c>
      <c r="H117" s="325">
        <f t="shared" ref="H117:H120" si="101">+T117</f>
        <v>1.046583566805205</v>
      </c>
      <c r="I117" s="325">
        <f t="shared" ref="I117:I120" si="102">+C117+G117+H117</f>
        <v>22.174047893498088</v>
      </c>
      <c r="J117" s="325">
        <f t="shared" ref="J117:J120" si="103">+D117+G117+H117</f>
        <v>23.684047893498086</v>
      </c>
      <c r="K117" s="329">
        <f t="shared" ref="K117:K120" si="104">(J117-I117)/I117</f>
        <v>6.8097625081921229E-2</v>
      </c>
      <c r="N117" s="31">
        <v>454</v>
      </c>
      <c r="O117" s="113" t="s">
        <v>138</v>
      </c>
      <c r="P117" s="123">
        <f>VLOOKUP($N117,INPUT!$AB$9:$AF$123,3,FALSE)</f>
        <v>21.23</v>
      </c>
      <c r="Q117" s="123">
        <f>VLOOKUP($N117,INPUT!$AB$9:$AF$123,4,FALSE)</f>
        <v>22.74</v>
      </c>
      <c r="R117" s="31">
        <f>VLOOKUP($N117,INPUT!$AB$9:$AF$123,5,FALSE)</f>
        <v>0.15</v>
      </c>
      <c r="S117" s="99">
        <f>($R117*INPUT!$Q$59)*INPUT!$G$65</f>
        <v>-0.10253567330711699</v>
      </c>
      <c r="T117" s="99">
        <f>($R117*INPUT!$Q$59)*INPUT!$I$65</f>
        <v>1.046583566805205</v>
      </c>
      <c r="U117" s="100">
        <f t="shared" ref="U117:U120" si="105">+P117+S117+T117</f>
        <v>22.174047893498088</v>
      </c>
      <c r="V117" s="100">
        <f t="shared" ref="V117:V120" si="106">+Q117+S117+T117</f>
        <v>23.684047893498086</v>
      </c>
    </row>
    <row r="118" spans="1:22" ht="13.5" thickBot="1" x14ac:dyDescent="0.25">
      <c r="A118" s="328" t="s">
        <v>139</v>
      </c>
      <c r="B118" s="371">
        <f t="shared" si="97"/>
        <v>0.35</v>
      </c>
      <c r="C118" s="184">
        <f t="shared" si="95"/>
        <v>27.83</v>
      </c>
      <c r="D118" s="184">
        <f t="shared" si="96"/>
        <v>29.8</v>
      </c>
      <c r="E118" s="325">
        <f t="shared" si="98"/>
        <v>1.9700000000000024</v>
      </c>
      <c r="F118" s="329">
        <f t="shared" si="99"/>
        <v>7.0786920589292215E-2</v>
      </c>
      <c r="G118" s="325">
        <f t="shared" si="100"/>
        <v>-0.23924990438327295</v>
      </c>
      <c r="H118" s="325">
        <f t="shared" si="101"/>
        <v>2.4420283225454784</v>
      </c>
      <c r="I118" s="325">
        <f t="shared" si="102"/>
        <v>30.032778418162206</v>
      </c>
      <c r="J118" s="325">
        <f t="shared" si="103"/>
        <v>32.002778418162208</v>
      </c>
      <c r="K118" s="329">
        <f t="shared" si="104"/>
        <v>6.5594996659005506E-2</v>
      </c>
      <c r="N118" s="31">
        <v>455</v>
      </c>
      <c r="O118" s="121" t="s">
        <v>139</v>
      </c>
      <c r="P118" s="123">
        <f>VLOOKUP($N118,INPUT!$AB$9:$AF$123,3,FALSE)</f>
        <v>27.83</v>
      </c>
      <c r="Q118" s="123">
        <f>VLOOKUP($N118,INPUT!$AB$9:$AF$123,4,FALSE)</f>
        <v>29.8</v>
      </c>
      <c r="R118" s="31">
        <f>VLOOKUP($N118,INPUT!$AB$9:$AF$123,5,FALSE)</f>
        <v>0.35</v>
      </c>
      <c r="S118" s="99">
        <f>($R118*INPUT!$Q$59)*INPUT!$G$65</f>
        <v>-0.23924990438327295</v>
      </c>
      <c r="T118" s="99">
        <f>($R118*INPUT!$Q$59)*INPUT!$I$65</f>
        <v>2.4420283225454784</v>
      </c>
      <c r="U118" s="100">
        <f t="shared" si="105"/>
        <v>30.032778418162206</v>
      </c>
      <c r="V118" s="100">
        <f t="shared" si="106"/>
        <v>32.002778418162208</v>
      </c>
    </row>
    <row r="119" spans="1:22" ht="13.5" thickBot="1" x14ac:dyDescent="0.25">
      <c r="A119" s="330" t="s">
        <v>466</v>
      </c>
      <c r="B119" s="371">
        <f>+R119</f>
        <v>1.08</v>
      </c>
      <c r="C119" s="184">
        <f t="shared" si="95"/>
        <v>48.09</v>
      </c>
      <c r="D119" s="184">
        <f t="shared" si="96"/>
        <v>51.5</v>
      </c>
      <c r="E119" s="325">
        <f>+D119-C119</f>
        <v>3.4099999999999966</v>
      </c>
      <c r="F119" s="329">
        <f>+E119/C119</f>
        <v>7.0908712830110132E-2</v>
      </c>
      <c r="G119" s="325">
        <f>+S119</f>
        <v>-0.73825684781124246</v>
      </c>
      <c r="H119" s="325">
        <f>+T119</f>
        <v>7.5354016809974782</v>
      </c>
      <c r="I119" s="325">
        <f>+C119+G119+H119</f>
        <v>54.887144833186241</v>
      </c>
      <c r="J119" s="325">
        <f>+D119+G119+H119</f>
        <v>58.297144833186238</v>
      </c>
      <c r="K119" s="329">
        <f>(J119-I119)/I119</f>
        <v>6.21274801297046E-2</v>
      </c>
      <c r="N119" s="31">
        <v>452</v>
      </c>
      <c r="O119" s="113" t="s">
        <v>106</v>
      </c>
      <c r="P119" s="123">
        <f>VLOOKUP($N119,INPUT!$AB$9:$AF$123,3,FALSE)</f>
        <v>48.09</v>
      </c>
      <c r="Q119" s="123">
        <f>VLOOKUP($N119,INPUT!$AB$9:$AF$123,4,FALSE)</f>
        <v>51.5</v>
      </c>
      <c r="R119" s="31">
        <f>VLOOKUP($N119,INPUT!$AB$9:$AF$123,5,FALSE)</f>
        <v>1.08</v>
      </c>
      <c r="S119" s="99">
        <f>($R119*INPUT!$Q$59)*INPUT!$G$65</f>
        <v>-0.73825684781124246</v>
      </c>
      <c r="T119" s="99">
        <f>($R119*INPUT!$Q$59)*INPUT!$I$65</f>
        <v>7.5354016809974782</v>
      </c>
      <c r="U119" s="100">
        <f>+P119+S119+T119</f>
        <v>54.887144833186241</v>
      </c>
      <c r="V119" s="100">
        <f>+Q119+S119+T119</f>
        <v>58.297144833186238</v>
      </c>
    </row>
    <row r="120" spans="1:22" ht="13.5" thickBot="1" x14ac:dyDescent="0.25">
      <c r="A120" s="328" t="s">
        <v>140</v>
      </c>
      <c r="B120" s="371">
        <f t="shared" si="97"/>
        <v>1.08</v>
      </c>
      <c r="C120" s="184">
        <f t="shared" si="95"/>
        <v>52.84</v>
      </c>
      <c r="D120" s="184">
        <f t="shared" si="96"/>
        <v>56.59</v>
      </c>
      <c r="E120" s="325">
        <f t="shared" si="98"/>
        <v>3.75</v>
      </c>
      <c r="F120" s="329">
        <f t="shared" si="99"/>
        <v>7.0968962906888713E-2</v>
      </c>
      <c r="G120" s="325">
        <f t="shared" si="100"/>
        <v>-0.73825684781124246</v>
      </c>
      <c r="H120" s="325">
        <f t="shared" si="101"/>
        <v>7.5354016809974782</v>
      </c>
      <c r="I120" s="325">
        <f t="shared" si="102"/>
        <v>59.637144833186241</v>
      </c>
      <c r="J120" s="325">
        <f t="shared" si="103"/>
        <v>63.387144833186241</v>
      </c>
      <c r="K120" s="329">
        <f t="shared" si="104"/>
        <v>6.2880273871079764E-2</v>
      </c>
      <c r="N120" s="31">
        <v>459</v>
      </c>
      <c r="O120" s="121" t="s">
        <v>140</v>
      </c>
      <c r="P120" s="123">
        <f>VLOOKUP($N120,INPUT!$AB$9:$AF$123,3,FALSE)</f>
        <v>52.84</v>
      </c>
      <c r="Q120" s="123">
        <f>VLOOKUP($N120,INPUT!$AB$9:$AF$123,4,FALSE)</f>
        <v>56.59</v>
      </c>
      <c r="R120" s="31">
        <f>VLOOKUP($N120,INPUT!$AB$9:$AF$123,5,FALSE)</f>
        <v>1.08</v>
      </c>
      <c r="S120" s="99">
        <f>($R120*INPUT!$Q$59)*INPUT!$G$65</f>
        <v>-0.73825684781124246</v>
      </c>
      <c r="T120" s="99">
        <f>($R120*INPUT!$Q$59)*INPUT!$I$65</f>
        <v>7.5354016809974782</v>
      </c>
      <c r="U120" s="100">
        <f t="shared" si="105"/>
        <v>59.637144833186241</v>
      </c>
      <c r="V120" s="100">
        <f t="shared" si="106"/>
        <v>63.387144833186241</v>
      </c>
    </row>
    <row r="121" spans="1:22" ht="13.5" thickBot="1" x14ac:dyDescent="0.25">
      <c r="A121" s="330" t="s">
        <v>479</v>
      </c>
      <c r="B121" s="371">
        <f>+R121</f>
        <v>0.35</v>
      </c>
      <c r="C121" s="184">
        <f t="shared" si="95"/>
        <v>23.07</v>
      </c>
      <c r="D121" s="184">
        <f t="shared" si="96"/>
        <v>24.71</v>
      </c>
      <c r="E121" s="325">
        <f>+D121-C121</f>
        <v>1.6400000000000006</v>
      </c>
      <c r="F121" s="329">
        <f>+E121/C121</f>
        <v>7.1087993064586061E-2</v>
      </c>
      <c r="G121" s="325">
        <f t="shared" ref="G121:H121" si="107">+S121</f>
        <v>-0.23924990438327295</v>
      </c>
      <c r="H121" s="325">
        <f t="shared" si="107"/>
        <v>2.4420283225454784</v>
      </c>
      <c r="I121" s="325">
        <f>+C121+G121+H121</f>
        <v>25.272778418162208</v>
      </c>
      <c r="J121" s="325">
        <f>+D121+G121+H121</f>
        <v>26.912778418162208</v>
      </c>
      <c r="K121" s="329">
        <f>(J121-I121)/I121</f>
        <v>6.4891955006475238E-2</v>
      </c>
      <c r="N121" s="31">
        <v>451</v>
      </c>
      <c r="O121" s="113" t="s">
        <v>105</v>
      </c>
      <c r="P121" s="123">
        <f>VLOOKUP($N121,INPUT!$AB$9:$AF$123,3,FALSE)</f>
        <v>23.07</v>
      </c>
      <c r="Q121" s="123">
        <f>VLOOKUP($N121,INPUT!$AB$9:$AF$123,4,FALSE)</f>
        <v>24.71</v>
      </c>
      <c r="R121" s="31">
        <f>VLOOKUP($N121,INPUT!$AB$9:$AF$123,5,FALSE)</f>
        <v>0.35</v>
      </c>
      <c r="S121" s="99">
        <f>($R121*INPUT!$Q$59)*INPUT!$G$65</f>
        <v>-0.23924990438327295</v>
      </c>
      <c r="T121" s="99">
        <f>($R121*INPUT!$Q$59)*INPUT!$I$65</f>
        <v>2.4420283225454784</v>
      </c>
      <c r="U121" s="100">
        <f>+P121+S121+T121</f>
        <v>25.272778418162208</v>
      </c>
      <c r="V121" s="100">
        <f>+Q121+S121+T121</f>
        <v>26.912778418162208</v>
      </c>
    </row>
    <row r="122" spans="1:22" ht="13.5" thickBot="1" x14ac:dyDescent="0.25">
      <c r="A122" s="328"/>
      <c r="B122" s="324"/>
      <c r="C122" s="325"/>
      <c r="D122" s="325"/>
      <c r="E122" s="325"/>
      <c r="F122" s="329"/>
      <c r="G122" s="325"/>
      <c r="H122" s="325"/>
      <c r="I122" s="325"/>
      <c r="J122" s="325"/>
      <c r="K122" s="329"/>
      <c r="O122" s="355"/>
      <c r="P122" s="356"/>
      <c r="Q122" s="357"/>
      <c r="S122" s="99"/>
      <c r="T122" s="99"/>
      <c r="U122" s="100"/>
      <c r="V122" s="100"/>
    </row>
    <row r="123" spans="1:22" ht="13.5" thickBot="1" x14ac:dyDescent="0.25">
      <c r="A123" s="328" t="s">
        <v>221</v>
      </c>
      <c r="B123" s="324"/>
      <c r="C123" s="325"/>
      <c r="D123" s="325"/>
      <c r="E123" s="325"/>
      <c r="F123" s="329"/>
      <c r="G123" s="325"/>
      <c r="H123" s="325"/>
      <c r="I123" s="325"/>
      <c r="J123" s="325"/>
      <c r="K123" s="329"/>
      <c r="O123" s="359" t="s">
        <v>221</v>
      </c>
      <c r="P123" s="360"/>
      <c r="Q123" s="104"/>
      <c r="S123" s="99"/>
      <c r="T123" s="99"/>
    </row>
    <row r="124" spans="1:22" ht="13.5" thickBot="1" x14ac:dyDescent="0.25">
      <c r="A124" s="328" t="s">
        <v>141</v>
      </c>
      <c r="B124" s="371">
        <f t="shared" ref="B124:B130" si="108">+R124</f>
        <v>0.20699999999999999</v>
      </c>
      <c r="C124" s="184">
        <f t="shared" ref="C124:C130" si="109">P124</f>
        <v>10.93</v>
      </c>
      <c r="D124" s="184">
        <f t="shared" ref="D124:D130" si="110">Q124</f>
        <v>11.71</v>
      </c>
      <c r="E124" s="325">
        <f t="shared" ref="E124:E130" si="111">+D124-C124</f>
        <v>0.78000000000000114</v>
      </c>
      <c r="F124" s="329">
        <f t="shared" ref="F124:F130" si="112">+E124/C124</f>
        <v>7.1363220494053164E-2</v>
      </c>
      <c r="G124" s="325">
        <f t="shared" ref="G124:G130" si="113">+S124</f>
        <v>-0.14149922916382146</v>
      </c>
      <c r="H124" s="325">
        <f t="shared" ref="H124:H130" si="114">+T124</f>
        <v>1.4442853221911831</v>
      </c>
      <c r="I124" s="325">
        <f t="shared" ref="I124:I130" si="115">+C124+G124+H124</f>
        <v>12.232786093027361</v>
      </c>
      <c r="J124" s="325">
        <f t="shared" ref="J124:J130" si="116">+D124+G124+H124</f>
        <v>13.012786093027362</v>
      </c>
      <c r="K124" s="329">
        <f t="shared" ref="K124:K130" si="117">(J124-I124)/I124</f>
        <v>6.3763070331508367E-2</v>
      </c>
      <c r="N124" s="31">
        <v>446</v>
      </c>
      <c r="O124" s="120" t="s">
        <v>141</v>
      </c>
      <c r="P124" s="123">
        <f>VLOOKUP($N124,INPUT!$AB$9:$AF$123,3,FALSE)</f>
        <v>10.93</v>
      </c>
      <c r="Q124" s="123">
        <f>VLOOKUP($N124,INPUT!$AB$9:$AF$123,4,FALSE)</f>
        <v>11.71</v>
      </c>
      <c r="R124" s="31">
        <f>VLOOKUP($N124,INPUT!$AB$9:$AF$123,5,FALSE)</f>
        <v>0.20699999999999999</v>
      </c>
      <c r="S124" s="99">
        <f>($R124*INPUT!$Q$59)*INPUT!$G$65</f>
        <v>-0.14149922916382146</v>
      </c>
      <c r="T124" s="99">
        <f>($R124*INPUT!$Q$59)*INPUT!$I$65</f>
        <v>1.4442853221911831</v>
      </c>
      <c r="U124" s="100">
        <f t="shared" ref="U124:U130" si="118">+P124+S124+T124</f>
        <v>12.232786093027361</v>
      </c>
      <c r="V124" s="100">
        <f t="shared" ref="V124:V130" si="119">+Q124+S124+T124</f>
        <v>13.012786093027362</v>
      </c>
    </row>
    <row r="125" spans="1:22" ht="13.5" thickBot="1" x14ac:dyDescent="0.25">
      <c r="A125" s="328" t="s">
        <v>142</v>
      </c>
      <c r="B125" s="371">
        <f t="shared" si="108"/>
        <v>0.20699999999999999</v>
      </c>
      <c r="C125" s="184">
        <f t="shared" si="109"/>
        <v>13.43</v>
      </c>
      <c r="D125" s="184">
        <f t="shared" si="110"/>
        <v>14.38</v>
      </c>
      <c r="E125" s="325">
        <f t="shared" si="111"/>
        <v>0.95000000000000107</v>
      </c>
      <c r="F125" s="329">
        <f t="shared" si="112"/>
        <v>7.0737155621742445E-2</v>
      </c>
      <c r="G125" s="325">
        <f t="shared" si="113"/>
        <v>-0.14149922916382146</v>
      </c>
      <c r="H125" s="325">
        <f t="shared" si="114"/>
        <v>1.4442853221911831</v>
      </c>
      <c r="I125" s="325">
        <f t="shared" si="115"/>
        <v>14.732786093027361</v>
      </c>
      <c r="J125" s="325">
        <f t="shared" si="116"/>
        <v>15.682786093027362</v>
      </c>
      <c r="K125" s="329">
        <f t="shared" si="117"/>
        <v>6.4482033065667799E-2</v>
      </c>
      <c r="N125" s="31">
        <v>456</v>
      </c>
      <c r="O125" s="121" t="s">
        <v>142</v>
      </c>
      <c r="P125" s="123">
        <f>VLOOKUP($N125,INPUT!$AB$9:$AF$123,3,FALSE)</f>
        <v>13.43</v>
      </c>
      <c r="Q125" s="123">
        <f>VLOOKUP($N125,INPUT!$AB$9:$AF$123,4,FALSE)</f>
        <v>14.38</v>
      </c>
      <c r="R125" s="31">
        <f>VLOOKUP($N125,INPUT!$AB$9:$AF$123,5,FALSE)</f>
        <v>0.20699999999999999</v>
      </c>
      <c r="S125" s="99">
        <f>($R125*INPUT!$Q$59)*INPUT!$G$65</f>
        <v>-0.14149922916382146</v>
      </c>
      <c r="T125" s="99">
        <f>($R125*INPUT!$Q$59)*INPUT!$I$65</f>
        <v>1.4442853221911831</v>
      </c>
      <c r="U125" s="100">
        <f t="shared" si="118"/>
        <v>14.732786093027361</v>
      </c>
      <c r="V125" s="100">
        <f t="shared" si="119"/>
        <v>15.682786093027362</v>
      </c>
    </row>
    <row r="126" spans="1:22" ht="13.5" thickBot="1" x14ac:dyDescent="0.25">
      <c r="A126" s="328" t="s">
        <v>143</v>
      </c>
      <c r="B126" s="371">
        <f t="shared" si="108"/>
        <v>0.29399999999999998</v>
      </c>
      <c r="C126" s="184">
        <f t="shared" si="109"/>
        <v>12.9</v>
      </c>
      <c r="D126" s="184">
        <f t="shared" si="110"/>
        <v>13.82</v>
      </c>
      <c r="E126" s="325">
        <f t="shared" si="111"/>
        <v>0.91999999999999993</v>
      </c>
      <c r="F126" s="329">
        <f t="shared" si="112"/>
        <v>7.131782945736434E-2</v>
      </c>
      <c r="G126" s="325">
        <f t="shared" si="113"/>
        <v>-0.2009699196819493</v>
      </c>
      <c r="H126" s="325">
        <f t="shared" si="114"/>
        <v>2.0513037909382019</v>
      </c>
      <c r="I126" s="325">
        <f t="shared" si="115"/>
        <v>14.750333871256252</v>
      </c>
      <c r="J126" s="325">
        <f t="shared" si="116"/>
        <v>15.670333871256254</v>
      </c>
      <c r="K126" s="329">
        <f t="shared" si="117"/>
        <v>6.2371469556549597E-2</v>
      </c>
      <c r="N126" s="31">
        <v>447</v>
      </c>
      <c r="O126" s="121" t="s">
        <v>143</v>
      </c>
      <c r="P126" s="123">
        <f>VLOOKUP($N126,INPUT!$AB$9:$AF$123,3,FALSE)</f>
        <v>12.9</v>
      </c>
      <c r="Q126" s="123">
        <f>VLOOKUP($N126,INPUT!$AB$9:$AF$123,4,FALSE)</f>
        <v>13.82</v>
      </c>
      <c r="R126" s="31">
        <f>VLOOKUP($N126,INPUT!$AB$9:$AF$123,5,FALSE)</f>
        <v>0.29399999999999998</v>
      </c>
      <c r="S126" s="99">
        <f>($R126*INPUT!$Q$59)*INPUT!$G$65</f>
        <v>-0.2009699196819493</v>
      </c>
      <c r="T126" s="99">
        <f>($R126*INPUT!$Q$59)*INPUT!$I$65</f>
        <v>2.0513037909382019</v>
      </c>
      <c r="U126" s="100">
        <f t="shared" si="118"/>
        <v>14.750333871256252</v>
      </c>
      <c r="V126" s="100">
        <f t="shared" si="119"/>
        <v>15.670333871256254</v>
      </c>
    </row>
    <row r="127" spans="1:22" ht="13.5" thickBot="1" x14ac:dyDescent="0.25">
      <c r="A127" s="328" t="s">
        <v>144</v>
      </c>
      <c r="B127" s="371">
        <f t="shared" si="108"/>
        <v>0.29399999999999998</v>
      </c>
      <c r="C127" s="184">
        <f t="shared" si="109"/>
        <v>15.12</v>
      </c>
      <c r="D127" s="184">
        <f t="shared" si="110"/>
        <v>16.190000000000001</v>
      </c>
      <c r="E127" s="325">
        <f t="shared" si="111"/>
        <v>1.0700000000000021</v>
      </c>
      <c r="F127" s="329">
        <f t="shared" si="112"/>
        <v>7.0767195767195909E-2</v>
      </c>
      <c r="G127" s="325">
        <f t="shared" si="113"/>
        <v>-0.2009699196819493</v>
      </c>
      <c r="H127" s="325">
        <f t="shared" si="114"/>
        <v>2.0513037909382019</v>
      </c>
      <c r="I127" s="325">
        <f t="shared" si="115"/>
        <v>16.970333871256251</v>
      </c>
      <c r="J127" s="325">
        <f t="shared" si="116"/>
        <v>18.040333871256255</v>
      </c>
      <c r="K127" s="329">
        <f t="shared" si="117"/>
        <v>6.3051205009721806E-2</v>
      </c>
      <c r="N127" s="31">
        <v>457</v>
      </c>
      <c r="O127" s="121" t="s">
        <v>144</v>
      </c>
      <c r="P127" s="123">
        <f>VLOOKUP($N127,INPUT!$AB$9:$AF$123,3,FALSE)</f>
        <v>15.12</v>
      </c>
      <c r="Q127" s="123">
        <f>VLOOKUP($N127,INPUT!$AB$9:$AF$123,4,FALSE)</f>
        <v>16.190000000000001</v>
      </c>
      <c r="R127" s="31">
        <f>VLOOKUP($N127,INPUT!$AB$9:$AF$123,5,FALSE)</f>
        <v>0.29399999999999998</v>
      </c>
      <c r="S127" s="99">
        <f>($R127*INPUT!$Q$59)*INPUT!$G$65</f>
        <v>-0.2009699196819493</v>
      </c>
      <c r="T127" s="99">
        <f>($R127*INPUT!$Q$59)*INPUT!$I$65</f>
        <v>2.0513037909382019</v>
      </c>
      <c r="U127" s="100">
        <f t="shared" si="118"/>
        <v>16.970333871256251</v>
      </c>
      <c r="V127" s="100">
        <f t="shared" si="119"/>
        <v>18.040333871256255</v>
      </c>
    </row>
    <row r="128" spans="1:22" ht="13.5" thickBot="1" x14ac:dyDescent="0.25">
      <c r="A128" s="328" t="s">
        <v>145</v>
      </c>
      <c r="B128" s="371">
        <f t="shared" si="108"/>
        <v>0.45300000000000001</v>
      </c>
      <c r="C128" s="184">
        <f t="shared" si="109"/>
        <v>14.56</v>
      </c>
      <c r="D128" s="184">
        <f t="shared" si="110"/>
        <v>15.59</v>
      </c>
      <c r="E128" s="325">
        <f t="shared" si="111"/>
        <v>1.0299999999999994</v>
      </c>
      <c r="F128" s="329">
        <f t="shared" si="112"/>
        <v>7.0741758241758199E-2</v>
      </c>
      <c r="G128" s="325">
        <f t="shared" si="113"/>
        <v>-0.30965773338749336</v>
      </c>
      <c r="H128" s="325">
        <f t="shared" si="114"/>
        <v>3.1606823717517196</v>
      </c>
      <c r="I128" s="325">
        <f t="shared" si="115"/>
        <v>17.411024638364228</v>
      </c>
      <c r="J128" s="325">
        <f t="shared" si="116"/>
        <v>18.441024638364226</v>
      </c>
      <c r="K128" s="329">
        <f t="shared" si="117"/>
        <v>5.9157919846397185E-2</v>
      </c>
      <c r="N128" s="31">
        <v>448</v>
      </c>
      <c r="O128" s="121" t="s">
        <v>145</v>
      </c>
      <c r="P128" s="123">
        <f>VLOOKUP($N128,INPUT!$AB$9:$AF$123,3,FALSE)</f>
        <v>14.56</v>
      </c>
      <c r="Q128" s="123">
        <f>VLOOKUP($N128,INPUT!$AB$9:$AF$123,4,FALSE)</f>
        <v>15.59</v>
      </c>
      <c r="R128" s="31">
        <f>VLOOKUP($N128,INPUT!$AB$9:$AF$123,5,FALSE)</f>
        <v>0.45300000000000001</v>
      </c>
      <c r="S128" s="99">
        <f>($R128*INPUT!$Q$59)*INPUT!$G$65</f>
        <v>-0.30965773338749336</v>
      </c>
      <c r="T128" s="99">
        <f>($R128*INPUT!$Q$59)*INPUT!$I$65</f>
        <v>3.1606823717517196</v>
      </c>
      <c r="U128" s="100">
        <f t="shared" si="118"/>
        <v>17.411024638364228</v>
      </c>
      <c r="V128" s="100">
        <f t="shared" si="119"/>
        <v>18.441024638364226</v>
      </c>
    </row>
    <row r="129" spans="1:22" ht="13.5" thickBot="1" x14ac:dyDescent="0.25">
      <c r="A129" s="328" t="s">
        <v>146</v>
      </c>
      <c r="B129" s="371">
        <f t="shared" si="108"/>
        <v>0.45300000000000001</v>
      </c>
      <c r="C129" s="184">
        <f t="shared" si="109"/>
        <v>17.04</v>
      </c>
      <c r="D129" s="184">
        <f t="shared" si="110"/>
        <v>18.25</v>
      </c>
      <c r="E129" s="325">
        <f t="shared" si="111"/>
        <v>1.2100000000000009</v>
      </c>
      <c r="F129" s="329">
        <f t="shared" si="112"/>
        <v>7.1009389671361556E-2</v>
      </c>
      <c r="G129" s="325">
        <f t="shared" si="113"/>
        <v>-0.30965773338749336</v>
      </c>
      <c r="H129" s="325">
        <f t="shared" si="114"/>
        <v>3.1606823717517196</v>
      </c>
      <c r="I129" s="325">
        <f t="shared" si="115"/>
        <v>19.891024638364225</v>
      </c>
      <c r="J129" s="325">
        <f t="shared" si="116"/>
        <v>21.101024638364226</v>
      </c>
      <c r="K129" s="329">
        <f t="shared" si="117"/>
        <v>6.0831456498537995E-2</v>
      </c>
      <c r="N129" s="31">
        <v>458</v>
      </c>
      <c r="O129" s="121" t="s">
        <v>146</v>
      </c>
      <c r="P129" s="123">
        <f>VLOOKUP($N129,INPUT!$AB$9:$AF$123,3,FALSE)</f>
        <v>17.04</v>
      </c>
      <c r="Q129" s="123">
        <f>VLOOKUP($N129,INPUT!$AB$9:$AF$123,4,FALSE)</f>
        <v>18.25</v>
      </c>
      <c r="R129" s="31">
        <f>VLOOKUP($N129,INPUT!$AB$9:$AF$123,5,FALSE)</f>
        <v>0.45300000000000001</v>
      </c>
      <c r="S129" s="99">
        <f>($R129*INPUT!$Q$59)*INPUT!$G$65</f>
        <v>-0.30965773338749336</v>
      </c>
      <c r="T129" s="99">
        <f>($R129*INPUT!$Q$59)*INPUT!$I$65</f>
        <v>3.1606823717517196</v>
      </c>
      <c r="U129" s="100">
        <f t="shared" si="118"/>
        <v>19.891024638364225</v>
      </c>
      <c r="V129" s="100">
        <f t="shared" si="119"/>
        <v>21.101024638364226</v>
      </c>
    </row>
    <row r="130" spans="1:22" ht="13.5" thickBot="1" x14ac:dyDescent="0.25">
      <c r="A130" s="328" t="s">
        <v>147</v>
      </c>
      <c r="B130" s="371">
        <f t="shared" si="108"/>
        <v>0.20699999999999999</v>
      </c>
      <c r="C130" s="184">
        <f t="shared" si="109"/>
        <v>11.96</v>
      </c>
      <c r="D130" s="184">
        <f t="shared" si="110"/>
        <v>12.81</v>
      </c>
      <c r="E130" s="325">
        <f t="shared" si="111"/>
        <v>0.84999999999999964</v>
      </c>
      <c r="F130" s="329">
        <f t="shared" si="112"/>
        <v>7.1070234113712341E-2</v>
      </c>
      <c r="G130" s="325">
        <f t="shared" si="113"/>
        <v>-0.14149922916382146</v>
      </c>
      <c r="H130" s="325">
        <f t="shared" si="114"/>
        <v>1.4442853221911831</v>
      </c>
      <c r="I130" s="325">
        <f t="shared" si="115"/>
        <v>13.262786093027362</v>
      </c>
      <c r="J130" s="325">
        <f t="shared" si="116"/>
        <v>14.112786093027362</v>
      </c>
      <c r="K130" s="329">
        <f t="shared" si="117"/>
        <v>6.4089098175749801E-2</v>
      </c>
      <c r="N130" s="31">
        <v>404</v>
      </c>
      <c r="O130" s="117" t="s">
        <v>147</v>
      </c>
      <c r="P130" s="123">
        <f>VLOOKUP($N130,INPUT!$AB$9:$AF$123,3,FALSE)</f>
        <v>11.96</v>
      </c>
      <c r="Q130" s="123">
        <f>VLOOKUP($N130,INPUT!$AB$9:$AF$123,4,FALSE)</f>
        <v>12.81</v>
      </c>
      <c r="R130" s="31">
        <f>VLOOKUP($N130,INPUT!$AB$9:$AF$123,5,FALSE)</f>
        <v>0.20699999999999999</v>
      </c>
      <c r="S130" s="99">
        <f>($R130*INPUT!$Q$59)*INPUT!$G$65</f>
        <v>-0.14149922916382146</v>
      </c>
      <c r="T130" s="99">
        <f>($R130*INPUT!$Q$59)*INPUT!$I$65</f>
        <v>1.4442853221911831</v>
      </c>
      <c r="U130" s="100">
        <f t="shared" si="118"/>
        <v>13.262786093027362</v>
      </c>
      <c r="V130" s="100">
        <f t="shared" si="119"/>
        <v>14.112786093027362</v>
      </c>
    </row>
    <row r="131" spans="1:22" x14ac:dyDescent="0.2">
      <c r="A131" s="328"/>
      <c r="B131" s="324"/>
      <c r="C131" s="325"/>
      <c r="D131" s="325"/>
      <c r="E131" s="325"/>
      <c r="F131" s="326"/>
      <c r="G131" s="325"/>
      <c r="H131" s="325"/>
      <c r="I131" s="325"/>
      <c r="J131" s="325"/>
      <c r="K131" s="326"/>
      <c r="O131" s="129"/>
      <c r="P131" s="127"/>
      <c r="Q131" s="111"/>
      <c r="S131" s="99"/>
      <c r="T131" s="99"/>
      <c r="U131" s="100"/>
      <c r="V131" s="100"/>
    </row>
    <row r="132" spans="1:22" x14ac:dyDescent="0.2">
      <c r="A132" s="89" t="s">
        <v>313</v>
      </c>
      <c r="B132" s="324"/>
      <c r="C132" s="325"/>
      <c r="D132" s="325"/>
      <c r="E132" s="325"/>
      <c r="F132" s="326"/>
      <c r="G132" s="325"/>
      <c r="H132" s="325"/>
      <c r="I132" s="325"/>
      <c r="J132" s="325"/>
      <c r="K132" s="326"/>
      <c r="O132" s="129"/>
      <c r="P132" s="127"/>
      <c r="Q132" s="111"/>
      <c r="S132" s="99"/>
      <c r="T132" s="99"/>
      <c r="U132" s="100"/>
      <c r="V132" s="100"/>
    </row>
    <row r="133" spans="1:22" x14ac:dyDescent="0.2">
      <c r="A133" s="331" t="s">
        <v>318</v>
      </c>
      <c r="B133" s="324"/>
      <c r="C133" s="325"/>
      <c r="D133" s="325"/>
      <c r="E133" s="325"/>
      <c r="F133" s="326"/>
      <c r="G133" s="325"/>
      <c r="H133" s="325"/>
      <c r="I133" s="325"/>
      <c r="J133" s="325"/>
      <c r="K133" s="326"/>
      <c r="O133" s="129"/>
      <c r="P133" s="127"/>
      <c r="Q133" s="111"/>
      <c r="S133" s="99"/>
      <c r="T133" s="99"/>
      <c r="U133" s="100"/>
      <c r="V133" s="100"/>
    </row>
    <row r="134" spans="1:22" x14ac:dyDescent="0.2">
      <c r="A134" s="331" t="str">
        <f>+'Rate Case Constants'!$C$26</f>
        <v>Calculations may vary from other schedules due to rounding</v>
      </c>
      <c r="B134" s="324"/>
      <c r="C134" s="325"/>
      <c r="D134" s="325"/>
      <c r="E134" s="325"/>
      <c r="F134" s="326"/>
      <c r="G134" s="325"/>
      <c r="H134" s="325"/>
      <c r="I134" s="325"/>
      <c r="J134" s="325"/>
      <c r="K134" s="326"/>
      <c r="O134" s="129"/>
      <c r="P134" s="127"/>
      <c r="Q134" s="111"/>
      <c r="S134" s="99"/>
      <c r="T134" s="99"/>
      <c r="U134" s="100"/>
      <c r="V134" s="100"/>
    </row>
    <row r="135" spans="1:22" x14ac:dyDescent="0.2">
      <c r="A135" s="331" t="s">
        <v>359</v>
      </c>
      <c r="B135" s="324"/>
      <c r="C135" s="325"/>
      <c r="D135" s="325"/>
      <c r="E135" s="325"/>
      <c r="F135" s="326"/>
      <c r="G135" s="325"/>
      <c r="H135" s="325"/>
      <c r="I135" s="325"/>
      <c r="J135" s="325"/>
      <c r="K135" s="326"/>
      <c r="L135" s="245"/>
      <c r="O135" s="129"/>
      <c r="P135" s="127"/>
      <c r="Q135" s="111"/>
      <c r="S135" s="99"/>
      <c r="T135" s="99"/>
      <c r="U135" s="100"/>
      <c r="V135" s="100"/>
    </row>
    <row r="136" spans="1:22" x14ac:dyDescent="0.2">
      <c r="A136" s="401" t="str">
        <f>+$A$1</f>
        <v>KENTUCKY UTILITIES COMPANY</v>
      </c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  <c r="L136" s="245"/>
      <c r="O136" s="130"/>
      <c r="P136" s="127"/>
      <c r="Q136" s="111"/>
      <c r="S136" s="99"/>
      <c r="T136" s="99"/>
    </row>
    <row r="137" spans="1:22" x14ac:dyDescent="0.2">
      <c r="A137" s="401" t="str">
        <f>+$A$2</f>
        <v>CASE NO. 2018-00294</v>
      </c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  <c r="L137" s="246"/>
      <c r="O137" s="130"/>
      <c r="P137" s="127"/>
      <c r="Q137" s="111"/>
      <c r="S137" s="99"/>
      <c r="T137" s="99"/>
    </row>
    <row r="138" spans="1:22" x14ac:dyDescent="0.2">
      <c r="A138" s="402" t="str">
        <f>+$A$3</f>
        <v>Typical Bill Comparison under Present &amp; Proposed Rates</v>
      </c>
      <c r="B138" s="402"/>
      <c r="C138" s="402"/>
      <c r="D138" s="402"/>
      <c r="E138" s="402"/>
      <c r="F138" s="402"/>
      <c r="G138" s="402"/>
      <c r="H138" s="402"/>
      <c r="I138" s="402"/>
      <c r="J138" s="402"/>
      <c r="K138" s="402"/>
      <c r="L138" s="2"/>
      <c r="O138" s="130"/>
      <c r="P138" s="127"/>
      <c r="Q138" s="111"/>
      <c r="S138" s="99"/>
      <c r="T138" s="99"/>
    </row>
    <row r="139" spans="1:22" x14ac:dyDescent="0.2">
      <c r="A139" s="401" t="str">
        <f>+$A$4</f>
        <v>FORECAST PERIOD FOR THE 12 MONTHS ENDED APRIL 30, 2020</v>
      </c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  <c r="L139" s="2"/>
      <c r="O139" s="130"/>
      <c r="P139" s="127"/>
      <c r="Q139" s="111"/>
      <c r="S139" s="99"/>
      <c r="T139" s="99"/>
    </row>
    <row r="140" spans="1:22" x14ac:dyDescent="0.2">
      <c r="A140" s="332"/>
      <c r="B140" s="87"/>
      <c r="C140" s="333"/>
      <c r="D140" s="333"/>
      <c r="E140" s="333"/>
      <c r="F140" s="334"/>
      <c r="G140" s="333"/>
      <c r="H140" s="333"/>
      <c r="I140" s="333"/>
      <c r="J140" s="333"/>
      <c r="K140" s="203" t="str">
        <f>+$K$6</f>
        <v>SCHEDULE N</v>
      </c>
      <c r="L140" s="2"/>
      <c r="O140" s="130"/>
      <c r="P140" s="127"/>
      <c r="Q140" s="111"/>
      <c r="S140" s="99"/>
      <c r="T140" s="99"/>
    </row>
    <row r="141" spans="1:22" x14ac:dyDescent="0.2">
      <c r="A141" s="332" t="str">
        <f>+$A$6</f>
        <v>DATA: ____BASE PERIOD__X___FORECASTED PERIOD</v>
      </c>
      <c r="B141" s="87"/>
      <c r="C141" s="333"/>
      <c r="D141" s="333"/>
      <c r="E141" s="333"/>
      <c r="F141" s="334"/>
      <c r="G141" s="333"/>
      <c r="H141" s="333"/>
      <c r="I141" s="333"/>
      <c r="J141" s="333"/>
      <c r="K141" s="202" t="str">
        <f>+'Rate Case Constants'!L25</f>
        <v>PAGE 18 of 24</v>
      </c>
      <c r="L141" s="2"/>
      <c r="O141" s="130"/>
      <c r="P141" s="127"/>
      <c r="Q141" s="111"/>
      <c r="S141" s="99"/>
      <c r="T141" s="99"/>
    </row>
    <row r="142" spans="1:22" x14ac:dyDescent="0.2">
      <c r="A142" s="332" t="str">
        <f>+$A$7</f>
        <v>TYPE OF FILING: __X__ ORIGINAL  _____ UPDATED  _____ REVISED</v>
      </c>
      <c r="B142" s="87"/>
      <c r="C142" s="333"/>
      <c r="D142" s="333"/>
      <c r="E142" s="333"/>
      <c r="F142" s="334"/>
      <c r="G142" s="333"/>
      <c r="H142" s="333"/>
      <c r="I142" s="333"/>
      <c r="J142" s="333"/>
      <c r="K142" s="208" t="str">
        <f>+$K$8</f>
        <v>WITNESS:   R. M. CONROY</v>
      </c>
      <c r="L142" s="210"/>
      <c r="O142" s="130"/>
      <c r="P142" s="127"/>
      <c r="Q142" s="111"/>
      <c r="S142" s="99"/>
      <c r="T142" s="99"/>
    </row>
    <row r="143" spans="1:22" x14ac:dyDescent="0.2">
      <c r="A143" s="332" t="str">
        <f>+$A$8</f>
        <v>WORKPAPER REFERENCE NO(S):________</v>
      </c>
      <c r="B143" s="253"/>
      <c r="C143" s="335"/>
      <c r="D143" s="335"/>
      <c r="E143" s="335"/>
      <c r="F143" s="336"/>
      <c r="G143" s="335"/>
      <c r="H143" s="335"/>
      <c r="I143" s="335"/>
      <c r="J143" s="335"/>
      <c r="K143" s="208"/>
      <c r="L143" s="195"/>
      <c r="O143" s="130"/>
      <c r="P143" s="127"/>
      <c r="Q143" s="111"/>
      <c r="S143" s="99"/>
      <c r="T143" s="99"/>
    </row>
    <row r="144" spans="1:22" x14ac:dyDescent="0.2">
      <c r="A144" s="89"/>
      <c r="B144" s="87" t="s">
        <v>303</v>
      </c>
      <c r="C144" s="88" t="s">
        <v>304</v>
      </c>
      <c r="D144" s="88" t="s">
        <v>305</v>
      </c>
      <c r="E144" s="87" t="s">
        <v>306</v>
      </c>
      <c r="F144" s="87" t="s">
        <v>307</v>
      </c>
      <c r="G144" s="88" t="s">
        <v>308</v>
      </c>
      <c r="H144" s="87" t="s">
        <v>309</v>
      </c>
      <c r="I144" s="87" t="s">
        <v>310</v>
      </c>
      <c r="J144" s="87" t="s">
        <v>311</v>
      </c>
      <c r="K144" s="87" t="s">
        <v>312</v>
      </c>
      <c r="L144" s="195"/>
      <c r="O144" s="130"/>
      <c r="P144" s="127"/>
      <c r="Q144" s="111"/>
      <c r="S144" s="99"/>
      <c r="T144" s="99"/>
    </row>
    <row r="145" spans="1:22" x14ac:dyDescent="0.2">
      <c r="A145" s="337" t="s">
        <v>152</v>
      </c>
      <c r="B145" s="324"/>
      <c r="C145" s="200" t="s">
        <v>327</v>
      </c>
      <c r="D145" s="200" t="s">
        <v>327</v>
      </c>
      <c r="E145" s="89"/>
      <c r="F145" s="89"/>
      <c r="G145" s="89"/>
      <c r="H145" s="89"/>
      <c r="I145" s="87" t="s">
        <v>5</v>
      </c>
      <c r="J145" s="87" t="s">
        <v>5</v>
      </c>
      <c r="K145" s="89"/>
      <c r="L145" s="195"/>
      <c r="O145" s="130"/>
      <c r="P145" s="127"/>
      <c r="Q145" s="111"/>
      <c r="S145" s="99"/>
      <c r="T145" s="99"/>
    </row>
    <row r="146" spans="1:22" x14ac:dyDescent="0.2">
      <c r="A146" s="330"/>
      <c r="B146" s="87" t="s">
        <v>219</v>
      </c>
      <c r="C146" s="87" t="s">
        <v>1</v>
      </c>
      <c r="D146" s="87" t="s">
        <v>74</v>
      </c>
      <c r="E146" s="87"/>
      <c r="F146" s="87"/>
      <c r="G146" s="392" t="s">
        <v>251</v>
      </c>
      <c r="H146" s="392"/>
      <c r="I146" s="87" t="s">
        <v>1</v>
      </c>
      <c r="J146" s="87" t="s">
        <v>74</v>
      </c>
      <c r="K146" s="87"/>
      <c r="L146" s="195"/>
      <c r="O146" s="130"/>
      <c r="P146" s="127"/>
      <c r="Q146" s="111"/>
      <c r="S146" s="99"/>
      <c r="T146" s="99"/>
    </row>
    <row r="147" spans="1:22" x14ac:dyDescent="0.2">
      <c r="A147" s="330"/>
      <c r="B147" s="87" t="s">
        <v>20</v>
      </c>
      <c r="C147" s="87" t="s">
        <v>4</v>
      </c>
      <c r="D147" s="87" t="s">
        <v>4</v>
      </c>
      <c r="E147" s="87" t="s">
        <v>75</v>
      </c>
      <c r="F147" s="87" t="s">
        <v>75</v>
      </c>
      <c r="G147" s="87" t="s">
        <v>337</v>
      </c>
      <c r="H147" s="338" t="s">
        <v>72</v>
      </c>
      <c r="I147" s="87" t="s">
        <v>4</v>
      </c>
      <c r="J147" s="87" t="s">
        <v>4</v>
      </c>
      <c r="K147" s="87" t="s">
        <v>75</v>
      </c>
      <c r="L147" s="195"/>
      <c r="O147" s="130"/>
      <c r="P147" s="127"/>
      <c r="Q147" s="111"/>
      <c r="S147" s="99"/>
      <c r="T147" s="99"/>
    </row>
    <row r="148" spans="1:22" x14ac:dyDescent="0.2">
      <c r="A148" s="330"/>
      <c r="B148" s="339"/>
      <c r="C148" s="253"/>
      <c r="D148" s="253"/>
      <c r="E148" s="253" t="s">
        <v>69</v>
      </c>
      <c r="F148" s="340" t="s">
        <v>70</v>
      </c>
      <c r="G148" s="212"/>
      <c r="H148" s="213"/>
      <c r="I148" s="253" t="s">
        <v>69</v>
      </c>
      <c r="J148" s="253" t="s">
        <v>69</v>
      </c>
      <c r="K148" s="340" t="s">
        <v>70</v>
      </c>
      <c r="L148" s="195"/>
      <c r="O148" s="130"/>
      <c r="P148" s="127"/>
      <c r="Q148" s="111"/>
      <c r="S148" s="99"/>
      <c r="T148" s="99"/>
    </row>
    <row r="149" spans="1:22" x14ac:dyDescent="0.2">
      <c r="A149" s="341"/>
      <c r="B149" s="342"/>
      <c r="C149" s="285"/>
      <c r="D149" s="285"/>
      <c r="E149" s="204" t="str">
        <f>("[ "&amp;D144&amp;" - "&amp;C144&amp;" ]")</f>
        <v>[ C - B ]</v>
      </c>
      <c r="F149" s="204" t="str">
        <f>("[ "&amp;E144&amp;" / "&amp;C144&amp;" ]")</f>
        <v>[ D / B ]</v>
      </c>
      <c r="G149" s="205"/>
      <c r="H149" s="205"/>
      <c r="I149" s="204" t="str">
        <f>("["&amp;C144&amp;"+"&amp;$G$11&amp;"+"&amp;$H$11&amp;"]")</f>
        <v>[B+F+G]</v>
      </c>
      <c r="J149" s="204" t="str">
        <f>("["&amp;D144&amp;"+"&amp;$G$11&amp;"+"&amp;$H$11&amp;"]")</f>
        <v>[C+F+G]</v>
      </c>
      <c r="K149" s="204" t="str">
        <f>("[("&amp;J144&amp;" - "&amp;I144&amp;")/"&amp;I144&amp;"]")</f>
        <v>[(I - H)/H]</v>
      </c>
      <c r="L149" s="195"/>
      <c r="O149" s="130"/>
      <c r="P149" s="127"/>
      <c r="Q149" s="111"/>
      <c r="S149" s="99"/>
      <c r="T149" s="99"/>
    </row>
    <row r="150" spans="1:22" x14ac:dyDescent="0.2">
      <c r="A150" s="330"/>
      <c r="B150" s="339"/>
      <c r="C150" s="253"/>
      <c r="D150" s="253"/>
      <c r="E150" s="223"/>
      <c r="F150" s="223"/>
      <c r="G150" s="212"/>
      <c r="H150" s="212"/>
      <c r="I150" s="223"/>
      <c r="J150" s="223"/>
      <c r="K150" s="223"/>
      <c r="L150" s="195"/>
      <c r="O150" s="130"/>
      <c r="P150" s="127"/>
      <c r="Q150" s="111"/>
      <c r="S150" s="99"/>
      <c r="T150" s="99"/>
    </row>
    <row r="151" spans="1:22" ht="13.5" thickBot="1" x14ac:dyDescent="0.25">
      <c r="A151" s="323" t="s">
        <v>89</v>
      </c>
      <c r="B151" s="339"/>
      <c r="C151" s="253"/>
      <c r="D151" s="253"/>
      <c r="E151" s="223"/>
      <c r="F151" s="223"/>
      <c r="G151" s="212"/>
      <c r="H151" s="212"/>
      <c r="I151" s="223"/>
      <c r="J151" s="223"/>
      <c r="K151" s="223"/>
      <c r="L151" s="195"/>
      <c r="O151" s="130"/>
      <c r="P151" s="127"/>
      <c r="Q151" s="111"/>
      <c r="S151" s="99"/>
      <c r="T151" s="99"/>
    </row>
    <row r="152" spans="1:22" ht="13.5" thickBot="1" x14ac:dyDescent="0.25">
      <c r="A152" s="323" t="s">
        <v>222</v>
      </c>
      <c r="B152" s="339"/>
      <c r="C152" s="253"/>
      <c r="D152" s="253"/>
      <c r="E152" s="89"/>
      <c r="F152" s="324"/>
      <c r="G152" s="89"/>
      <c r="H152" s="89"/>
      <c r="I152" s="89"/>
      <c r="J152" s="89"/>
      <c r="K152" s="89"/>
      <c r="O152" s="348" t="s">
        <v>222</v>
      </c>
      <c r="P152" s="349"/>
      <c r="Q152" s="350"/>
      <c r="S152" s="99"/>
      <c r="T152" s="99"/>
    </row>
    <row r="153" spans="1:22" ht="13.5" thickBot="1" x14ac:dyDescent="0.25">
      <c r="A153" s="328" t="s">
        <v>148</v>
      </c>
      <c r="B153" s="371">
        <f t="shared" ref="B153:B156" si="120">+R153</f>
        <v>0.10199999999999999</v>
      </c>
      <c r="C153" s="184">
        <f t="shared" ref="C153:C156" si="121">P153</f>
        <v>3.81</v>
      </c>
      <c r="D153" s="184">
        <f t="shared" ref="D153:D156" si="122">Q153</f>
        <v>4.09</v>
      </c>
      <c r="E153" s="325">
        <f t="shared" ref="E153:E156" si="123">+D153-C153</f>
        <v>0.2799999999999998</v>
      </c>
      <c r="F153" s="329">
        <f t="shared" ref="F153:F156" si="124">+E153/C153</f>
        <v>7.3490813648293907E-2</v>
      </c>
      <c r="G153" s="325">
        <f t="shared" ref="G153:G156" si="125">+S153</f>
        <v>-6.9724257848839552E-2</v>
      </c>
      <c r="H153" s="325">
        <f t="shared" ref="H153:H156" si="126">+T153</f>
        <v>0.71167682542753941</v>
      </c>
      <c r="I153" s="325">
        <f t="shared" ref="I153:I156" si="127">+C153+G153+H153</f>
        <v>4.4519525675786999</v>
      </c>
      <c r="J153" s="325">
        <f t="shared" ref="J153:J156" si="128">+D153+G153+H153</f>
        <v>4.7319525675786993</v>
      </c>
      <c r="K153" s="329">
        <f t="shared" ref="K153:K156" si="129">(J153-I153)/I153</f>
        <v>6.2893751842527823E-2</v>
      </c>
      <c r="N153" s="31">
        <v>421</v>
      </c>
      <c r="O153" s="120" t="s">
        <v>148</v>
      </c>
      <c r="P153" s="123">
        <f>VLOOKUP($N153,INPUT!$AB$9:$AF$123,3,FALSE)</f>
        <v>3.81</v>
      </c>
      <c r="Q153" s="123">
        <f>VLOOKUP($N153,INPUT!$AB$9:$AF$123,4,FALSE)</f>
        <v>4.09</v>
      </c>
      <c r="R153" s="31">
        <f>VLOOKUP($N153,INPUT!$AB$9:$AF$123,5,FALSE)</f>
        <v>0.10199999999999999</v>
      </c>
      <c r="S153" s="99">
        <f>($R153*INPUT!$Q$59)*INPUT!$G$65</f>
        <v>-6.9724257848839552E-2</v>
      </c>
      <c r="T153" s="99">
        <f>($R153*INPUT!$Q$59)*INPUT!$I$65</f>
        <v>0.71167682542753941</v>
      </c>
      <c r="U153" s="100">
        <f t="shared" ref="U153:U156" si="130">+P153+S153+T153</f>
        <v>4.4519525675786999</v>
      </c>
      <c r="V153" s="100">
        <f t="shared" ref="V153:V156" si="131">+Q153+S153+T153</f>
        <v>4.7319525675786993</v>
      </c>
    </row>
    <row r="154" spans="1:22" ht="13.5" thickBot="1" x14ac:dyDescent="0.25">
      <c r="A154" s="328" t="s">
        <v>149</v>
      </c>
      <c r="B154" s="371">
        <f t="shared" si="120"/>
        <v>0.20100000000000001</v>
      </c>
      <c r="C154" s="184">
        <f t="shared" si="121"/>
        <v>5.05</v>
      </c>
      <c r="D154" s="184">
        <f t="shared" si="122"/>
        <v>5.41</v>
      </c>
      <c r="E154" s="325">
        <f t="shared" si="123"/>
        <v>0.36000000000000032</v>
      </c>
      <c r="F154" s="329">
        <f t="shared" si="124"/>
        <v>7.128712871287135E-2</v>
      </c>
      <c r="G154" s="325">
        <f t="shared" si="125"/>
        <v>-0.13739780223153678</v>
      </c>
      <c r="H154" s="325">
        <f t="shared" si="126"/>
        <v>1.402421979518975</v>
      </c>
      <c r="I154" s="325">
        <f t="shared" si="127"/>
        <v>6.3150241772874374</v>
      </c>
      <c r="J154" s="325">
        <f t="shared" si="128"/>
        <v>6.6750241772874377</v>
      </c>
      <c r="K154" s="329">
        <f t="shared" si="129"/>
        <v>5.7006907636992628E-2</v>
      </c>
      <c r="N154" s="31">
        <v>422</v>
      </c>
      <c r="O154" s="121" t="s">
        <v>149</v>
      </c>
      <c r="P154" s="123">
        <f>VLOOKUP($N154,INPUT!$AB$9:$AF$123,3,FALSE)</f>
        <v>5.05</v>
      </c>
      <c r="Q154" s="123">
        <f>VLOOKUP($N154,INPUT!$AB$9:$AF$123,4,FALSE)</f>
        <v>5.41</v>
      </c>
      <c r="R154" s="31">
        <f>VLOOKUP($N154,INPUT!$AB$9:$AF$123,5,FALSE)</f>
        <v>0.20100000000000001</v>
      </c>
      <c r="S154" s="99">
        <f>($R154*INPUT!$Q$59)*INPUT!$G$65</f>
        <v>-0.13739780223153678</v>
      </c>
      <c r="T154" s="99">
        <f>($R154*INPUT!$Q$59)*INPUT!$I$65</f>
        <v>1.402421979518975</v>
      </c>
      <c r="U154" s="100">
        <f t="shared" si="130"/>
        <v>6.3150241772874374</v>
      </c>
      <c r="V154" s="100">
        <f t="shared" si="131"/>
        <v>6.6750241772874377</v>
      </c>
    </row>
    <row r="155" spans="1:22" ht="13.5" thickBot="1" x14ac:dyDescent="0.25">
      <c r="A155" s="328" t="s">
        <v>150</v>
      </c>
      <c r="B155" s="371">
        <f t="shared" si="120"/>
        <v>0.32700000000000001</v>
      </c>
      <c r="C155" s="184">
        <f t="shared" si="121"/>
        <v>7.51</v>
      </c>
      <c r="D155" s="184">
        <f t="shared" si="122"/>
        <v>8.0299999999999994</v>
      </c>
      <c r="E155" s="325">
        <f t="shared" si="123"/>
        <v>0.51999999999999957</v>
      </c>
      <c r="F155" s="329">
        <f t="shared" si="124"/>
        <v>6.9241011984021245E-2</v>
      </c>
      <c r="G155" s="325">
        <f t="shared" si="125"/>
        <v>-0.22352776780951505</v>
      </c>
      <c r="H155" s="325">
        <f t="shared" si="126"/>
        <v>2.2815521756353472</v>
      </c>
      <c r="I155" s="325">
        <f t="shared" si="127"/>
        <v>9.5680244078258312</v>
      </c>
      <c r="J155" s="325">
        <f t="shared" si="128"/>
        <v>10.088024407825831</v>
      </c>
      <c r="K155" s="329">
        <f t="shared" si="129"/>
        <v>5.4347687446813342E-2</v>
      </c>
      <c r="N155" s="31">
        <v>424</v>
      </c>
      <c r="O155" s="121" t="s">
        <v>150</v>
      </c>
      <c r="P155" s="123">
        <f>VLOOKUP($N155,INPUT!$AB$9:$AF$123,3,FALSE)</f>
        <v>7.51</v>
      </c>
      <c r="Q155" s="123">
        <f>VLOOKUP($N155,INPUT!$AB$9:$AF$123,4,FALSE)</f>
        <v>8.0299999999999994</v>
      </c>
      <c r="R155" s="31">
        <f>VLOOKUP($N155,INPUT!$AB$9:$AF$123,5,FALSE)</f>
        <v>0.32700000000000001</v>
      </c>
      <c r="S155" s="99">
        <f>($R155*INPUT!$Q$59)*INPUT!$G$65</f>
        <v>-0.22352776780951505</v>
      </c>
      <c r="T155" s="99">
        <f>($R155*INPUT!$Q$59)*INPUT!$I$65</f>
        <v>2.2815521756353472</v>
      </c>
      <c r="U155" s="100">
        <f t="shared" si="130"/>
        <v>9.5680244078258312</v>
      </c>
      <c r="V155" s="100">
        <f t="shared" si="131"/>
        <v>10.088024407825831</v>
      </c>
    </row>
    <row r="156" spans="1:22" ht="13.5" thickBot="1" x14ac:dyDescent="0.25">
      <c r="A156" s="328" t="s">
        <v>151</v>
      </c>
      <c r="B156" s="371">
        <f t="shared" si="120"/>
        <v>0.44700000000000001</v>
      </c>
      <c r="C156" s="184">
        <f t="shared" si="121"/>
        <v>10.02</v>
      </c>
      <c r="D156" s="184">
        <f t="shared" si="122"/>
        <v>10.74</v>
      </c>
      <c r="E156" s="325">
        <f t="shared" si="123"/>
        <v>0.72000000000000064</v>
      </c>
      <c r="F156" s="329">
        <f t="shared" si="124"/>
        <v>7.1856287425149767E-2</v>
      </c>
      <c r="G156" s="325">
        <f t="shared" si="125"/>
        <v>-0.30555630645520865</v>
      </c>
      <c r="H156" s="325">
        <f t="shared" si="126"/>
        <v>3.1188190290795115</v>
      </c>
      <c r="I156" s="325">
        <f t="shared" si="127"/>
        <v>12.833262722624301</v>
      </c>
      <c r="J156" s="325">
        <f t="shared" si="128"/>
        <v>13.553262722624304</v>
      </c>
      <c r="K156" s="329">
        <f t="shared" si="129"/>
        <v>5.6104204796702556E-2</v>
      </c>
      <c r="N156" s="31">
        <v>425</v>
      </c>
      <c r="O156" s="121" t="s">
        <v>151</v>
      </c>
      <c r="P156" s="123">
        <f>VLOOKUP($N156,INPUT!$AB$9:$AF$123,3,FALSE)</f>
        <v>10.02</v>
      </c>
      <c r="Q156" s="123">
        <f>VLOOKUP($N156,INPUT!$AB$9:$AF$123,4,FALSE)</f>
        <v>10.74</v>
      </c>
      <c r="R156" s="31">
        <f>VLOOKUP($N156,INPUT!$AB$9:$AF$123,5,FALSE)</f>
        <v>0.44700000000000001</v>
      </c>
      <c r="S156" s="99">
        <f>($R156*INPUT!$Q$59)*INPUT!$G$65</f>
        <v>-0.30555630645520865</v>
      </c>
      <c r="T156" s="99">
        <f>($R156*INPUT!$Q$59)*INPUT!$I$65</f>
        <v>3.1188190290795115</v>
      </c>
      <c r="U156" s="100">
        <f t="shared" si="130"/>
        <v>12.833262722624301</v>
      </c>
      <c r="V156" s="100">
        <f t="shared" si="131"/>
        <v>13.553262722624304</v>
      </c>
    </row>
    <row r="157" spans="1:22" ht="13.5" thickBot="1" x14ac:dyDescent="0.25">
      <c r="A157" s="343"/>
      <c r="B157" s="324"/>
      <c r="C157" s="325"/>
      <c r="D157" s="325"/>
      <c r="E157" s="325"/>
      <c r="F157" s="329"/>
      <c r="G157" s="325"/>
      <c r="H157" s="325"/>
      <c r="I157" s="325"/>
      <c r="J157" s="325"/>
      <c r="K157" s="329"/>
      <c r="O157" s="352"/>
      <c r="P157" s="353"/>
      <c r="Q157" s="354"/>
      <c r="S157" s="99"/>
      <c r="T157" s="99"/>
    </row>
    <row r="158" spans="1:22" ht="13.5" thickBot="1" x14ac:dyDescent="0.25">
      <c r="A158" s="323" t="s">
        <v>107</v>
      </c>
      <c r="B158" s="324"/>
      <c r="C158" s="325"/>
      <c r="D158" s="325"/>
      <c r="E158" s="325"/>
      <c r="F158" s="329"/>
      <c r="G158" s="325"/>
      <c r="H158" s="325"/>
      <c r="I158" s="325"/>
      <c r="J158" s="325"/>
      <c r="K158" s="329"/>
      <c r="O158" s="118" t="s">
        <v>107</v>
      </c>
      <c r="P158" s="116"/>
      <c r="Q158" s="125"/>
      <c r="S158" s="99"/>
      <c r="T158" s="99"/>
    </row>
    <row r="159" spans="1:22" ht="13.5" thickBot="1" x14ac:dyDescent="0.25">
      <c r="A159" s="327" t="s">
        <v>137</v>
      </c>
      <c r="B159" s="324"/>
      <c r="C159" s="325"/>
      <c r="D159" s="325"/>
      <c r="E159" s="325"/>
      <c r="F159" s="329"/>
      <c r="G159" s="325"/>
      <c r="H159" s="325"/>
      <c r="I159" s="325"/>
      <c r="J159" s="325"/>
      <c r="K159" s="329"/>
      <c r="O159" s="119" t="s">
        <v>137</v>
      </c>
      <c r="P159" s="123"/>
      <c r="Q159" s="124"/>
      <c r="S159" s="99"/>
      <c r="T159" s="99"/>
    </row>
    <row r="160" spans="1:22" ht="13.5" thickBot="1" x14ac:dyDescent="0.25">
      <c r="A160" s="328" t="s">
        <v>154</v>
      </c>
      <c r="B160" s="371">
        <f t="shared" ref="B160:B162" si="132">+R160</f>
        <v>0.15</v>
      </c>
      <c r="C160" s="184">
        <f t="shared" ref="C160:C168" si="133">P160</f>
        <v>31.57</v>
      </c>
      <c r="D160" s="184">
        <f t="shared" ref="D160:D168" si="134">Q160</f>
        <v>33.81</v>
      </c>
      <c r="E160" s="325">
        <f t="shared" ref="E160:E162" si="135">+D160-C160</f>
        <v>2.240000000000002</v>
      </c>
      <c r="F160" s="329">
        <f t="shared" ref="F160:F162" si="136">+E160/C160</f>
        <v>7.0953436807095399E-2</v>
      </c>
      <c r="G160" s="325">
        <f t="shared" ref="G160:G162" si="137">+S160</f>
        <v>-0.10253567330711699</v>
      </c>
      <c r="H160" s="325">
        <f t="shared" ref="H160:H162" si="138">+T160</f>
        <v>1.046583566805205</v>
      </c>
      <c r="I160" s="325">
        <f t="shared" ref="I160:I162" si="139">+C160+G160+H160</f>
        <v>32.514047893498088</v>
      </c>
      <c r="J160" s="325">
        <f t="shared" ref="J160:J162" si="140">+D160+G160+H160</f>
        <v>34.75404789349809</v>
      </c>
      <c r="K160" s="329">
        <f t="shared" ref="K160:K162" si="141">(J160-I160)/I160</f>
        <v>6.8893298285629331E-2</v>
      </c>
      <c r="N160" s="31">
        <v>460</v>
      </c>
      <c r="O160" s="120" t="s">
        <v>154</v>
      </c>
      <c r="P160" s="123">
        <f>VLOOKUP($N160,INPUT!$AB$9:$AF$123,3,FALSE)</f>
        <v>31.57</v>
      </c>
      <c r="Q160" s="123">
        <f>VLOOKUP($N160,INPUT!$AB$9:$AF$123,4,FALSE)</f>
        <v>33.81</v>
      </c>
      <c r="R160" s="31">
        <f>VLOOKUP($N160,INPUT!$AB$9:$AF$123,5,FALSE)</f>
        <v>0.15</v>
      </c>
      <c r="S160" s="99">
        <f>($R160*INPUT!$Q$59)*INPUT!$G$65</f>
        <v>-0.10253567330711699</v>
      </c>
      <c r="T160" s="99">
        <f>($R160*INPUT!$Q$59)*INPUT!$I$65</f>
        <v>1.046583566805205</v>
      </c>
      <c r="U160" s="100">
        <f t="shared" ref="U160:U162" si="142">+P160+S160+T160</f>
        <v>32.514047893498088</v>
      </c>
      <c r="V160" s="100">
        <f t="shared" ref="V160:V162" si="143">+Q160+S160+T160</f>
        <v>34.75404789349809</v>
      </c>
    </row>
    <row r="161" spans="1:22" ht="13.5" thickBot="1" x14ac:dyDescent="0.25">
      <c r="A161" s="328" t="s">
        <v>155</v>
      </c>
      <c r="B161" s="371">
        <f t="shared" si="132"/>
        <v>0.35</v>
      </c>
      <c r="C161" s="184">
        <f t="shared" si="133"/>
        <v>37.270000000000003</v>
      </c>
      <c r="D161" s="184">
        <f t="shared" si="134"/>
        <v>39.909999999999997</v>
      </c>
      <c r="E161" s="325">
        <f t="shared" si="135"/>
        <v>2.6399999999999935</v>
      </c>
      <c r="F161" s="329">
        <f t="shared" si="136"/>
        <v>7.0834451301314549E-2</v>
      </c>
      <c r="G161" s="325">
        <f t="shared" si="137"/>
        <v>-0.23924990438327295</v>
      </c>
      <c r="H161" s="325">
        <f t="shared" si="138"/>
        <v>2.4420283225454784</v>
      </c>
      <c r="I161" s="325">
        <f t="shared" si="139"/>
        <v>39.472778418162207</v>
      </c>
      <c r="J161" s="325">
        <f t="shared" si="140"/>
        <v>42.1127784181622</v>
      </c>
      <c r="K161" s="329">
        <f t="shared" si="141"/>
        <v>6.6881534713180396E-2</v>
      </c>
      <c r="N161" s="31">
        <v>469</v>
      </c>
      <c r="O161" s="121" t="s">
        <v>155</v>
      </c>
      <c r="P161" s="123">
        <f>VLOOKUP($N161,INPUT!$AB$9:$AF$123,3,FALSE)</f>
        <v>37.270000000000003</v>
      </c>
      <c r="Q161" s="123">
        <f>VLOOKUP($N161,INPUT!$AB$9:$AF$123,4,FALSE)</f>
        <v>39.909999999999997</v>
      </c>
      <c r="R161" s="31">
        <f>VLOOKUP($N161,INPUT!$AB$9:$AF$123,5,FALSE)</f>
        <v>0.35</v>
      </c>
      <c r="S161" s="99">
        <f>($R161*INPUT!$Q$59)*INPUT!$G$65</f>
        <v>-0.23924990438327295</v>
      </c>
      <c r="T161" s="99">
        <f>($R161*INPUT!$Q$59)*INPUT!$I$65</f>
        <v>2.4420283225454784</v>
      </c>
      <c r="U161" s="100">
        <f t="shared" si="142"/>
        <v>39.472778418162207</v>
      </c>
      <c r="V161" s="100">
        <f t="shared" si="143"/>
        <v>42.1127784181622</v>
      </c>
    </row>
    <row r="162" spans="1:22" ht="13.5" thickBot="1" x14ac:dyDescent="0.25">
      <c r="A162" s="328" t="s">
        <v>156</v>
      </c>
      <c r="B162" s="371">
        <f t="shared" si="132"/>
        <v>1.08</v>
      </c>
      <c r="C162" s="184">
        <f t="shared" si="133"/>
        <v>62.05</v>
      </c>
      <c r="D162" s="184">
        <f t="shared" si="134"/>
        <v>66.45</v>
      </c>
      <c r="E162" s="325">
        <f t="shared" si="135"/>
        <v>4.4000000000000057</v>
      </c>
      <c r="F162" s="329">
        <f t="shared" si="136"/>
        <v>7.0910556003223296E-2</v>
      </c>
      <c r="G162" s="325">
        <f t="shared" si="137"/>
        <v>-0.73825684781124246</v>
      </c>
      <c r="H162" s="325">
        <f t="shared" si="138"/>
        <v>7.5354016809974782</v>
      </c>
      <c r="I162" s="325">
        <f t="shared" si="139"/>
        <v>68.847144833186235</v>
      </c>
      <c r="J162" s="325">
        <f t="shared" si="140"/>
        <v>73.24714483318624</v>
      </c>
      <c r="K162" s="329">
        <f t="shared" si="141"/>
        <v>6.3909694594612779E-2</v>
      </c>
      <c r="L162" s="19"/>
      <c r="N162" s="31">
        <v>470</v>
      </c>
      <c r="O162" s="121" t="s">
        <v>156</v>
      </c>
      <c r="P162" s="123">
        <f>VLOOKUP($N162,INPUT!$AB$9:$AF$123,3,FALSE)</f>
        <v>62.05</v>
      </c>
      <c r="Q162" s="123">
        <f>VLOOKUP($N162,INPUT!$AB$9:$AF$123,4,FALSE)</f>
        <v>66.45</v>
      </c>
      <c r="R162" s="31">
        <f>VLOOKUP($N162,INPUT!$AB$9:$AF$123,5,FALSE)</f>
        <v>1.08</v>
      </c>
      <c r="S162" s="99">
        <f>($R162*INPUT!$Q$59)*INPUT!$G$65</f>
        <v>-0.73825684781124246</v>
      </c>
      <c r="T162" s="99">
        <f>($R162*INPUT!$Q$59)*INPUT!$I$65</f>
        <v>7.5354016809974782</v>
      </c>
      <c r="U162" s="100">
        <f t="shared" si="142"/>
        <v>68.847144833186235</v>
      </c>
      <c r="V162" s="100">
        <f t="shared" si="143"/>
        <v>73.24714483318624</v>
      </c>
    </row>
    <row r="163" spans="1:22" ht="13.5" thickBot="1" x14ac:dyDescent="0.25">
      <c r="A163" s="330" t="s">
        <v>126</v>
      </c>
      <c r="B163" s="371">
        <f>+R163</f>
        <v>0.15</v>
      </c>
      <c r="C163" s="184">
        <f t="shared" si="133"/>
        <v>17.79</v>
      </c>
      <c r="D163" s="184">
        <f t="shared" si="134"/>
        <v>19.05</v>
      </c>
      <c r="E163" s="325">
        <f>+D163-C163</f>
        <v>1.2600000000000016</v>
      </c>
      <c r="F163" s="329">
        <f>+E163/C163</f>
        <v>7.0826306913996717E-2</v>
      </c>
      <c r="G163" s="325">
        <f>+S163</f>
        <v>-0.10253567330711699</v>
      </c>
      <c r="H163" s="325">
        <f>+T163</f>
        <v>1.046583566805205</v>
      </c>
      <c r="I163" s="325">
        <f>+C163+G163+H163</f>
        <v>18.734047893498087</v>
      </c>
      <c r="J163" s="325">
        <f>+D163+G163+H163</f>
        <v>19.994047893498088</v>
      </c>
      <c r="K163" s="329">
        <f>(J163-I163)/I163</f>
        <v>6.7257221032156228E-2</v>
      </c>
      <c r="N163" s="31">
        <v>490</v>
      </c>
      <c r="O163" s="121" t="s">
        <v>126</v>
      </c>
      <c r="P163" s="123">
        <f>VLOOKUP($N163,INPUT!$AB$9:$AF$123,3,FALSE)</f>
        <v>17.79</v>
      </c>
      <c r="Q163" s="123">
        <f>VLOOKUP($N163,INPUT!$AB$9:$AF$123,4,FALSE)</f>
        <v>19.05</v>
      </c>
      <c r="R163" s="31">
        <f>VLOOKUP($N163,INPUT!$AB$9:$AF$123,5,FALSE)</f>
        <v>0.15</v>
      </c>
      <c r="S163" s="99">
        <f>($R163*INPUT!$Q$59)*INPUT!$G$65</f>
        <v>-0.10253567330711699</v>
      </c>
      <c r="T163" s="99">
        <f>($R163*INPUT!$Q$59)*INPUT!$I$65</f>
        <v>1.046583566805205</v>
      </c>
      <c r="U163" s="100">
        <f t="shared" ref="U163" si="144">+P163+S163+T163</f>
        <v>18.734047893498087</v>
      </c>
      <c r="V163" s="100">
        <f t="shared" ref="V163" si="145">+Q163+S163+T163</f>
        <v>19.994047893498088</v>
      </c>
    </row>
    <row r="164" spans="1:22" ht="13.5" thickBot="1" x14ac:dyDescent="0.25">
      <c r="A164" s="330" t="s">
        <v>480</v>
      </c>
      <c r="B164" s="371">
        <f t="shared" ref="B164:B167" si="146">+R164</f>
        <v>0.35</v>
      </c>
      <c r="C164" s="184">
        <f t="shared" si="133"/>
        <v>24.95</v>
      </c>
      <c r="D164" s="184">
        <f t="shared" si="134"/>
        <v>26.72</v>
      </c>
      <c r="E164" s="325">
        <f t="shared" ref="E164:E167" si="147">+D164-C164</f>
        <v>1.7699999999999996</v>
      </c>
      <c r="F164" s="329">
        <f t="shared" ref="F164:F167" si="148">+E164/C164</f>
        <v>7.0941883767535061E-2</v>
      </c>
      <c r="G164" s="325">
        <f t="shared" ref="G164:G167" si="149">+S164</f>
        <v>-0.23924990438327295</v>
      </c>
      <c r="H164" s="325">
        <f t="shared" ref="H164:H167" si="150">+T164</f>
        <v>2.4420283225454784</v>
      </c>
      <c r="I164" s="325">
        <f t="shared" ref="I164:I167" si="151">+C164+G164+H164</f>
        <v>27.152778418162207</v>
      </c>
      <c r="J164" s="325">
        <f t="shared" ref="J164:J167" si="152">+D164+G164+H164</f>
        <v>28.922778418162206</v>
      </c>
      <c r="K164" s="329">
        <f t="shared" ref="K164:K167" si="153">(J164-I164)/I164</f>
        <v>6.518669922986832E-2</v>
      </c>
      <c r="N164" s="31">
        <v>491</v>
      </c>
      <c r="O164" s="113" t="s">
        <v>128</v>
      </c>
      <c r="P164" s="123">
        <f>VLOOKUP($N164,INPUT!$AB$9:$AF$123,3,FALSE)</f>
        <v>24.95</v>
      </c>
      <c r="Q164" s="123">
        <f>VLOOKUP($N164,INPUT!$AB$9:$AF$123,4,FALSE)</f>
        <v>26.72</v>
      </c>
      <c r="R164" s="31">
        <f>VLOOKUP($N164,INPUT!$AB$9:$AF$123,5,FALSE)</f>
        <v>0.35</v>
      </c>
      <c r="S164" s="99">
        <f>($R164*INPUT!$Q$59)*INPUT!$G$65</f>
        <v>-0.23924990438327295</v>
      </c>
      <c r="T164" s="99">
        <f>($R164*INPUT!$Q$59)*INPUT!$I$65</f>
        <v>2.4420283225454784</v>
      </c>
      <c r="U164" s="100">
        <f t="shared" ref="U164:U167" si="154">+P164+S164+T164</f>
        <v>27.152778418162207</v>
      </c>
      <c r="V164" s="100">
        <f t="shared" ref="V164:V167" si="155">+Q164+S164+T164</f>
        <v>28.922778418162206</v>
      </c>
    </row>
    <row r="165" spans="1:22" ht="13.5" thickBot="1" x14ac:dyDescent="0.25">
      <c r="A165" s="330" t="s">
        <v>130</v>
      </c>
      <c r="B165" s="371">
        <f>+R165</f>
        <v>1.08</v>
      </c>
      <c r="C165" s="184">
        <f t="shared" si="133"/>
        <v>51.71</v>
      </c>
      <c r="D165" s="184">
        <f t="shared" si="134"/>
        <v>55.38</v>
      </c>
      <c r="E165" s="325">
        <f>+D165-C165</f>
        <v>3.6700000000000017</v>
      </c>
      <c r="F165" s="329">
        <f>+E165/C165</f>
        <v>7.0972732546896178E-2</v>
      </c>
      <c r="G165" s="325">
        <f>+S165</f>
        <v>-0.73825684781124246</v>
      </c>
      <c r="H165" s="325">
        <f>+T165</f>
        <v>7.5354016809974782</v>
      </c>
      <c r="I165" s="325">
        <f>+C165+G165+H165</f>
        <v>58.507144833186238</v>
      </c>
      <c r="J165" s="325">
        <f>+D165+G165+H165</f>
        <v>62.17714483318624</v>
      </c>
      <c r="K165" s="329">
        <f>(J165-I165)/I165</f>
        <v>6.2727381595252887E-2</v>
      </c>
      <c r="N165" s="31">
        <v>493</v>
      </c>
      <c r="O165" s="102" t="s">
        <v>130</v>
      </c>
      <c r="P165" s="123">
        <f>VLOOKUP($N165,INPUT!$AB$9:$AF$123,3,FALSE)</f>
        <v>51.71</v>
      </c>
      <c r="Q165" s="123">
        <f>VLOOKUP($N165,INPUT!$AB$9:$AF$123,4,FALSE)</f>
        <v>55.38</v>
      </c>
      <c r="R165" s="31">
        <f>VLOOKUP($N165,INPUT!$AB$9:$AF$123,5,FALSE)</f>
        <v>1.08</v>
      </c>
      <c r="S165" s="99">
        <f>($R165*INPUT!$Q$59)*INPUT!$G$65</f>
        <v>-0.73825684781124246</v>
      </c>
      <c r="T165" s="99">
        <f>($R165*INPUT!$Q$59)*INPUT!$I$65</f>
        <v>7.5354016809974782</v>
      </c>
      <c r="U165" s="100">
        <f>+P165+S165+T165</f>
        <v>58.507144833186238</v>
      </c>
      <c r="V165" s="100">
        <f>+Q165+S165+T165</f>
        <v>62.17714483318624</v>
      </c>
    </row>
    <row r="166" spans="1:22" ht="13.5" thickBot="1" x14ac:dyDescent="0.25">
      <c r="A166" s="330" t="s">
        <v>127</v>
      </c>
      <c r="B166" s="371">
        <f>+R166</f>
        <v>0.15</v>
      </c>
      <c r="C166" s="184">
        <f t="shared" si="133"/>
        <v>31.76</v>
      </c>
      <c r="D166" s="184">
        <f t="shared" si="134"/>
        <v>34.01</v>
      </c>
      <c r="E166" s="325">
        <f>+D166-C166</f>
        <v>2.2499999999999964</v>
      </c>
      <c r="F166" s="329">
        <f>+E166/C166</f>
        <v>7.0843828715365126E-2</v>
      </c>
      <c r="G166" s="325">
        <f>+S166</f>
        <v>-0.10253567330711699</v>
      </c>
      <c r="H166" s="325">
        <f>+T166</f>
        <v>1.046583566805205</v>
      </c>
      <c r="I166" s="325">
        <f>+C166+G166+H166</f>
        <v>32.704047893498092</v>
      </c>
      <c r="J166" s="325">
        <f>+D166+G166+H166</f>
        <v>34.954047893498085</v>
      </c>
      <c r="K166" s="329">
        <f>(J166-I166)/I166</f>
        <v>6.8798822926360637E-2</v>
      </c>
      <c r="N166" s="31">
        <v>494</v>
      </c>
      <c r="O166" s="113" t="s">
        <v>127</v>
      </c>
      <c r="P166" s="123">
        <f>VLOOKUP($N166,INPUT!$AB$9:$AF$123,3,FALSE)</f>
        <v>31.76</v>
      </c>
      <c r="Q166" s="123">
        <f>VLOOKUP($N166,INPUT!$AB$9:$AF$123,4,FALSE)</f>
        <v>34.01</v>
      </c>
      <c r="R166" s="31">
        <f>VLOOKUP($N166,INPUT!$AB$9:$AF$123,5,FALSE)</f>
        <v>0.15</v>
      </c>
      <c r="S166" s="99">
        <f>($R166*INPUT!$Q$59)*INPUT!$G$65</f>
        <v>-0.10253567330711699</v>
      </c>
      <c r="T166" s="99">
        <f>($R166*INPUT!$Q$59)*INPUT!$I$65</f>
        <v>1.046583566805205</v>
      </c>
      <c r="U166" s="100">
        <f>+P166+S166+T166</f>
        <v>32.704047893498092</v>
      </c>
      <c r="V166" s="100">
        <f>+Q166+S166+T166</f>
        <v>34.954047893498085</v>
      </c>
    </row>
    <row r="167" spans="1:22" ht="13.5" thickBot="1" x14ac:dyDescent="0.25">
      <c r="A167" s="330" t="s">
        <v>481</v>
      </c>
      <c r="B167" s="371">
        <f t="shared" si="146"/>
        <v>0.35</v>
      </c>
      <c r="C167" s="184">
        <f t="shared" si="133"/>
        <v>39.14</v>
      </c>
      <c r="D167" s="184">
        <f t="shared" si="134"/>
        <v>41.92</v>
      </c>
      <c r="E167" s="325">
        <f t="shared" si="147"/>
        <v>2.7800000000000011</v>
      </c>
      <c r="F167" s="329">
        <f t="shared" si="148"/>
        <v>7.1027082268778768E-2</v>
      </c>
      <c r="G167" s="325">
        <f t="shared" si="149"/>
        <v>-0.23924990438327295</v>
      </c>
      <c r="H167" s="325">
        <f t="shared" si="150"/>
        <v>2.4420283225454784</v>
      </c>
      <c r="I167" s="325">
        <f t="shared" si="151"/>
        <v>41.342778418162204</v>
      </c>
      <c r="J167" s="325">
        <f t="shared" si="152"/>
        <v>44.122778418162206</v>
      </c>
      <c r="K167" s="329">
        <f t="shared" si="153"/>
        <v>6.7242698879152393E-2</v>
      </c>
      <c r="N167" s="31">
        <v>495</v>
      </c>
      <c r="O167" s="121" t="s">
        <v>129</v>
      </c>
      <c r="P167" s="123">
        <f>VLOOKUP($N167,INPUT!$AB$9:$AF$123,3,FALSE)</f>
        <v>39.14</v>
      </c>
      <c r="Q167" s="123">
        <f>VLOOKUP($N167,INPUT!$AB$9:$AF$123,4,FALSE)</f>
        <v>41.92</v>
      </c>
      <c r="R167" s="31">
        <f>VLOOKUP($N167,INPUT!$AB$9:$AF$123,5,FALSE)</f>
        <v>0.35</v>
      </c>
      <c r="S167" s="99">
        <f>($R167*INPUT!$Q$59)*INPUT!$G$65</f>
        <v>-0.23924990438327295</v>
      </c>
      <c r="T167" s="99">
        <f>($R167*INPUT!$Q$59)*INPUT!$I$65</f>
        <v>2.4420283225454784</v>
      </c>
      <c r="U167" s="100">
        <f t="shared" si="154"/>
        <v>41.342778418162204</v>
      </c>
      <c r="V167" s="100">
        <f t="shared" si="155"/>
        <v>44.122778418162206</v>
      </c>
    </row>
    <row r="168" spans="1:22" ht="13.5" thickBot="1" x14ac:dyDescent="0.25">
      <c r="A168" s="330" t="s">
        <v>131</v>
      </c>
      <c r="B168" s="371">
        <f>+R168</f>
        <v>1.08</v>
      </c>
      <c r="C168" s="184">
        <f t="shared" si="133"/>
        <v>65.67</v>
      </c>
      <c r="D168" s="184">
        <f t="shared" si="134"/>
        <v>70.33</v>
      </c>
      <c r="E168" s="325">
        <f>+D168-C168</f>
        <v>4.6599999999999966</v>
      </c>
      <c r="F168" s="329">
        <f>+E168/C168</f>
        <v>7.0960864930714129E-2</v>
      </c>
      <c r="G168" s="325">
        <f>+S168</f>
        <v>-0.73825684781124246</v>
      </c>
      <c r="H168" s="325">
        <f>+T168</f>
        <v>7.5354016809974782</v>
      </c>
      <c r="I168" s="325">
        <f>+C168+G168+H168</f>
        <v>72.467144833186239</v>
      </c>
      <c r="J168" s="325">
        <f>+D168+G168+H168</f>
        <v>77.127144833186236</v>
      </c>
      <c r="K168" s="329">
        <f>(J168-I168)/I168</f>
        <v>6.4305003470565267E-2</v>
      </c>
      <c r="N168" s="31">
        <v>496</v>
      </c>
      <c r="O168" s="121" t="s">
        <v>131</v>
      </c>
      <c r="P168" s="123">
        <f>VLOOKUP($N168,INPUT!$AB$9:$AF$123,3,FALSE)</f>
        <v>65.67</v>
      </c>
      <c r="Q168" s="123">
        <f>VLOOKUP($N168,INPUT!$AB$9:$AF$123,4,FALSE)</f>
        <v>70.33</v>
      </c>
      <c r="R168" s="31">
        <f>VLOOKUP($N168,INPUT!$AB$9:$AF$123,5,FALSE)</f>
        <v>1.08</v>
      </c>
      <c r="S168" s="99">
        <f>($R168*INPUT!$Q$59)*INPUT!$G$65</f>
        <v>-0.73825684781124246</v>
      </c>
      <c r="T168" s="99">
        <f>($R168*INPUT!$Q$59)*INPUT!$I$65</f>
        <v>7.5354016809974782</v>
      </c>
      <c r="U168" s="100">
        <f>+P168+S168+T168</f>
        <v>72.467144833186239</v>
      </c>
      <c r="V168" s="100">
        <f>+Q168+S168+T168</f>
        <v>77.127144833186236</v>
      </c>
    </row>
    <row r="169" spans="1:22" ht="13.5" thickBot="1" x14ac:dyDescent="0.2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O169" s="31"/>
      <c r="P169" s="31"/>
      <c r="Q169" s="31"/>
    </row>
    <row r="170" spans="1:22" ht="13.5" thickBot="1" x14ac:dyDescent="0.25">
      <c r="A170" s="327" t="s">
        <v>132</v>
      </c>
      <c r="B170" s="324"/>
      <c r="C170" s="325"/>
      <c r="D170" s="325"/>
      <c r="E170" s="325"/>
      <c r="F170" s="329"/>
      <c r="G170" s="325"/>
      <c r="H170" s="325"/>
      <c r="I170" s="325"/>
      <c r="J170" s="325"/>
      <c r="K170" s="329"/>
      <c r="O170" s="351" t="s">
        <v>132</v>
      </c>
      <c r="P170" s="123"/>
      <c r="Q170" s="124"/>
      <c r="S170" s="99"/>
      <c r="T170" s="99"/>
    </row>
    <row r="171" spans="1:22" ht="13.5" thickBot="1" x14ac:dyDescent="0.25">
      <c r="A171" s="328" t="s">
        <v>157</v>
      </c>
      <c r="B171" s="371">
        <f t="shared" ref="B171:B172" si="156">+R171</f>
        <v>0.06</v>
      </c>
      <c r="C171" s="184">
        <f t="shared" ref="C171:C191" si="157">P171</f>
        <v>15.88</v>
      </c>
      <c r="D171" s="184">
        <f t="shared" ref="D171:D191" si="158">Q171</f>
        <v>17.02</v>
      </c>
      <c r="E171" s="325">
        <f t="shared" ref="E171:E172" si="159">+D171-C171</f>
        <v>1.1399999999999988</v>
      </c>
      <c r="F171" s="329">
        <f t="shared" ref="F171:F172" si="160">+E171/C171</f>
        <v>7.1788413098236692E-2</v>
      </c>
      <c r="G171" s="325">
        <f t="shared" ref="G171:G172" si="161">+S171</f>
        <v>-4.1014269322846797E-2</v>
      </c>
      <c r="H171" s="325">
        <f t="shared" ref="H171:H172" si="162">+T171</f>
        <v>0.41863342672208204</v>
      </c>
      <c r="I171" s="325">
        <f t="shared" ref="I171:I172" si="163">+C171+G171+H171</f>
        <v>16.257619157399237</v>
      </c>
      <c r="J171" s="325">
        <f t="shared" ref="J171:J172" si="164">+D171+G171+H171</f>
        <v>17.397619157399234</v>
      </c>
      <c r="K171" s="329">
        <f t="shared" ref="K171:K172" si="165">(J171-I171)/I171</f>
        <v>7.0120968449501123E-2</v>
      </c>
      <c r="N171" s="31">
        <v>440</v>
      </c>
      <c r="O171" s="120" t="s">
        <v>157</v>
      </c>
      <c r="P171" s="123">
        <f>VLOOKUP($N171,INPUT!$AB$9:$AF$123,3,FALSE)</f>
        <v>15.88</v>
      </c>
      <c r="Q171" s="123">
        <f>VLOOKUP($N171,INPUT!$AB$9:$AF$123,4,FALSE)</f>
        <v>17.02</v>
      </c>
      <c r="R171" s="31">
        <f>VLOOKUP($N171,INPUT!$AB$9:$AF$123,5,FALSE)</f>
        <v>0.06</v>
      </c>
      <c r="S171" s="99">
        <f>($R171*INPUT!$Q$59)*INPUT!$G$65</f>
        <v>-4.1014269322846797E-2</v>
      </c>
      <c r="T171" s="99">
        <f>($R171*INPUT!$Q$59)*INPUT!$I$65</f>
        <v>0.41863342672208204</v>
      </c>
      <c r="U171" s="100">
        <f t="shared" ref="U171:U172" si="166">+P171+S171+T171</f>
        <v>16.257619157399237</v>
      </c>
      <c r="V171" s="100">
        <f t="shared" ref="V171:V172" si="167">+Q171+S171+T171</f>
        <v>17.397619157399234</v>
      </c>
    </row>
    <row r="172" spans="1:22" ht="13.5" thickBot="1" x14ac:dyDescent="0.25">
      <c r="A172" s="328" t="s">
        <v>158</v>
      </c>
      <c r="B172" s="371">
        <f t="shared" si="156"/>
        <v>0.06</v>
      </c>
      <c r="C172" s="184">
        <f t="shared" si="157"/>
        <v>23.33</v>
      </c>
      <c r="D172" s="184">
        <f t="shared" si="158"/>
        <v>24.98</v>
      </c>
      <c r="E172" s="325">
        <f t="shared" si="159"/>
        <v>1.6500000000000021</v>
      </c>
      <c r="F172" s="329">
        <f t="shared" si="160"/>
        <v>7.0724389198457013E-2</v>
      </c>
      <c r="G172" s="325">
        <f t="shared" si="161"/>
        <v>-4.1014269322846797E-2</v>
      </c>
      <c r="H172" s="325">
        <f t="shared" si="162"/>
        <v>0.41863342672208204</v>
      </c>
      <c r="I172" s="325">
        <f t="shared" si="163"/>
        <v>23.707619157399233</v>
      </c>
      <c r="J172" s="325">
        <f t="shared" si="164"/>
        <v>25.357619157399235</v>
      </c>
      <c r="K172" s="329">
        <f t="shared" si="165"/>
        <v>6.9597878599506321E-2</v>
      </c>
      <c r="N172" s="31">
        <v>410</v>
      </c>
      <c r="O172" s="121" t="s">
        <v>158</v>
      </c>
      <c r="P172" s="123">
        <f>VLOOKUP($N172,INPUT!$AB$9:$AF$123,3,FALSE)</f>
        <v>23.33</v>
      </c>
      <c r="Q172" s="123">
        <f>VLOOKUP($N172,INPUT!$AB$9:$AF$123,4,FALSE)</f>
        <v>24.98</v>
      </c>
      <c r="R172" s="31">
        <f>VLOOKUP($N172,INPUT!$AB$9:$AF$123,5,FALSE)</f>
        <v>0.06</v>
      </c>
      <c r="S172" s="99">
        <f>($R172*INPUT!$Q$59)*INPUT!$G$65</f>
        <v>-4.1014269322846797E-2</v>
      </c>
      <c r="T172" s="99">
        <f>($R172*INPUT!$Q$59)*INPUT!$I$65</f>
        <v>0.41863342672208204</v>
      </c>
      <c r="U172" s="100">
        <f t="shared" si="166"/>
        <v>23.707619157399233</v>
      </c>
      <c r="V172" s="100">
        <f t="shared" si="167"/>
        <v>25.357619157399235</v>
      </c>
    </row>
    <row r="173" spans="1:22" ht="13.5" thickBot="1" x14ac:dyDescent="0.25">
      <c r="A173" s="330" t="s">
        <v>482</v>
      </c>
      <c r="B173" s="371">
        <f t="shared" ref="B173:B191" si="168">+R173</f>
        <v>8.3000000000000004E-2</v>
      </c>
      <c r="C173" s="184">
        <f t="shared" si="157"/>
        <v>17.43</v>
      </c>
      <c r="D173" s="184">
        <f t="shared" si="158"/>
        <v>18.670000000000002</v>
      </c>
      <c r="E173" s="325">
        <f t="shared" ref="E173:E191" si="169">+D173-C173</f>
        <v>1.240000000000002</v>
      </c>
      <c r="F173" s="329">
        <f t="shared" ref="F173:F191" si="170">+E173/C173</f>
        <v>7.1141709695926675E-2</v>
      </c>
      <c r="G173" s="325">
        <f t="shared" ref="G173:G191" si="171">+S173</f>
        <v>-5.6736405896604739E-2</v>
      </c>
      <c r="H173" s="325">
        <f t="shared" ref="H173:H191" si="172">+T173</f>
        <v>0.57910957363221349</v>
      </c>
      <c r="I173" s="325">
        <f t="shared" ref="I173:I191" si="173">+C173+G173+H173</f>
        <v>17.952373167735608</v>
      </c>
      <c r="J173" s="325">
        <f t="shared" ref="J173:J191" si="174">+D173+G173+H173</f>
        <v>19.19237316773561</v>
      </c>
      <c r="K173" s="329">
        <f t="shared" ref="K173:K191" si="175">(J173-I173)/I173</f>
        <v>6.907164798849863E-2</v>
      </c>
      <c r="N173" s="31">
        <v>401</v>
      </c>
      <c r="O173" s="113" t="s">
        <v>110</v>
      </c>
      <c r="P173" s="123">
        <f>VLOOKUP($N173,INPUT!$AB$9:$AF$123,3,FALSE)</f>
        <v>17.43</v>
      </c>
      <c r="Q173" s="123">
        <f>VLOOKUP($N173,INPUT!$AB$9:$AF$123,4,FALSE)</f>
        <v>18.670000000000002</v>
      </c>
      <c r="R173" s="31">
        <f>VLOOKUP($N173,INPUT!$AB$9:$AF$123,5,FALSE)</f>
        <v>8.3000000000000004E-2</v>
      </c>
      <c r="S173" s="99">
        <f>($R173*INPUT!$Q$59)*INPUT!$G$65</f>
        <v>-5.6736405896604739E-2</v>
      </c>
      <c r="T173" s="99">
        <f>($R173*INPUT!$Q$59)*INPUT!$I$65</f>
        <v>0.57910957363221349</v>
      </c>
      <c r="U173" s="100">
        <f t="shared" ref="U173:U179" si="176">+P173+S173+T173</f>
        <v>17.952373167735608</v>
      </c>
      <c r="V173" s="100">
        <f t="shared" ref="V173:V179" si="177">+Q173+S173+T173</f>
        <v>19.19237316773561</v>
      </c>
    </row>
    <row r="174" spans="1:22" ht="13.5" thickBot="1" x14ac:dyDescent="0.25">
      <c r="A174" s="330" t="s">
        <v>483</v>
      </c>
      <c r="B174" s="371">
        <f t="shared" si="168"/>
        <v>8.3000000000000004E-2</v>
      </c>
      <c r="C174" s="184">
        <f t="shared" si="157"/>
        <v>24.76</v>
      </c>
      <c r="D174" s="184">
        <f t="shared" si="158"/>
        <v>26.52</v>
      </c>
      <c r="E174" s="325">
        <f t="shared" si="169"/>
        <v>1.759999999999998</v>
      </c>
      <c r="F174" s="329">
        <f t="shared" si="170"/>
        <v>7.1082390953150151E-2</v>
      </c>
      <c r="G174" s="325">
        <f t="shared" si="171"/>
        <v>-5.6736405896604739E-2</v>
      </c>
      <c r="H174" s="325">
        <f t="shared" si="172"/>
        <v>0.57910957363221349</v>
      </c>
      <c r="I174" s="325">
        <f t="shared" si="173"/>
        <v>25.28237316773561</v>
      </c>
      <c r="J174" s="325">
        <f t="shared" si="174"/>
        <v>27.042373167735608</v>
      </c>
      <c r="K174" s="329">
        <f t="shared" si="175"/>
        <v>6.9613718155463439E-2</v>
      </c>
      <c r="N174" s="31">
        <v>411</v>
      </c>
      <c r="O174" s="113" t="s">
        <v>111</v>
      </c>
      <c r="P174" s="123">
        <f>VLOOKUP($N174,INPUT!$AB$9:$AF$123,3,FALSE)</f>
        <v>24.76</v>
      </c>
      <c r="Q174" s="123">
        <f>VLOOKUP($N174,INPUT!$AB$9:$AF$123,4,FALSE)</f>
        <v>26.52</v>
      </c>
      <c r="R174" s="31">
        <f>VLOOKUP($N174,INPUT!$AB$9:$AF$123,5,FALSE)</f>
        <v>8.3000000000000004E-2</v>
      </c>
      <c r="S174" s="99">
        <f>($R174*INPUT!$Q$59)*INPUT!$G$65</f>
        <v>-5.6736405896604739E-2</v>
      </c>
      <c r="T174" s="99">
        <f>($R174*INPUT!$Q$59)*INPUT!$I$65</f>
        <v>0.57910957363221349</v>
      </c>
      <c r="U174" s="100">
        <f t="shared" si="176"/>
        <v>25.28237316773561</v>
      </c>
      <c r="V174" s="100">
        <f t="shared" si="177"/>
        <v>27.042373167735608</v>
      </c>
    </row>
    <row r="175" spans="1:22" ht="13.5" thickBot="1" x14ac:dyDescent="0.25">
      <c r="A175" s="330" t="s">
        <v>484</v>
      </c>
      <c r="B175" s="371">
        <f t="shared" si="168"/>
        <v>0.11700000000000001</v>
      </c>
      <c r="C175" s="184">
        <f t="shared" si="157"/>
        <v>17.79</v>
      </c>
      <c r="D175" s="184">
        <f t="shared" si="158"/>
        <v>19.05</v>
      </c>
      <c r="E175" s="325">
        <f t="shared" si="169"/>
        <v>1.2600000000000016</v>
      </c>
      <c r="F175" s="329">
        <f t="shared" si="170"/>
        <v>7.0826306913996717E-2</v>
      </c>
      <c r="G175" s="325">
        <f t="shared" si="171"/>
        <v>-7.9977825179551265E-2</v>
      </c>
      <c r="H175" s="325">
        <f t="shared" si="172"/>
        <v>0.81633518210806011</v>
      </c>
      <c r="I175" s="325">
        <f t="shared" si="173"/>
        <v>18.526357356928507</v>
      </c>
      <c r="J175" s="325">
        <f t="shared" si="174"/>
        <v>19.786357356928509</v>
      </c>
      <c r="K175" s="329">
        <f t="shared" si="175"/>
        <v>6.8011211039756034E-2</v>
      </c>
      <c r="N175" s="31">
        <v>420</v>
      </c>
      <c r="O175" s="102" t="s">
        <v>112</v>
      </c>
      <c r="P175" s="123">
        <f>VLOOKUP($N175,INPUT!$AB$9:$AF$123,3,FALSE)</f>
        <v>17.79</v>
      </c>
      <c r="Q175" s="123">
        <f>VLOOKUP($N175,INPUT!$AB$9:$AF$123,4,FALSE)</f>
        <v>19.05</v>
      </c>
      <c r="R175" s="31">
        <f>VLOOKUP($N175,INPUT!$AB$9:$AF$123,5,FALSE)</f>
        <v>0.11700000000000001</v>
      </c>
      <c r="S175" s="99">
        <f>($R175*INPUT!$Q$59)*INPUT!$G$65</f>
        <v>-7.9977825179551265E-2</v>
      </c>
      <c r="T175" s="99">
        <f>($R175*INPUT!$Q$59)*INPUT!$I$65</f>
        <v>0.81633518210806011</v>
      </c>
      <c r="U175" s="100">
        <f t="shared" si="176"/>
        <v>18.526357356928507</v>
      </c>
      <c r="V175" s="100">
        <f t="shared" si="177"/>
        <v>19.786357356928509</v>
      </c>
    </row>
    <row r="176" spans="1:22" ht="13.5" thickBot="1" x14ac:dyDescent="0.25">
      <c r="A176" s="330" t="s">
        <v>485</v>
      </c>
      <c r="B176" s="371">
        <f t="shared" si="168"/>
        <v>0.11700000000000001</v>
      </c>
      <c r="C176" s="184">
        <f t="shared" si="157"/>
        <v>25.25</v>
      </c>
      <c r="D176" s="184">
        <f t="shared" si="158"/>
        <v>27.04</v>
      </c>
      <c r="E176" s="325">
        <f t="shared" si="169"/>
        <v>1.7899999999999991</v>
      </c>
      <c r="F176" s="329">
        <f t="shared" si="170"/>
        <v>7.0891089108910857E-2</v>
      </c>
      <c r="G176" s="325">
        <f t="shared" si="171"/>
        <v>-7.9977825179551265E-2</v>
      </c>
      <c r="H176" s="325">
        <f t="shared" si="172"/>
        <v>0.81633518210806011</v>
      </c>
      <c r="I176" s="325">
        <f t="shared" si="173"/>
        <v>25.986357356928508</v>
      </c>
      <c r="J176" s="325">
        <f t="shared" si="174"/>
        <v>27.776357356928507</v>
      </c>
      <c r="K176" s="329">
        <f t="shared" si="175"/>
        <v>6.8882297561522129E-2</v>
      </c>
      <c r="N176" s="31">
        <v>430</v>
      </c>
      <c r="O176" s="112" t="s">
        <v>113</v>
      </c>
      <c r="P176" s="123">
        <f>VLOOKUP($N176,INPUT!$AB$9:$AF$123,3,FALSE)</f>
        <v>25.25</v>
      </c>
      <c r="Q176" s="123">
        <f>VLOOKUP($N176,INPUT!$AB$9:$AF$123,4,FALSE)</f>
        <v>27.04</v>
      </c>
      <c r="R176" s="31">
        <f>VLOOKUP($N176,INPUT!$AB$9:$AF$123,5,FALSE)</f>
        <v>0.11700000000000001</v>
      </c>
      <c r="S176" s="99">
        <f>($R176*INPUT!$Q$59)*INPUT!$G$65</f>
        <v>-7.9977825179551265E-2</v>
      </c>
      <c r="T176" s="99">
        <f>($R176*INPUT!$Q$59)*INPUT!$I$65</f>
        <v>0.81633518210806011</v>
      </c>
      <c r="U176" s="100">
        <f t="shared" si="176"/>
        <v>25.986357356928508</v>
      </c>
      <c r="V176" s="100">
        <f t="shared" si="177"/>
        <v>27.776357356928507</v>
      </c>
    </row>
    <row r="177" spans="1:22" ht="13.5" thickBot="1" x14ac:dyDescent="0.25">
      <c r="A177" s="328" t="s">
        <v>159</v>
      </c>
      <c r="B177" s="371">
        <f t="shared" si="168"/>
        <v>0.06</v>
      </c>
      <c r="C177" s="184">
        <f t="shared" si="157"/>
        <v>11.37</v>
      </c>
      <c r="D177" s="184">
        <f t="shared" si="158"/>
        <v>12.18</v>
      </c>
      <c r="E177" s="325">
        <f t="shared" si="169"/>
        <v>0.8100000000000005</v>
      </c>
      <c r="F177" s="329">
        <f t="shared" si="170"/>
        <v>7.1240105540897145E-2</v>
      </c>
      <c r="G177" s="325">
        <f t="shared" si="171"/>
        <v>-4.1014269322846797E-2</v>
      </c>
      <c r="H177" s="325">
        <f t="shared" si="172"/>
        <v>0.41863342672208204</v>
      </c>
      <c r="I177" s="325">
        <f t="shared" si="173"/>
        <v>11.747619157399233</v>
      </c>
      <c r="J177" s="325">
        <f t="shared" si="174"/>
        <v>12.557619157399234</v>
      </c>
      <c r="K177" s="329">
        <f t="shared" si="175"/>
        <v>6.8950141228388592E-2</v>
      </c>
      <c r="N177" s="31">
        <v>466</v>
      </c>
      <c r="O177" s="121" t="s">
        <v>159</v>
      </c>
      <c r="P177" s="123">
        <f>VLOOKUP($N177,INPUT!$AB$9:$AF$123,3,FALSE)</f>
        <v>11.37</v>
      </c>
      <c r="Q177" s="123">
        <f>VLOOKUP($N177,INPUT!$AB$9:$AF$123,4,FALSE)</f>
        <v>12.18</v>
      </c>
      <c r="R177" s="31">
        <f>VLOOKUP($N177,INPUT!$AB$9:$AF$123,5,FALSE)</f>
        <v>0.06</v>
      </c>
      <c r="S177" s="99">
        <f>($R177*INPUT!$Q$59)*INPUT!$G$65</f>
        <v>-4.1014269322846797E-2</v>
      </c>
      <c r="T177" s="99">
        <f>($R177*INPUT!$Q$59)*INPUT!$I$65</f>
        <v>0.41863342672208204</v>
      </c>
      <c r="U177" s="100">
        <f t="shared" si="176"/>
        <v>11.747619157399233</v>
      </c>
      <c r="V177" s="100">
        <f t="shared" si="177"/>
        <v>12.557619157399234</v>
      </c>
    </row>
    <row r="178" spans="1:22" ht="13.5" thickBot="1" x14ac:dyDescent="0.25">
      <c r="A178" s="328" t="s">
        <v>160</v>
      </c>
      <c r="B178" s="371">
        <f t="shared" si="168"/>
        <v>8.3000000000000004E-2</v>
      </c>
      <c r="C178" s="184">
        <f t="shared" si="157"/>
        <v>34.409999999999997</v>
      </c>
      <c r="D178" s="184">
        <f t="shared" si="158"/>
        <v>36.74</v>
      </c>
      <c r="E178" s="325">
        <f t="shared" si="169"/>
        <v>2.3300000000000054</v>
      </c>
      <c r="F178" s="329">
        <f t="shared" si="170"/>
        <v>6.7712874164487236E-2</v>
      </c>
      <c r="G178" s="325">
        <f t="shared" si="171"/>
        <v>-5.6736405896604739E-2</v>
      </c>
      <c r="H178" s="325">
        <f t="shared" si="172"/>
        <v>0.57910957363221349</v>
      </c>
      <c r="I178" s="325">
        <f t="shared" si="173"/>
        <v>34.932373167735605</v>
      </c>
      <c r="J178" s="325">
        <f t="shared" si="174"/>
        <v>37.26237316773561</v>
      </c>
      <c r="K178" s="329">
        <f t="shared" si="175"/>
        <v>6.6700306584153018E-2</v>
      </c>
      <c r="N178" s="31">
        <v>412</v>
      </c>
      <c r="O178" s="117" t="s">
        <v>160</v>
      </c>
      <c r="P178" s="123">
        <f>VLOOKUP($N178,INPUT!$AB$9:$AF$123,3,FALSE)</f>
        <v>34.409999999999997</v>
      </c>
      <c r="Q178" s="123">
        <f>VLOOKUP($N178,INPUT!$AB$9:$AF$123,4,FALSE)</f>
        <v>36.74</v>
      </c>
      <c r="R178" s="31">
        <f>VLOOKUP($N178,INPUT!$AB$9:$AF$123,5,FALSE)</f>
        <v>8.3000000000000004E-2</v>
      </c>
      <c r="S178" s="99">
        <f>($R178*INPUT!$Q$59)*INPUT!$G$65</f>
        <v>-5.6736405896604739E-2</v>
      </c>
      <c r="T178" s="99">
        <f>($R178*INPUT!$Q$59)*INPUT!$I$65</f>
        <v>0.57910957363221349</v>
      </c>
      <c r="U178" s="100">
        <f t="shared" si="176"/>
        <v>34.932373167735605</v>
      </c>
      <c r="V178" s="100">
        <f t="shared" si="177"/>
        <v>37.26237316773561</v>
      </c>
    </row>
    <row r="179" spans="1:22" ht="13.5" thickBot="1" x14ac:dyDescent="0.25">
      <c r="A179" s="328" t="s">
        <v>161</v>
      </c>
      <c r="B179" s="371">
        <f t="shared" si="168"/>
        <v>0.11700000000000001</v>
      </c>
      <c r="C179" s="184">
        <f t="shared" si="157"/>
        <v>34.54</v>
      </c>
      <c r="D179" s="184">
        <f t="shared" si="158"/>
        <v>36.99</v>
      </c>
      <c r="E179" s="325">
        <f t="shared" si="169"/>
        <v>2.4500000000000028</v>
      </c>
      <c r="F179" s="329">
        <f t="shared" si="170"/>
        <v>7.093225246091496E-2</v>
      </c>
      <c r="G179" s="325">
        <f t="shared" si="171"/>
        <v>-7.9977825179551265E-2</v>
      </c>
      <c r="H179" s="325">
        <f t="shared" si="172"/>
        <v>0.81633518210806011</v>
      </c>
      <c r="I179" s="325">
        <f t="shared" si="173"/>
        <v>35.276357356928507</v>
      </c>
      <c r="J179" s="325">
        <f t="shared" si="174"/>
        <v>37.72635735692851</v>
      </c>
      <c r="K179" s="329">
        <f t="shared" si="175"/>
        <v>6.9451615290398089E-2</v>
      </c>
      <c r="N179" s="31">
        <v>413</v>
      </c>
      <c r="O179" s="122" t="s">
        <v>161</v>
      </c>
      <c r="P179" s="123">
        <f>VLOOKUP($N179,INPUT!$AB$9:$AF$123,3,FALSE)</f>
        <v>34.54</v>
      </c>
      <c r="Q179" s="123">
        <f>VLOOKUP($N179,INPUT!$AB$9:$AF$123,4,FALSE)</f>
        <v>36.99</v>
      </c>
      <c r="R179" s="31">
        <f>VLOOKUP($N179,INPUT!$AB$9:$AF$123,5,FALSE)</f>
        <v>0.11700000000000001</v>
      </c>
      <c r="S179" s="99">
        <f>($R179*INPUT!$Q$59)*INPUT!$G$65</f>
        <v>-7.9977825179551265E-2</v>
      </c>
      <c r="T179" s="99">
        <f>($R179*INPUT!$Q$59)*INPUT!$I$65</f>
        <v>0.81633518210806011</v>
      </c>
      <c r="U179" s="100">
        <f t="shared" si="176"/>
        <v>35.276357356928507</v>
      </c>
      <c r="V179" s="100">
        <f t="shared" si="177"/>
        <v>37.72635735692851</v>
      </c>
    </row>
    <row r="180" spans="1:22" ht="13.5" thickBot="1" x14ac:dyDescent="0.25">
      <c r="A180" s="330" t="s">
        <v>486</v>
      </c>
      <c r="B180" s="371">
        <f t="shared" si="168"/>
        <v>8.3000000000000004E-2</v>
      </c>
      <c r="C180" s="184">
        <f t="shared" si="157"/>
        <v>12.84</v>
      </c>
      <c r="D180" s="184">
        <f t="shared" si="158"/>
        <v>13.75</v>
      </c>
      <c r="E180" s="325">
        <f t="shared" si="169"/>
        <v>0.91000000000000014</v>
      </c>
      <c r="F180" s="329">
        <f t="shared" si="170"/>
        <v>7.0872274143302189E-2</v>
      </c>
      <c r="G180" s="325">
        <f t="shared" si="171"/>
        <v>-5.6736405896604739E-2</v>
      </c>
      <c r="H180" s="325">
        <f t="shared" si="172"/>
        <v>0.57910957363221349</v>
      </c>
      <c r="I180" s="325">
        <f t="shared" si="173"/>
        <v>13.362373167735608</v>
      </c>
      <c r="J180" s="325">
        <f t="shared" si="174"/>
        <v>14.272373167735608</v>
      </c>
      <c r="K180" s="329">
        <f t="shared" si="175"/>
        <v>6.8101675396796971E-2</v>
      </c>
      <c r="N180" s="31">
        <v>467</v>
      </c>
      <c r="O180" s="112" t="s">
        <v>108</v>
      </c>
      <c r="P180" s="123">
        <f>VLOOKUP($N180,INPUT!$AB$9:$AF$123,3,FALSE)</f>
        <v>12.84</v>
      </c>
      <c r="Q180" s="123">
        <f>VLOOKUP($N180,INPUT!$AB$9:$AF$123,4,FALSE)</f>
        <v>13.75</v>
      </c>
      <c r="R180" s="31">
        <f>VLOOKUP($N180,INPUT!$AB$9:$AF$123,5,FALSE)</f>
        <v>8.3000000000000004E-2</v>
      </c>
      <c r="S180" s="99">
        <f>($R180*INPUT!$Q$59)*INPUT!$G$65</f>
        <v>-5.6736405896604739E-2</v>
      </c>
      <c r="T180" s="99">
        <f>($R180*INPUT!$Q$59)*INPUT!$I$65</f>
        <v>0.57910957363221349</v>
      </c>
      <c r="U180" s="100">
        <f t="shared" ref="U180:U181" si="178">+P180+S180+T180</f>
        <v>13.362373167735608</v>
      </c>
      <c r="V180" s="100">
        <f t="shared" ref="V180:V181" si="179">+Q180+S180+T180</f>
        <v>14.272373167735608</v>
      </c>
    </row>
    <row r="181" spans="1:22" ht="13.5" thickBot="1" x14ac:dyDescent="0.25">
      <c r="A181" s="330" t="s">
        <v>487</v>
      </c>
      <c r="B181" s="371">
        <f t="shared" si="168"/>
        <v>0.11700000000000001</v>
      </c>
      <c r="C181" s="184">
        <f t="shared" si="157"/>
        <v>13.07</v>
      </c>
      <c r="D181" s="184">
        <f t="shared" si="158"/>
        <v>14</v>
      </c>
      <c r="E181" s="325">
        <f t="shared" si="169"/>
        <v>0.92999999999999972</v>
      </c>
      <c r="F181" s="329">
        <f t="shared" si="170"/>
        <v>7.1155317521040526E-2</v>
      </c>
      <c r="G181" s="325">
        <f t="shared" si="171"/>
        <v>-7.9977825179551265E-2</v>
      </c>
      <c r="H181" s="325">
        <f t="shared" si="172"/>
        <v>0.81633518210806011</v>
      </c>
      <c r="I181" s="325">
        <f t="shared" si="173"/>
        <v>13.80635735692851</v>
      </c>
      <c r="J181" s="325">
        <f t="shared" si="174"/>
        <v>14.73635735692851</v>
      </c>
      <c r="K181" s="329">
        <f t="shared" si="175"/>
        <v>6.7360272949424524E-2</v>
      </c>
      <c r="N181" s="31">
        <v>468</v>
      </c>
      <c r="O181" s="113" t="s">
        <v>109</v>
      </c>
      <c r="P181" s="123">
        <f>VLOOKUP($N181,INPUT!$AB$9:$AF$123,3,FALSE)</f>
        <v>13.07</v>
      </c>
      <c r="Q181" s="123">
        <f>VLOOKUP($N181,INPUT!$AB$9:$AF$123,4,FALSE)</f>
        <v>14</v>
      </c>
      <c r="R181" s="31">
        <f>VLOOKUP($N181,INPUT!$AB$9:$AF$123,5,FALSE)</f>
        <v>0.11700000000000001</v>
      </c>
      <c r="S181" s="99">
        <f>($R181*INPUT!$Q$59)*INPUT!$G$65</f>
        <v>-7.9977825179551265E-2</v>
      </c>
      <c r="T181" s="99">
        <f>($R181*INPUT!$Q$59)*INPUT!$I$65</f>
        <v>0.81633518210806011</v>
      </c>
      <c r="U181" s="100">
        <f t="shared" si="178"/>
        <v>13.80635735692851</v>
      </c>
      <c r="V181" s="100">
        <f t="shared" si="179"/>
        <v>14.73635735692851</v>
      </c>
    </row>
    <row r="182" spans="1:22" ht="13.5" thickBot="1" x14ac:dyDescent="0.25">
      <c r="A182" s="330" t="s">
        <v>488</v>
      </c>
      <c r="B182" s="371">
        <f t="shared" si="168"/>
        <v>8.3000000000000004E-2</v>
      </c>
      <c r="C182" s="184">
        <f t="shared" si="157"/>
        <v>17.36</v>
      </c>
      <c r="D182" s="184">
        <f t="shared" si="158"/>
        <v>18.59</v>
      </c>
      <c r="E182" s="325">
        <f t="shared" si="169"/>
        <v>1.2300000000000004</v>
      </c>
      <c r="F182" s="329">
        <f t="shared" si="170"/>
        <v>7.0852534562212008E-2</v>
      </c>
      <c r="G182" s="325">
        <f t="shared" si="171"/>
        <v>-5.6736405896604739E-2</v>
      </c>
      <c r="H182" s="325">
        <f t="shared" si="172"/>
        <v>0.57910957363221349</v>
      </c>
      <c r="I182" s="325">
        <f t="shared" si="173"/>
        <v>17.882373167735608</v>
      </c>
      <c r="J182" s="325">
        <f t="shared" si="174"/>
        <v>19.112373167735608</v>
      </c>
      <c r="K182" s="329">
        <f t="shared" si="175"/>
        <v>6.8782816937252841E-2</v>
      </c>
      <c r="N182" s="31">
        <v>492</v>
      </c>
      <c r="O182" s="113" t="s">
        <v>117</v>
      </c>
      <c r="P182" s="123">
        <f>VLOOKUP($N182,INPUT!$AB$9:$AF$123,3,FALSE)</f>
        <v>17.36</v>
      </c>
      <c r="Q182" s="123">
        <f>VLOOKUP($N182,INPUT!$AB$9:$AF$123,4,FALSE)</f>
        <v>18.59</v>
      </c>
      <c r="R182" s="31">
        <f>VLOOKUP($N182,INPUT!$AB$9:$AF$123,5,FALSE)</f>
        <v>8.3000000000000004E-2</v>
      </c>
      <c r="S182" s="99">
        <f>($R182*INPUT!$Q$59)*INPUT!$G$65</f>
        <v>-5.6736405896604739E-2</v>
      </c>
      <c r="T182" s="99">
        <f>($R182*INPUT!$Q$59)*INPUT!$I$65</f>
        <v>0.57910957363221349</v>
      </c>
      <c r="U182" s="100">
        <f t="shared" ref="U182:U191" si="180">+P182+S182+T182</f>
        <v>17.882373167735608</v>
      </c>
      <c r="V182" s="100">
        <f t="shared" ref="V182:V191" si="181">+Q182+S182+T182</f>
        <v>19.112373167735608</v>
      </c>
    </row>
    <row r="183" spans="1:22" ht="13.5" thickBot="1" x14ac:dyDescent="0.25">
      <c r="A183" s="330" t="s">
        <v>489</v>
      </c>
      <c r="B183" s="371">
        <f t="shared" si="168"/>
        <v>8.3000000000000004E-2</v>
      </c>
      <c r="C183" s="184">
        <f t="shared" si="157"/>
        <v>19.600000000000001</v>
      </c>
      <c r="D183" s="184">
        <f t="shared" si="158"/>
        <v>20.99</v>
      </c>
      <c r="E183" s="325">
        <f t="shared" si="169"/>
        <v>1.389999999999997</v>
      </c>
      <c r="F183" s="329">
        <f t="shared" si="170"/>
        <v>7.0918367346938613E-2</v>
      </c>
      <c r="G183" s="325">
        <f t="shared" si="171"/>
        <v>-5.6736405896604739E-2</v>
      </c>
      <c r="H183" s="325">
        <f t="shared" si="172"/>
        <v>0.57910957363221349</v>
      </c>
      <c r="I183" s="325">
        <f t="shared" si="173"/>
        <v>20.12237316773561</v>
      </c>
      <c r="J183" s="325">
        <f t="shared" si="174"/>
        <v>21.512373167735607</v>
      </c>
      <c r="K183" s="329">
        <f t="shared" si="175"/>
        <v>6.9077339358199319E-2</v>
      </c>
      <c r="N183" s="31">
        <v>476</v>
      </c>
      <c r="O183" s="113" t="s">
        <v>116</v>
      </c>
      <c r="P183" s="123">
        <f>VLOOKUP($N183,INPUT!$AB$9:$AF$123,3,FALSE)</f>
        <v>19.600000000000001</v>
      </c>
      <c r="Q183" s="123">
        <f>VLOOKUP($N183,INPUT!$AB$9:$AF$123,4,FALSE)</f>
        <v>20.99</v>
      </c>
      <c r="R183" s="31">
        <f>VLOOKUP($N183,INPUT!$AB$9:$AF$123,5,FALSE)</f>
        <v>8.3000000000000004E-2</v>
      </c>
      <c r="S183" s="99">
        <f>($R183*INPUT!$Q$59)*INPUT!$G$65</f>
        <v>-5.6736405896604739E-2</v>
      </c>
      <c r="T183" s="99">
        <f>($R183*INPUT!$Q$59)*INPUT!$I$65</f>
        <v>0.57910957363221349</v>
      </c>
      <c r="U183" s="100">
        <f t="shared" si="180"/>
        <v>20.12237316773561</v>
      </c>
      <c r="V183" s="100">
        <f t="shared" si="181"/>
        <v>21.512373167735607</v>
      </c>
    </row>
    <row r="184" spans="1:22" ht="13.5" thickBot="1" x14ac:dyDescent="0.25">
      <c r="A184" s="330" t="s">
        <v>490</v>
      </c>
      <c r="B184" s="371">
        <f t="shared" si="168"/>
        <v>0.11700000000000001</v>
      </c>
      <c r="C184" s="184">
        <f t="shared" si="157"/>
        <v>17.14</v>
      </c>
      <c r="D184" s="184">
        <f t="shared" si="158"/>
        <v>18.36</v>
      </c>
      <c r="E184" s="325">
        <f t="shared" si="169"/>
        <v>1.2199999999999989</v>
      </c>
      <c r="F184" s="329">
        <f t="shared" si="170"/>
        <v>7.1178529754959086E-2</v>
      </c>
      <c r="G184" s="325">
        <f t="shared" si="171"/>
        <v>-7.9977825179551265E-2</v>
      </c>
      <c r="H184" s="325">
        <f t="shared" si="172"/>
        <v>0.81633518210806011</v>
      </c>
      <c r="I184" s="325">
        <f t="shared" si="173"/>
        <v>17.876357356928509</v>
      </c>
      <c r="J184" s="325">
        <f t="shared" si="174"/>
        <v>19.096357356928507</v>
      </c>
      <c r="K184" s="329">
        <f t="shared" si="175"/>
        <v>6.8246565876976722E-2</v>
      </c>
      <c r="N184" s="31">
        <v>497</v>
      </c>
      <c r="O184" s="113" t="s">
        <v>119</v>
      </c>
      <c r="P184" s="123">
        <f>VLOOKUP($N184,INPUT!$AB$9:$AF$123,3,FALSE)</f>
        <v>17.14</v>
      </c>
      <c r="Q184" s="123">
        <f>VLOOKUP($N184,INPUT!$AB$9:$AF$123,4,FALSE)</f>
        <v>18.36</v>
      </c>
      <c r="R184" s="31">
        <f>VLOOKUP($N184,INPUT!$AB$9:$AF$123,5,FALSE)</f>
        <v>0.11700000000000001</v>
      </c>
      <c r="S184" s="99">
        <f>($R184*INPUT!$Q$59)*INPUT!$G$65</f>
        <v>-7.9977825179551265E-2</v>
      </c>
      <c r="T184" s="99">
        <f>($R184*INPUT!$Q$59)*INPUT!$I$65</f>
        <v>0.81633518210806011</v>
      </c>
      <c r="U184" s="100">
        <f t="shared" si="180"/>
        <v>17.876357356928509</v>
      </c>
      <c r="V184" s="100">
        <f t="shared" si="181"/>
        <v>19.096357356928507</v>
      </c>
    </row>
    <row r="185" spans="1:22" ht="13.5" thickBot="1" x14ac:dyDescent="0.25">
      <c r="A185" s="330" t="s">
        <v>491</v>
      </c>
      <c r="B185" s="371">
        <f t="shared" si="168"/>
        <v>0.11700000000000001</v>
      </c>
      <c r="C185" s="184">
        <f t="shared" si="157"/>
        <v>24.09</v>
      </c>
      <c r="D185" s="184">
        <f t="shared" si="158"/>
        <v>25.8</v>
      </c>
      <c r="E185" s="325">
        <f t="shared" si="169"/>
        <v>1.7100000000000009</v>
      </c>
      <c r="F185" s="329">
        <f t="shared" si="170"/>
        <v>7.0983810709838141E-2</v>
      </c>
      <c r="G185" s="325">
        <f t="shared" si="171"/>
        <v>-7.9977825179551265E-2</v>
      </c>
      <c r="H185" s="325">
        <f t="shared" si="172"/>
        <v>0.81633518210806011</v>
      </c>
      <c r="I185" s="325">
        <f t="shared" si="173"/>
        <v>24.826357356928508</v>
      </c>
      <c r="J185" s="325">
        <f t="shared" si="174"/>
        <v>26.536357356928509</v>
      </c>
      <c r="K185" s="329">
        <f t="shared" si="175"/>
        <v>6.8878409160688908E-2</v>
      </c>
      <c r="N185" s="31">
        <v>477</v>
      </c>
      <c r="O185" s="113" t="s">
        <v>118</v>
      </c>
      <c r="P185" s="123">
        <f>VLOOKUP($N185,INPUT!$AB$9:$AF$123,3,FALSE)</f>
        <v>24.09</v>
      </c>
      <c r="Q185" s="123">
        <f>VLOOKUP($N185,INPUT!$AB$9:$AF$123,4,FALSE)</f>
        <v>25.8</v>
      </c>
      <c r="R185" s="31">
        <f>VLOOKUP($N185,INPUT!$AB$9:$AF$123,5,FALSE)</f>
        <v>0.11700000000000001</v>
      </c>
      <c r="S185" s="99">
        <f>($R185*INPUT!$Q$59)*INPUT!$G$65</f>
        <v>-7.9977825179551265E-2</v>
      </c>
      <c r="T185" s="99">
        <f>($R185*INPUT!$Q$59)*INPUT!$I$65</f>
        <v>0.81633518210806011</v>
      </c>
      <c r="U185" s="100">
        <f t="shared" si="180"/>
        <v>24.826357356928508</v>
      </c>
      <c r="V185" s="100">
        <f t="shared" si="181"/>
        <v>26.536357356928509</v>
      </c>
    </row>
    <row r="186" spans="1:22" ht="13.5" thickBot="1" x14ac:dyDescent="0.25">
      <c r="A186" s="330" t="s">
        <v>492</v>
      </c>
      <c r="B186" s="371">
        <f t="shared" si="168"/>
        <v>0.24199999999999999</v>
      </c>
      <c r="C186" s="184">
        <f t="shared" si="157"/>
        <v>20.04</v>
      </c>
      <c r="D186" s="184">
        <f t="shared" si="158"/>
        <v>21.46</v>
      </c>
      <c r="E186" s="325">
        <f t="shared" si="169"/>
        <v>1.4200000000000017</v>
      </c>
      <c r="F186" s="329">
        <f t="shared" si="170"/>
        <v>7.0858283433133815E-2</v>
      </c>
      <c r="G186" s="325">
        <f t="shared" si="171"/>
        <v>-0.16542421960214876</v>
      </c>
      <c r="H186" s="325">
        <f t="shared" si="172"/>
        <v>1.6884881544457311</v>
      </c>
      <c r="I186" s="325">
        <f t="shared" si="173"/>
        <v>21.563063934843584</v>
      </c>
      <c r="J186" s="325">
        <f t="shared" si="174"/>
        <v>22.983063934843585</v>
      </c>
      <c r="K186" s="329">
        <f t="shared" si="175"/>
        <v>6.5853350168175076E-2</v>
      </c>
      <c r="N186" s="31">
        <v>498</v>
      </c>
      <c r="O186" s="113" t="s">
        <v>121</v>
      </c>
      <c r="P186" s="123">
        <f>VLOOKUP($N186,INPUT!$AB$9:$AF$123,3,FALSE)</f>
        <v>20.04</v>
      </c>
      <c r="Q186" s="123">
        <f>VLOOKUP($N186,INPUT!$AB$9:$AF$123,4,FALSE)</f>
        <v>21.46</v>
      </c>
      <c r="R186" s="31">
        <f>VLOOKUP($N186,INPUT!$AB$9:$AF$123,5,FALSE)</f>
        <v>0.24199999999999999</v>
      </c>
      <c r="S186" s="99">
        <f>($R186*INPUT!$Q$59)*INPUT!$G$65</f>
        <v>-0.16542421960214876</v>
      </c>
      <c r="T186" s="99">
        <f>($R186*INPUT!$Q$59)*INPUT!$I$65</f>
        <v>1.6884881544457311</v>
      </c>
      <c r="U186" s="100">
        <f t="shared" si="180"/>
        <v>21.563063934843584</v>
      </c>
      <c r="V186" s="100">
        <f t="shared" si="181"/>
        <v>22.983063934843585</v>
      </c>
    </row>
    <row r="187" spans="1:22" ht="13.5" thickBot="1" x14ac:dyDescent="0.25">
      <c r="A187" s="330" t="s">
        <v>493</v>
      </c>
      <c r="B187" s="371">
        <f t="shared" si="168"/>
        <v>0.24199999999999999</v>
      </c>
      <c r="C187" s="184">
        <f t="shared" si="157"/>
        <v>31.05</v>
      </c>
      <c r="D187" s="184">
        <f t="shared" si="158"/>
        <v>33.25</v>
      </c>
      <c r="E187" s="325">
        <f t="shared" si="169"/>
        <v>2.1999999999999993</v>
      </c>
      <c r="F187" s="329">
        <f t="shared" si="170"/>
        <v>7.0853462157809965E-2</v>
      </c>
      <c r="G187" s="325">
        <f t="shared" si="171"/>
        <v>-0.16542421960214876</v>
      </c>
      <c r="H187" s="325">
        <f t="shared" si="172"/>
        <v>1.6884881544457311</v>
      </c>
      <c r="I187" s="325">
        <f t="shared" si="173"/>
        <v>32.573063934843582</v>
      </c>
      <c r="J187" s="325">
        <f t="shared" si="174"/>
        <v>34.773063934843577</v>
      </c>
      <c r="K187" s="329">
        <f t="shared" si="175"/>
        <v>6.7540468541758644E-2</v>
      </c>
      <c r="N187" s="31">
        <v>478</v>
      </c>
      <c r="O187" s="113" t="s">
        <v>120</v>
      </c>
      <c r="P187" s="123">
        <f>VLOOKUP($N187,INPUT!$AB$9:$AF$123,3,FALSE)</f>
        <v>31.05</v>
      </c>
      <c r="Q187" s="123">
        <f>VLOOKUP($N187,INPUT!$AB$9:$AF$123,4,FALSE)</f>
        <v>33.25</v>
      </c>
      <c r="R187" s="31">
        <f>VLOOKUP($N187,INPUT!$AB$9:$AF$123,5,FALSE)</f>
        <v>0.24199999999999999</v>
      </c>
      <c r="S187" s="99">
        <f>($R187*INPUT!$Q$59)*INPUT!$G$65</f>
        <v>-0.16542421960214876</v>
      </c>
      <c r="T187" s="99">
        <f>($R187*INPUT!$Q$59)*INPUT!$I$65</f>
        <v>1.6884881544457311</v>
      </c>
      <c r="U187" s="100">
        <f t="shared" si="180"/>
        <v>32.573063934843582</v>
      </c>
      <c r="V187" s="100">
        <f t="shared" si="181"/>
        <v>34.773063934843577</v>
      </c>
    </row>
    <row r="188" spans="1:22" ht="13.5" thickBot="1" x14ac:dyDescent="0.25">
      <c r="A188" s="330" t="s">
        <v>494</v>
      </c>
      <c r="B188" s="371">
        <f t="shared" si="168"/>
        <v>0.47099999999999997</v>
      </c>
      <c r="C188" s="184">
        <f t="shared" si="157"/>
        <v>24.29</v>
      </c>
      <c r="D188" s="184">
        <f t="shared" si="158"/>
        <v>26.01</v>
      </c>
      <c r="E188" s="325">
        <f t="shared" si="169"/>
        <v>1.7200000000000024</v>
      </c>
      <c r="F188" s="329">
        <f t="shared" si="170"/>
        <v>7.0811033347056504E-2</v>
      </c>
      <c r="G188" s="325">
        <f t="shared" si="171"/>
        <v>-0.32196201418434739</v>
      </c>
      <c r="H188" s="325">
        <f t="shared" si="172"/>
        <v>3.2862723997683445</v>
      </c>
      <c r="I188" s="325">
        <f t="shared" si="173"/>
        <v>27.254310385583995</v>
      </c>
      <c r="J188" s="325">
        <f t="shared" si="174"/>
        <v>28.974310385583998</v>
      </c>
      <c r="K188" s="329">
        <f t="shared" si="175"/>
        <v>6.3109283473552352E-2</v>
      </c>
      <c r="N188" s="31">
        <v>499</v>
      </c>
      <c r="O188" s="113" t="s">
        <v>123</v>
      </c>
      <c r="P188" s="123">
        <f>VLOOKUP($N188,INPUT!$AB$9:$AF$123,3,FALSE)</f>
        <v>24.29</v>
      </c>
      <c r="Q188" s="123">
        <f>VLOOKUP($N188,INPUT!$AB$9:$AF$123,4,FALSE)</f>
        <v>26.01</v>
      </c>
      <c r="R188" s="31">
        <f>VLOOKUP($N188,INPUT!$AB$9:$AF$123,5,FALSE)</f>
        <v>0.47099999999999997</v>
      </c>
      <c r="S188" s="99">
        <f>($R188*INPUT!$Q$59)*INPUT!$G$65</f>
        <v>-0.32196201418434739</v>
      </c>
      <c r="T188" s="99">
        <f>($R188*INPUT!$Q$59)*INPUT!$I$65</f>
        <v>3.2862723997683445</v>
      </c>
      <c r="U188" s="100">
        <f t="shared" si="180"/>
        <v>27.254310385583995</v>
      </c>
      <c r="V188" s="100">
        <f t="shared" si="181"/>
        <v>28.974310385583998</v>
      </c>
    </row>
    <row r="189" spans="1:22" ht="13.5" thickBot="1" x14ac:dyDescent="0.25">
      <c r="A189" s="330" t="s">
        <v>495</v>
      </c>
      <c r="B189" s="371">
        <f t="shared" si="168"/>
        <v>0.47099999999999997</v>
      </c>
      <c r="C189" s="184">
        <f t="shared" si="157"/>
        <v>38.26</v>
      </c>
      <c r="D189" s="184">
        <f t="shared" si="158"/>
        <v>40.97</v>
      </c>
      <c r="E189" s="325">
        <f t="shared" si="169"/>
        <v>2.7100000000000009</v>
      </c>
      <c r="F189" s="329">
        <f t="shared" si="170"/>
        <v>7.083115525352851E-2</v>
      </c>
      <c r="G189" s="325">
        <f t="shared" si="171"/>
        <v>-0.32196201418434739</v>
      </c>
      <c r="H189" s="325">
        <f t="shared" si="172"/>
        <v>3.2862723997683445</v>
      </c>
      <c r="I189" s="325">
        <f t="shared" si="173"/>
        <v>41.224310385583991</v>
      </c>
      <c r="J189" s="325">
        <f t="shared" si="174"/>
        <v>43.934310385583991</v>
      </c>
      <c r="K189" s="329">
        <f t="shared" si="175"/>
        <v>6.5737909855920332E-2</v>
      </c>
      <c r="N189" s="31">
        <v>479</v>
      </c>
      <c r="O189" s="113" t="s">
        <v>122</v>
      </c>
      <c r="P189" s="123">
        <f>VLOOKUP($N189,INPUT!$AB$9:$AF$123,3,FALSE)</f>
        <v>38.26</v>
      </c>
      <c r="Q189" s="123">
        <f>VLOOKUP($N189,INPUT!$AB$9:$AF$123,4,FALSE)</f>
        <v>40.97</v>
      </c>
      <c r="R189" s="31">
        <f>VLOOKUP($N189,INPUT!$AB$9:$AF$123,5,FALSE)</f>
        <v>0.47099999999999997</v>
      </c>
      <c r="S189" s="99">
        <f>($R189*INPUT!$Q$59)*INPUT!$G$65</f>
        <v>-0.32196201418434739</v>
      </c>
      <c r="T189" s="99">
        <f>($R189*INPUT!$Q$59)*INPUT!$I$65</f>
        <v>3.2862723997683445</v>
      </c>
      <c r="U189" s="100">
        <f t="shared" si="180"/>
        <v>41.224310385583991</v>
      </c>
      <c r="V189" s="100">
        <f t="shared" si="181"/>
        <v>43.934310385583991</v>
      </c>
    </row>
    <row r="190" spans="1:22" ht="13.5" thickBot="1" x14ac:dyDescent="0.25">
      <c r="A190" s="330" t="s">
        <v>496</v>
      </c>
      <c r="B190" s="371">
        <f t="shared" si="168"/>
        <v>0.06</v>
      </c>
      <c r="C190" s="184">
        <f t="shared" si="157"/>
        <v>25.05</v>
      </c>
      <c r="D190" s="184">
        <f t="shared" si="158"/>
        <v>26.83</v>
      </c>
      <c r="E190" s="325">
        <f t="shared" si="169"/>
        <v>1.7799999999999976</v>
      </c>
      <c r="F190" s="329">
        <f t="shared" si="170"/>
        <v>7.1057884231536833E-2</v>
      </c>
      <c r="G190" s="325">
        <f t="shared" si="171"/>
        <v>-4.1014269322846797E-2</v>
      </c>
      <c r="H190" s="325">
        <f t="shared" si="172"/>
        <v>0.41863342672208204</v>
      </c>
      <c r="I190" s="325">
        <f t="shared" si="173"/>
        <v>25.427619157399235</v>
      </c>
      <c r="J190" s="325">
        <f t="shared" si="174"/>
        <v>27.207619157399233</v>
      </c>
      <c r="K190" s="329">
        <f t="shared" si="175"/>
        <v>7.0002621518815367E-2</v>
      </c>
      <c r="N190" s="31">
        <v>300</v>
      </c>
      <c r="O190" s="113" t="s">
        <v>124</v>
      </c>
      <c r="P190" s="123">
        <f>VLOOKUP($N190,INPUT!$AB$9:$AF$123,3,FALSE)</f>
        <v>25.05</v>
      </c>
      <c r="Q190" s="123">
        <f>VLOOKUP($N190,INPUT!$AB$9:$AF$123,4,FALSE)</f>
        <v>26.83</v>
      </c>
      <c r="R190" s="31">
        <f>VLOOKUP($N190,INPUT!$AB$9:$AF$123,5,FALSE)</f>
        <v>0.06</v>
      </c>
      <c r="S190" s="99">
        <f>($R190*INPUT!$Q$59)*INPUT!$G$65</f>
        <v>-4.1014269322846797E-2</v>
      </c>
      <c r="T190" s="99">
        <f>($R190*INPUT!$Q$59)*INPUT!$I$65</f>
        <v>0.41863342672208204</v>
      </c>
      <c r="U190" s="100">
        <f t="shared" si="180"/>
        <v>25.427619157399235</v>
      </c>
      <c r="V190" s="100">
        <f t="shared" si="181"/>
        <v>27.207619157399233</v>
      </c>
    </row>
    <row r="191" spans="1:22" ht="13.5" thickBot="1" x14ac:dyDescent="0.25">
      <c r="A191" s="330" t="s">
        <v>497</v>
      </c>
      <c r="B191" s="371">
        <f t="shared" si="168"/>
        <v>0.11700000000000001</v>
      </c>
      <c r="C191" s="184">
        <f t="shared" si="157"/>
        <v>26.13</v>
      </c>
      <c r="D191" s="184">
        <f t="shared" si="158"/>
        <v>27.98</v>
      </c>
      <c r="E191" s="325">
        <f t="shared" si="169"/>
        <v>1.8500000000000014</v>
      </c>
      <c r="F191" s="329">
        <f t="shared" si="170"/>
        <v>7.0799846919249967E-2</v>
      </c>
      <c r="G191" s="325">
        <f t="shared" si="171"/>
        <v>-7.9977825179551265E-2</v>
      </c>
      <c r="H191" s="325">
        <f t="shared" si="172"/>
        <v>0.81633518210806011</v>
      </c>
      <c r="I191" s="325">
        <f t="shared" si="173"/>
        <v>26.866357356928507</v>
      </c>
      <c r="J191" s="325">
        <f t="shared" si="174"/>
        <v>28.716357356928508</v>
      </c>
      <c r="K191" s="329">
        <f t="shared" si="175"/>
        <v>6.885935355590396E-2</v>
      </c>
      <c r="N191" s="31">
        <v>301</v>
      </c>
      <c r="O191" s="102" t="s">
        <v>125</v>
      </c>
      <c r="P191" s="123">
        <f>VLOOKUP($N191,INPUT!$AB$9:$AF$123,3,FALSE)</f>
        <v>26.13</v>
      </c>
      <c r="Q191" s="123">
        <f>VLOOKUP($N191,INPUT!$AB$9:$AF$123,4,FALSE)</f>
        <v>27.98</v>
      </c>
      <c r="R191" s="31">
        <f>VLOOKUP($N191,INPUT!$AB$9:$AF$123,5,FALSE)</f>
        <v>0.11700000000000001</v>
      </c>
      <c r="S191" s="99">
        <f>($R191*INPUT!$Q$59)*INPUT!$G$65</f>
        <v>-7.9977825179551265E-2</v>
      </c>
      <c r="T191" s="99">
        <f>($R191*INPUT!$Q$59)*INPUT!$I$65</f>
        <v>0.81633518210806011</v>
      </c>
      <c r="U191" s="100">
        <f t="shared" si="180"/>
        <v>26.866357356928507</v>
      </c>
      <c r="V191" s="100">
        <f t="shared" si="181"/>
        <v>28.716357356928508</v>
      </c>
    </row>
    <row r="192" spans="1:22" x14ac:dyDescent="0.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O192" s="31"/>
      <c r="P192" s="31"/>
      <c r="Q192" s="31"/>
    </row>
    <row r="193" spans="1:17" x14ac:dyDescent="0.2">
      <c r="A193" s="89" t="s">
        <v>313</v>
      </c>
      <c r="B193" s="324"/>
      <c r="C193" s="89"/>
      <c r="D193" s="89"/>
      <c r="E193" s="89"/>
      <c r="F193" s="326"/>
      <c r="G193" s="89"/>
      <c r="H193" s="89"/>
      <c r="I193" s="89"/>
      <c r="J193" s="89"/>
      <c r="K193" s="89"/>
      <c r="O193"/>
      <c r="P193"/>
      <c r="Q193"/>
    </row>
    <row r="194" spans="1:17" x14ac:dyDescent="0.2">
      <c r="A194" s="331" t="s">
        <v>318</v>
      </c>
      <c r="B194" s="324"/>
      <c r="C194" s="89"/>
      <c r="D194" s="89"/>
      <c r="E194" s="89"/>
      <c r="F194" s="326"/>
      <c r="G194" s="89"/>
      <c r="H194" s="89"/>
      <c r="I194" s="89"/>
      <c r="J194" s="89"/>
      <c r="K194" s="89"/>
      <c r="O194"/>
      <c r="P194"/>
      <c r="Q194"/>
    </row>
    <row r="195" spans="1:17" x14ac:dyDescent="0.2">
      <c r="A195" s="331" t="str">
        <f>+'Rate Case Constants'!$C$26</f>
        <v>Calculations may vary from other schedules due to rounding</v>
      </c>
      <c r="B195" s="324"/>
      <c r="C195" s="89"/>
      <c r="D195" s="89"/>
      <c r="E195" s="89"/>
      <c r="F195" s="326"/>
      <c r="G195" s="89"/>
      <c r="H195" s="89"/>
      <c r="I195" s="89"/>
      <c r="J195" s="89"/>
      <c r="K195" s="89"/>
      <c r="O195"/>
      <c r="P195"/>
      <c r="Q195"/>
    </row>
    <row r="196" spans="1:17" x14ac:dyDescent="0.2">
      <c r="A196" s="331" t="s">
        <v>359</v>
      </c>
      <c r="B196" s="324"/>
      <c r="C196" s="89"/>
      <c r="D196" s="89"/>
      <c r="E196" s="89"/>
      <c r="F196" s="89"/>
      <c r="G196" s="89"/>
      <c r="H196" s="89"/>
      <c r="I196" s="89"/>
      <c r="J196" s="89"/>
      <c r="K196" s="89"/>
      <c r="O196"/>
      <c r="P196"/>
      <c r="Q196"/>
    </row>
    <row r="197" spans="1:17" x14ac:dyDescent="0.2">
      <c r="O197"/>
      <c r="P197"/>
      <c r="Q197"/>
    </row>
    <row r="198" spans="1:17" x14ac:dyDescent="0.2">
      <c r="O198"/>
      <c r="P198"/>
      <c r="Q198"/>
    </row>
    <row r="199" spans="1:17" x14ac:dyDescent="0.2">
      <c r="O199"/>
      <c r="P199"/>
      <c r="Q199"/>
    </row>
    <row r="200" spans="1:17" ht="14.25" customHeight="1" x14ac:dyDescent="0.2">
      <c r="O200"/>
      <c r="P200"/>
      <c r="Q200"/>
    </row>
    <row r="201" spans="1:17" x14ac:dyDescent="0.2">
      <c r="O201"/>
      <c r="P201"/>
      <c r="Q201"/>
    </row>
    <row r="202" spans="1:17" x14ac:dyDescent="0.2">
      <c r="O202"/>
      <c r="P202"/>
      <c r="Q202"/>
    </row>
  </sheetData>
  <mergeCells count="19">
    <mergeCell ref="A139:K139"/>
    <mergeCell ref="G146:H146"/>
    <mergeCell ref="A83:K83"/>
    <mergeCell ref="G91:H91"/>
    <mergeCell ref="A136:K136"/>
    <mergeCell ref="A137:K137"/>
    <mergeCell ref="A138:K138"/>
    <mergeCell ref="A80:K80"/>
    <mergeCell ref="A81:K81"/>
    <mergeCell ref="A82:K82"/>
    <mergeCell ref="A49:K49"/>
    <mergeCell ref="A50:K50"/>
    <mergeCell ref="A51:K51"/>
    <mergeCell ref="G60:H60"/>
    <mergeCell ref="A1:K1"/>
    <mergeCell ref="A2:K2"/>
    <mergeCell ref="A3:K3"/>
    <mergeCell ref="A4:K4"/>
    <mergeCell ref="A52:K52"/>
  </mergeCells>
  <phoneticPr fontId="6" type="noConversion"/>
  <printOptions horizontalCentered="1"/>
  <pageMargins left="0.75" right="0.75" top="1.5" bottom="0.5" header="1" footer="0.5"/>
  <pageSetup scale="59" fitToWidth="0" fitToHeight="0" orientation="landscape" r:id="rId1"/>
  <headerFooter alignWithMargins="0"/>
  <rowBreaks count="3" manualBreakCount="3">
    <brk id="48" max="10" man="1"/>
    <brk id="79" max="10" man="1"/>
    <brk id="135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42"/>
  <sheetViews>
    <sheetView view="pageBreakPreview" zoomScale="90" zoomScaleNormal="80" zoomScaleSheetLayoutView="90" workbookViewId="0">
      <selection sqref="A1:K1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customWidth="1"/>
    <col min="9" max="10" width="11.140625" bestFit="1" customWidth="1"/>
    <col min="11" max="11" width="9.28515625" bestFit="1" customWidth="1"/>
    <col min="12" max="15" width="3.5703125" customWidth="1"/>
    <col min="16" max="16" width="11.85546875" customWidth="1"/>
    <col min="17" max="17" width="9.85546875" customWidth="1"/>
    <col min="18" max="18" width="9.5703125" customWidth="1"/>
    <col min="19" max="19" width="7.140625" customWidth="1"/>
    <col min="20" max="20" width="11.5703125" customWidth="1"/>
    <col min="21" max="21" width="9.5703125" customWidth="1"/>
    <col min="23" max="24" width="3" customWidth="1"/>
    <col min="26" max="26" width="2.7109375" customWidth="1"/>
  </cols>
  <sheetData>
    <row r="1" spans="1:28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82"/>
    </row>
    <row r="2" spans="1:28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2"/>
    </row>
    <row r="3" spans="1:28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83"/>
    </row>
    <row r="4" spans="1:28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82"/>
    </row>
    <row r="5" spans="1:28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8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</row>
    <row r="7" spans="1:28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203" t="str">
        <f>+'Rate Case Constants'!C25</f>
        <v>SCHEDULE N</v>
      </c>
      <c r="L7" s="2"/>
    </row>
    <row r="8" spans="1:28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202" t="str">
        <f>+'Rate Case Constants'!L26</f>
        <v>PAGE 19 of 24</v>
      </c>
      <c r="L8" s="2"/>
    </row>
    <row r="9" spans="1:28" x14ac:dyDescent="0.2">
      <c r="A9" s="85" t="str">
        <f>+'Rate Case Constants'!C34</f>
        <v>WORKPAPER REFERENCE NO(S):________</v>
      </c>
      <c r="B9" s="85"/>
      <c r="C9" s="85"/>
      <c r="D9" s="85"/>
      <c r="E9" s="85"/>
      <c r="F9" s="85"/>
      <c r="G9" s="85"/>
      <c r="H9" s="85"/>
      <c r="I9" s="85"/>
      <c r="J9" s="85"/>
      <c r="K9" s="202" t="str">
        <f>+'Rate Case Constants'!C36</f>
        <v>WITNESS:   R. M. CONROY</v>
      </c>
      <c r="L9" s="2"/>
    </row>
    <row r="10" spans="1:28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206"/>
      <c r="P10" s="31" t="s">
        <v>71</v>
      </c>
      <c r="Q10">
        <f>+INPUT!G66</f>
        <v>-1.8863807373965388E-3</v>
      </c>
    </row>
    <row r="11" spans="1:28" x14ac:dyDescent="0.2">
      <c r="A11" s="126" t="s">
        <v>229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 t="s">
        <v>72</v>
      </c>
      <c r="Q11" s="31">
        <f>+INPUT!I66</f>
        <v>8.1014410593909982E-3</v>
      </c>
      <c r="R11" s="2"/>
      <c r="S11" s="31"/>
      <c r="T11" s="34"/>
      <c r="U11" s="31"/>
      <c r="V11" s="31"/>
    </row>
    <row r="12" spans="1:28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8" x14ac:dyDescent="0.2">
      <c r="A13" s="31"/>
      <c r="B13" s="31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8" x14ac:dyDescent="0.2">
      <c r="C14" s="200" t="s">
        <v>327</v>
      </c>
      <c r="D14" s="200" t="s">
        <v>327</v>
      </c>
      <c r="G14" s="31"/>
      <c r="H14" s="31"/>
      <c r="I14" s="3" t="s">
        <v>5</v>
      </c>
      <c r="J14" s="3" t="s">
        <v>5</v>
      </c>
      <c r="P14" s="48" t="s">
        <v>59</v>
      </c>
      <c r="Q14" s="48"/>
      <c r="R14" s="48"/>
      <c r="T14" s="48" t="s">
        <v>60</v>
      </c>
      <c r="U14" s="48"/>
      <c r="V14" s="48"/>
    </row>
    <row r="15" spans="1:28" x14ac:dyDescent="0.2">
      <c r="C15" s="3" t="s">
        <v>1</v>
      </c>
      <c r="D15" s="3" t="s">
        <v>74</v>
      </c>
      <c r="E15" s="3"/>
      <c r="F15" s="3"/>
      <c r="G15" s="400" t="s">
        <v>251</v>
      </c>
      <c r="H15" s="400"/>
      <c r="I15" s="3" t="s">
        <v>1</v>
      </c>
      <c r="J15" s="3" t="s">
        <v>74</v>
      </c>
      <c r="K15" s="3"/>
      <c r="P15" s="27" t="s">
        <v>62</v>
      </c>
      <c r="Q15" s="3"/>
      <c r="R15" s="27"/>
      <c r="T15" s="27" t="s">
        <v>62</v>
      </c>
      <c r="U15" s="3"/>
      <c r="V15" s="27"/>
    </row>
    <row r="16" spans="1:28" x14ac:dyDescent="0.2">
      <c r="A16" s="3"/>
      <c r="B16" s="3"/>
      <c r="C16" s="3" t="s">
        <v>4</v>
      </c>
      <c r="D16" s="3" t="s">
        <v>4</v>
      </c>
      <c r="E16" s="3" t="s">
        <v>75</v>
      </c>
      <c r="F16" s="3" t="s">
        <v>75</v>
      </c>
      <c r="G16" s="87" t="s">
        <v>337</v>
      </c>
      <c r="H16" s="52" t="s">
        <v>72</v>
      </c>
      <c r="I16" s="3" t="s">
        <v>4</v>
      </c>
      <c r="J16" s="3" t="s">
        <v>4</v>
      </c>
      <c r="K16" s="3" t="s">
        <v>75</v>
      </c>
      <c r="L16" s="3"/>
      <c r="M16" s="3"/>
      <c r="N16" s="3"/>
      <c r="O16" s="3"/>
      <c r="P16" s="27" t="s">
        <v>61</v>
      </c>
      <c r="Q16" s="3" t="s">
        <v>56</v>
      </c>
      <c r="R16" s="27" t="s">
        <v>5</v>
      </c>
      <c r="T16" s="27" t="s">
        <v>61</v>
      </c>
      <c r="U16" s="3" t="s">
        <v>56</v>
      </c>
      <c r="V16" s="27" t="s">
        <v>5</v>
      </c>
      <c r="X16" s="2"/>
      <c r="Y16" s="3" t="s">
        <v>6</v>
      </c>
      <c r="Z16" s="3"/>
      <c r="AA16" s="3" t="s">
        <v>8</v>
      </c>
      <c r="AB16" s="3"/>
    </row>
    <row r="17" spans="1:28" x14ac:dyDescent="0.2">
      <c r="A17" s="3" t="s">
        <v>49</v>
      </c>
      <c r="B17" s="3"/>
      <c r="C17" s="3"/>
      <c r="D17" s="3"/>
      <c r="E17" s="3" t="s">
        <v>69</v>
      </c>
      <c r="F17" s="27" t="s">
        <v>70</v>
      </c>
      <c r="G17" s="51"/>
      <c r="H17" s="54"/>
      <c r="I17" s="3" t="s">
        <v>69</v>
      </c>
      <c r="J17" s="3" t="s">
        <v>69</v>
      </c>
      <c r="K17" s="27" t="s">
        <v>70</v>
      </c>
      <c r="L17" s="3"/>
      <c r="M17" s="3"/>
      <c r="N17" s="3"/>
      <c r="O17" s="3"/>
      <c r="P17" s="81" t="s">
        <v>3</v>
      </c>
      <c r="Q17" s="82" t="s">
        <v>3</v>
      </c>
      <c r="R17" s="81" t="s">
        <v>4</v>
      </c>
      <c r="T17" s="81" t="s">
        <v>3</v>
      </c>
      <c r="U17" s="82" t="s">
        <v>3</v>
      </c>
      <c r="V17" s="81" t="s">
        <v>4</v>
      </c>
      <c r="X17" s="2"/>
      <c r="Y17" s="3" t="s">
        <v>7</v>
      </c>
      <c r="Z17" s="3"/>
      <c r="AA17" s="3" t="s">
        <v>7</v>
      </c>
      <c r="AB17" s="3"/>
    </row>
    <row r="18" spans="1:28" x14ac:dyDescent="0.2">
      <c r="A18" s="82"/>
      <c r="B18" s="82"/>
      <c r="C18" s="82"/>
      <c r="D18" s="82"/>
      <c r="E18" s="204" t="str">
        <f>("[ "&amp;D13&amp;" - "&amp;C13&amp;" ]")</f>
        <v>[ B - A ]</v>
      </c>
      <c r="F18" s="204" t="str">
        <f>("[ "&amp;E13&amp;" / "&amp;C13&amp;" ]")</f>
        <v>[ C / A ]</v>
      </c>
      <c r="G18" s="226"/>
      <c r="H18" s="226"/>
      <c r="I18" s="204" t="str">
        <f>("["&amp;C13&amp;"+"&amp;$H$13&amp;"+"&amp;$I$13&amp;"]")</f>
        <v>[A+F+G]</v>
      </c>
      <c r="J18" s="204" t="str">
        <f>("["&amp;D13&amp;"+"&amp;$H$13&amp;"+"&amp;$I$13&amp;"]")</f>
        <v>[B+F+G]</v>
      </c>
      <c r="K18" s="204" t="str">
        <f>("[("&amp;J13&amp;" - "&amp;I13&amp;")/"&amp;I13&amp;"]")</f>
        <v>[(H - G)/G]</v>
      </c>
      <c r="L18" s="3"/>
      <c r="M18" s="3"/>
      <c r="N18" s="3"/>
      <c r="O18" s="3"/>
      <c r="P18" s="27"/>
      <c r="Q18" s="33">
        <f>+INPUT!$P$6</f>
        <v>7.2639999999999996E-2</v>
      </c>
      <c r="R18" s="27"/>
      <c r="T18" s="27"/>
      <c r="U18" s="33">
        <f>INPUT!$P$27</f>
        <v>7.2639999999999996E-2</v>
      </c>
      <c r="V18" s="27"/>
      <c r="X18" s="2"/>
      <c r="Y18" s="3"/>
      <c r="Z18" s="3"/>
      <c r="AA18" s="3"/>
      <c r="AB18" s="3"/>
    </row>
    <row r="19" spans="1:28" x14ac:dyDescent="0.2">
      <c r="A19" s="3"/>
      <c r="B19" s="3"/>
      <c r="C19" s="3"/>
      <c r="D19" s="3"/>
      <c r="E19" s="3"/>
      <c r="F19" s="3"/>
      <c r="G19" s="31"/>
      <c r="H19" s="31"/>
      <c r="I19" s="3"/>
      <c r="J19" s="3"/>
      <c r="K19" s="3"/>
      <c r="L19" s="3"/>
      <c r="M19" s="3"/>
      <c r="N19" s="3"/>
      <c r="O19" s="3"/>
      <c r="P19" s="27"/>
      <c r="Q19" s="3" t="s">
        <v>14</v>
      </c>
      <c r="R19" s="27"/>
      <c r="T19" s="27"/>
      <c r="U19" s="3" t="s">
        <v>14</v>
      </c>
      <c r="V19" s="27"/>
      <c r="X19" s="2"/>
      <c r="Y19" s="3"/>
      <c r="Z19" s="3"/>
      <c r="AA19" s="3"/>
      <c r="AB19" s="3"/>
    </row>
    <row r="20" spans="1:2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U20" s="3"/>
      <c r="V20" s="3"/>
    </row>
    <row r="21" spans="1:28" x14ac:dyDescent="0.2">
      <c r="A21" s="1">
        <v>500</v>
      </c>
      <c r="C21" s="6">
        <f>+R21</f>
        <v>36.32</v>
      </c>
      <c r="D21" s="6">
        <f>+V21</f>
        <v>36.32</v>
      </c>
      <c r="E21" s="30">
        <f>+D21-C21</f>
        <v>0</v>
      </c>
      <c r="F21" s="56">
        <f>ROUND(+E21/C21,4)</f>
        <v>0</v>
      </c>
      <c r="G21" s="30">
        <f>ROUND($Q$10*$A21,2)</f>
        <v>-0.94</v>
      </c>
      <c r="H21" s="30">
        <f>ROUND($Q$11*$A21,2)</f>
        <v>4.05</v>
      </c>
      <c r="I21" s="30">
        <f>+C21+G21+H21</f>
        <v>39.43</v>
      </c>
      <c r="J21" s="30">
        <f>+D21+G21+H21</f>
        <v>39.43</v>
      </c>
      <c r="K21" s="56">
        <f>ROUND((J21-I21)/I21,4)</f>
        <v>0</v>
      </c>
      <c r="P21" s="7">
        <f>+INPUT!$P$4</f>
        <v>0</v>
      </c>
      <c r="Q21" s="6">
        <f>A21*$Q$18</f>
        <v>36.32</v>
      </c>
      <c r="R21" s="6">
        <f>P21+Q21</f>
        <v>36.32</v>
      </c>
      <c r="T21" s="7">
        <f>INPUT!$P$25</f>
        <v>0</v>
      </c>
      <c r="U21" s="6">
        <f>A21*$U$18</f>
        <v>36.32</v>
      </c>
      <c r="V21" s="6">
        <f>T21+U21</f>
        <v>36.32</v>
      </c>
      <c r="Y21" s="6">
        <f>V21-R21</f>
        <v>0</v>
      </c>
      <c r="AA21" s="8">
        <f>V21/R21-1</f>
        <v>0</v>
      </c>
      <c r="AB21" s="8"/>
    </row>
    <row r="22" spans="1:28" x14ac:dyDescent="0.2">
      <c r="A22" s="1"/>
      <c r="K22" s="56"/>
      <c r="P22" s="7"/>
      <c r="Q22" s="6"/>
      <c r="R22" s="6"/>
      <c r="T22" s="7"/>
      <c r="U22" s="6"/>
      <c r="V22" s="6"/>
      <c r="AA22" s="8"/>
      <c r="AB22" s="8"/>
    </row>
    <row r="23" spans="1:28" x14ac:dyDescent="0.2">
      <c r="A23" s="1">
        <v>1000</v>
      </c>
      <c r="C23" s="6">
        <f>+R23</f>
        <v>72.64</v>
      </c>
      <c r="D23" s="6">
        <f>+V23</f>
        <v>72.64</v>
      </c>
      <c r="E23" s="30">
        <f>+D23-C23</f>
        <v>0</v>
      </c>
      <c r="F23" s="56">
        <f>ROUND(+E23/C23,4)</f>
        <v>0</v>
      </c>
      <c r="G23" s="30">
        <f>ROUND($Q$10*$A23,2)</f>
        <v>-1.89</v>
      </c>
      <c r="H23" s="30">
        <f>ROUND($Q$11*$A23,2)</f>
        <v>8.1</v>
      </c>
      <c r="I23" s="30">
        <f>+C23+G23+H23</f>
        <v>78.849999999999994</v>
      </c>
      <c r="J23" s="30">
        <f>+D23+G23+H23</f>
        <v>78.849999999999994</v>
      </c>
      <c r="K23" s="56">
        <f>ROUND((J23-I23)/I23,4)</f>
        <v>0</v>
      </c>
      <c r="P23" s="7">
        <f>$P$21</f>
        <v>0</v>
      </c>
      <c r="Q23" s="6">
        <f>A23*$Q$18</f>
        <v>72.64</v>
      </c>
      <c r="R23" s="6">
        <f>P23+Q23</f>
        <v>72.64</v>
      </c>
      <c r="T23" s="7">
        <f>+$T$21</f>
        <v>0</v>
      </c>
      <c r="U23" s="6">
        <f>A23*$U$18</f>
        <v>72.64</v>
      </c>
      <c r="V23" s="6">
        <f>T23+U23</f>
        <v>72.64</v>
      </c>
      <c r="Y23" s="6">
        <f>V23-R23</f>
        <v>0</v>
      </c>
      <c r="AA23" s="8">
        <f>V23/R23-1</f>
        <v>0</v>
      </c>
      <c r="AB23" s="8"/>
    </row>
    <row r="24" spans="1:28" x14ac:dyDescent="0.2">
      <c r="A24" s="1"/>
      <c r="C24" s="6"/>
      <c r="D24" s="6"/>
      <c r="E24" s="30"/>
      <c r="F24" s="56"/>
      <c r="G24" s="30"/>
      <c r="H24" s="30"/>
      <c r="I24" s="30"/>
      <c r="J24" s="30"/>
      <c r="K24" s="56"/>
      <c r="P24" s="57"/>
      <c r="Q24" s="6"/>
      <c r="R24" s="6"/>
      <c r="T24" s="7"/>
      <c r="U24" s="6"/>
      <c r="V24" s="6"/>
      <c r="AA24" s="28"/>
      <c r="AB24" s="28"/>
    </row>
    <row r="25" spans="1:28" s="10" customFormat="1" x14ac:dyDescent="0.2">
      <c r="A25" s="1">
        <v>2500</v>
      </c>
      <c r="B25"/>
      <c r="C25" s="6">
        <f>+R25</f>
        <v>181.6</v>
      </c>
      <c r="D25" s="6">
        <f>+V25</f>
        <v>181.6</v>
      </c>
      <c r="E25" s="30">
        <f>+D25-C25</f>
        <v>0</v>
      </c>
      <c r="F25" s="56">
        <f>ROUND(+E25/C25,4)</f>
        <v>0</v>
      </c>
      <c r="G25" s="30">
        <f>ROUND($Q$10*$A25,2)</f>
        <v>-4.72</v>
      </c>
      <c r="H25" s="30">
        <f>ROUND($Q$11*$A25,2)</f>
        <v>20.25</v>
      </c>
      <c r="I25" s="30">
        <f>+C25+G25+H25</f>
        <v>197.13</v>
      </c>
      <c r="J25" s="30">
        <f>+D25+G25+H25</f>
        <v>197.13</v>
      </c>
      <c r="K25" s="56">
        <f>ROUND((J25-I25)/I25,4)</f>
        <v>0</v>
      </c>
      <c r="P25" s="57">
        <f>$P$21</f>
        <v>0</v>
      </c>
      <c r="Q25" s="6">
        <f>A25*$Q$18</f>
        <v>181.6</v>
      </c>
      <c r="R25" s="11">
        <f>P25+Q25</f>
        <v>181.6</v>
      </c>
      <c r="T25" s="7">
        <f>+$T$21</f>
        <v>0</v>
      </c>
      <c r="U25" s="6">
        <f>A25*$U$18</f>
        <v>181.6</v>
      </c>
      <c r="V25" s="11">
        <f>T25+U25</f>
        <v>181.6</v>
      </c>
      <c r="Y25" s="11">
        <f>V25-R25</f>
        <v>0</v>
      </c>
      <c r="AA25" s="28">
        <f>V25/R25-1</f>
        <v>0</v>
      </c>
      <c r="AB25" s="28"/>
    </row>
    <row r="26" spans="1:28" x14ac:dyDescent="0.2">
      <c r="A26" s="1"/>
      <c r="P26" s="7"/>
      <c r="Q26" s="6"/>
      <c r="R26" s="6"/>
      <c r="T26" s="7"/>
      <c r="U26" s="6"/>
      <c r="V26" s="6"/>
      <c r="AA26" s="8"/>
      <c r="AB26" s="8"/>
    </row>
    <row r="27" spans="1:28" x14ac:dyDescent="0.2">
      <c r="A27" s="1">
        <v>5000</v>
      </c>
      <c r="C27" s="6">
        <f>+R27</f>
        <v>363.2</v>
      </c>
      <c r="D27" s="6">
        <f>+V27</f>
        <v>363.2</v>
      </c>
      <c r="E27" s="30">
        <f>+D27-C27</f>
        <v>0</v>
      </c>
      <c r="F27" s="56">
        <f>ROUND(+E27/C27,4)</f>
        <v>0</v>
      </c>
      <c r="G27" s="30">
        <f>ROUND($Q$10*$A27,2)</f>
        <v>-9.43</v>
      </c>
      <c r="H27" s="30">
        <f>ROUND($Q$11*$A27,2)</f>
        <v>40.51</v>
      </c>
      <c r="I27" s="30">
        <f>+C27+G27+H27</f>
        <v>394.28</v>
      </c>
      <c r="J27" s="30">
        <f>+D27+G27+H27</f>
        <v>394.28</v>
      </c>
      <c r="K27" s="56">
        <f>ROUND((J27-I27)/I27,4)</f>
        <v>0</v>
      </c>
      <c r="P27" s="7">
        <f>$P$21</f>
        <v>0</v>
      </c>
      <c r="Q27" s="6">
        <f>A27*$Q$18</f>
        <v>363.2</v>
      </c>
      <c r="R27" s="6">
        <f>P27+Q27</f>
        <v>363.2</v>
      </c>
      <c r="T27" s="7">
        <f>+$T$21</f>
        <v>0</v>
      </c>
      <c r="U27" s="6">
        <f>A27*$U$18</f>
        <v>363.2</v>
      </c>
      <c r="V27" s="6">
        <f>T27+U27</f>
        <v>363.2</v>
      </c>
      <c r="Y27" s="6">
        <f>V27-R27</f>
        <v>0</v>
      </c>
      <c r="AA27" s="8">
        <f>V27/R27-1</f>
        <v>0</v>
      </c>
      <c r="AB27" s="8"/>
    </row>
    <row r="28" spans="1:28" x14ac:dyDescent="0.2">
      <c r="P28" s="7"/>
      <c r="Q28" s="6"/>
      <c r="R28" s="6"/>
      <c r="T28" s="7"/>
      <c r="U28" s="6"/>
      <c r="V28" s="6"/>
      <c r="AA28" s="8"/>
      <c r="AB28" s="8"/>
    </row>
    <row r="29" spans="1:28" x14ac:dyDescent="0.2">
      <c r="A29" s="1">
        <v>10000</v>
      </c>
      <c r="C29" s="6">
        <f>+R29</f>
        <v>726.4</v>
      </c>
      <c r="D29" s="6">
        <f>+V29</f>
        <v>726.4</v>
      </c>
      <c r="E29" s="30">
        <f>+D29-C29</f>
        <v>0</v>
      </c>
      <c r="F29" s="56">
        <f>ROUND(+E29/C29,4)</f>
        <v>0</v>
      </c>
      <c r="G29" s="30">
        <f>ROUND($Q$10*$A29,2)</f>
        <v>-18.86</v>
      </c>
      <c r="H29" s="30">
        <f>ROUND($Q$11*$A29,2)</f>
        <v>81.010000000000005</v>
      </c>
      <c r="I29" s="30">
        <f>+C29+G29+H29</f>
        <v>788.55</v>
      </c>
      <c r="J29" s="30">
        <f>+D29+G29+H29</f>
        <v>788.55</v>
      </c>
      <c r="K29" s="56">
        <f>ROUND((J29-I29)/I29,4)</f>
        <v>0</v>
      </c>
      <c r="P29" s="7">
        <f>$P$21</f>
        <v>0</v>
      </c>
      <c r="Q29" s="6">
        <f>A29*$Q$18</f>
        <v>726.4</v>
      </c>
      <c r="R29" s="6">
        <f>P29+Q29</f>
        <v>726.4</v>
      </c>
      <c r="T29" s="7">
        <f>+$T$21</f>
        <v>0</v>
      </c>
      <c r="U29" s="6">
        <f>A29*$U$18</f>
        <v>726.4</v>
      </c>
      <c r="V29" s="6">
        <f>T29+U29</f>
        <v>726.4</v>
      </c>
      <c r="Y29" s="6">
        <f>V29-R29</f>
        <v>0</v>
      </c>
      <c r="AA29" s="8">
        <f>V29/R29-1</f>
        <v>0</v>
      </c>
      <c r="AB29" s="8"/>
    </row>
    <row r="30" spans="1:28" x14ac:dyDescent="0.2">
      <c r="A30" s="1"/>
      <c r="P30" s="7"/>
      <c r="Q30" s="6"/>
      <c r="R30" s="6"/>
      <c r="T30" s="7"/>
      <c r="U30" s="6"/>
      <c r="V30" s="6"/>
      <c r="AA30" s="8"/>
      <c r="AB30" s="8"/>
    </row>
    <row r="31" spans="1:28" x14ac:dyDescent="0.2">
      <c r="A31" s="1">
        <v>12500</v>
      </c>
      <c r="C31" s="6">
        <f>+R31</f>
        <v>908</v>
      </c>
      <c r="D31" s="6">
        <f>+V31</f>
        <v>908</v>
      </c>
      <c r="E31" s="30">
        <f>+D31-C31</f>
        <v>0</v>
      </c>
      <c r="F31" s="56">
        <f>ROUND(+E31/C31,4)</f>
        <v>0</v>
      </c>
      <c r="G31" s="30">
        <f>ROUND($Q$10*$A31,2)</f>
        <v>-23.58</v>
      </c>
      <c r="H31" s="30">
        <f>ROUND($Q$11*$A31,2)</f>
        <v>101.27</v>
      </c>
      <c r="I31" s="30">
        <f>+C31+G31+H31</f>
        <v>985.68999999999994</v>
      </c>
      <c r="J31" s="30">
        <f>+D31+G31+H31</f>
        <v>985.68999999999994</v>
      </c>
      <c r="K31" s="56">
        <f>ROUND((J31-I31)/I31,4)</f>
        <v>0</v>
      </c>
      <c r="P31" s="7">
        <f>$P$21</f>
        <v>0</v>
      </c>
      <c r="Q31" s="6">
        <f>A31*$Q$18</f>
        <v>908</v>
      </c>
      <c r="R31" s="6">
        <f>P31+Q31</f>
        <v>908</v>
      </c>
      <c r="T31" s="7">
        <f>+$T$21</f>
        <v>0</v>
      </c>
      <c r="U31" s="6">
        <f>A31*$U$18</f>
        <v>908</v>
      </c>
      <c r="V31" s="6">
        <f>T31+U31</f>
        <v>908</v>
      </c>
      <c r="Y31" s="6">
        <f>V31-R31</f>
        <v>0</v>
      </c>
      <c r="AA31" s="8">
        <f>V31/R31-1</f>
        <v>0</v>
      </c>
      <c r="AB31" s="8"/>
    </row>
    <row r="32" spans="1:28" x14ac:dyDescent="0.2">
      <c r="P32" s="7"/>
      <c r="Q32" s="6"/>
      <c r="R32" s="6"/>
      <c r="T32" s="7"/>
      <c r="U32" s="6"/>
      <c r="V32" s="6"/>
      <c r="AA32" s="8"/>
      <c r="AB32" s="8"/>
    </row>
    <row r="33" spans="1:28" x14ac:dyDescent="0.2">
      <c r="A33" s="1">
        <v>15000</v>
      </c>
      <c r="C33" s="6">
        <f>+R33</f>
        <v>1089.5999999999999</v>
      </c>
      <c r="D33" s="6">
        <f>+V33</f>
        <v>1089.5999999999999</v>
      </c>
      <c r="E33" s="30">
        <f>+D33-C33</f>
        <v>0</v>
      </c>
      <c r="F33" s="56">
        <f>ROUND(+E33/C33,4)</f>
        <v>0</v>
      </c>
      <c r="G33" s="30">
        <f>ROUND($Q$10*$A33,2)</f>
        <v>-28.3</v>
      </c>
      <c r="H33" s="30">
        <f>ROUND($Q$11*$A33,2)</f>
        <v>121.52</v>
      </c>
      <c r="I33" s="30">
        <f>+C33+G33+H33</f>
        <v>1182.82</v>
      </c>
      <c r="J33" s="30">
        <f>+D33+G33+H33</f>
        <v>1182.82</v>
      </c>
      <c r="K33" s="56">
        <f>ROUND((J33-I33)/I33,4)</f>
        <v>0</v>
      </c>
      <c r="P33" s="7">
        <f>$P$21</f>
        <v>0</v>
      </c>
      <c r="Q33" s="6">
        <f>A33*$Q$18</f>
        <v>1089.5999999999999</v>
      </c>
      <c r="R33" s="6">
        <f>P33+Q33</f>
        <v>1089.5999999999999</v>
      </c>
      <c r="T33" s="7">
        <f>+$T$21</f>
        <v>0</v>
      </c>
      <c r="U33" s="6">
        <f>A33*$U$18</f>
        <v>1089.5999999999999</v>
      </c>
      <c r="V33" s="6">
        <f>T33+U33</f>
        <v>1089.5999999999999</v>
      </c>
      <c r="Y33" s="6">
        <f>V33-R33</f>
        <v>0</v>
      </c>
      <c r="AA33" s="8">
        <f>V33/R33-1</f>
        <v>0</v>
      </c>
      <c r="AB33" s="8"/>
    </row>
    <row r="34" spans="1:28" x14ac:dyDescent="0.2">
      <c r="P34" s="7"/>
      <c r="Q34" s="6"/>
      <c r="R34" s="6"/>
      <c r="T34" s="7"/>
      <c r="U34" s="6"/>
      <c r="V34" s="6"/>
      <c r="AA34" s="8"/>
      <c r="AB34" s="8"/>
    </row>
    <row r="35" spans="1:28" x14ac:dyDescent="0.2">
      <c r="A35" s="1">
        <v>17500</v>
      </c>
      <c r="C35" s="6">
        <f>+R35</f>
        <v>1271.2</v>
      </c>
      <c r="D35" s="6">
        <f>+V35</f>
        <v>1271.2</v>
      </c>
      <c r="E35" s="30">
        <f>+D35-C35</f>
        <v>0</v>
      </c>
      <c r="F35" s="56">
        <f>ROUND(+E35/C35,4)</f>
        <v>0</v>
      </c>
      <c r="G35" s="30">
        <f>ROUND($Q$10*$A35,2)</f>
        <v>-33.01</v>
      </c>
      <c r="H35" s="30">
        <f>ROUND($Q$11*$A35,2)</f>
        <v>141.78</v>
      </c>
      <c r="I35" s="30">
        <f>+C35+G35+H35</f>
        <v>1379.97</v>
      </c>
      <c r="J35" s="30">
        <f>+D35+G35+H35</f>
        <v>1379.97</v>
      </c>
      <c r="K35" s="56">
        <f>ROUND((J35-I35)/I35,4)</f>
        <v>0</v>
      </c>
      <c r="P35" s="7">
        <f>$P$21</f>
        <v>0</v>
      </c>
      <c r="Q35" s="6">
        <f>A35*$Q$18</f>
        <v>1271.2</v>
      </c>
      <c r="R35" s="6">
        <f>P35+Q35</f>
        <v>1271.2</v>
      </c>
      <c r="T35" s="7">
        <f>+$T$21</f>
        <v>0</v>
      </c>
      <c r="U35" s="6">
        <f>A35*$U$18</f>
        <v>1271.2</v>
      </c>
      <c r="V35" s="6">
        <f>T35+U35</f>
        <v>1271.2</v>
      </c>
      <c r="Y35" s="6">
        <f>V35-R35</f>
        <v>0</v>
      </c>
      <c r="AA35" s="8">
        <f>V35/R35-1</f>
        <v>0</v>
      </c>
      <c r="AB35" s="8"/>
    </row>
    <row r="37" spans="1:28" x14ac:dyDescent="0.2">
      <c r="A37" s="17" t="s">
        <v>313</v>
      </c>
    </row>
    <row r="38" spans="1:28" s="17" customFormat="1" x14ac:dyDescent="0.2">
      <c r="A38" s="179" t="str">
        <f>("Average usage = "&amp;TEXT(INPUT!$P$19*1,"0,000")&amp;" kWh per month")</f>
        <v>Average usage = 3,573 kWh per month</v>
      </c>
    </row>
    <row r="39" spans="1:28" s="17" customFormat="1" x14ac:dyDescent="0.2">
      <c r="A39" s="180" t="str">
        <f>+'Rate Case Constants'!$C$26</f>
        <v>Calculations may vary from other schedules due to rounding</v>
      </c>
    </row>
    <row r="40" spans="1:28" x14ac:dyDescent="0.2">
      <c r="A40" s="180" t="s">
        <v>314</v>
      </c>
    </row>
    <row r="41" spans="1:28" ht="12" customHeight="1" x14ac:dyDescent="0.2">
      <c r="A41" s="181" t="s">
        <v>317</v>
      </c>
    </row>
    <row r="42" spans="1:28" x14ac:dyDescent="0.2">
      <c r="A42" s="31"/>
    </row>
  </sheetData>
  <mergeCells count="5">
    <mergeCell ref="G15:H15"/>
    <mergeCell ref="A1:K1"/>
    <mergeCell ref="A2:K2"/>
    <mergeCell ref="A3:K3"/>
    <mergeCell ref="A4:K4"/>
  </mergeCells>
  <printOptions horizontalCentered="1"/>
  <pageMargins left="0.75" right="0.75" top="1.5" bottom="0.5" header="1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G127"/>
  <sheetViews>
    <sheetView zoomScale="80" zoomScaleNormal="80" zoomScaleSheetLayoutView="85" workbookViewId="0"/>
  </sheetViews>
  <sheetFormatPr defaultRowHeight="12.75" x14ac:dyDescent="0.2"/>
  <cols>
    <col min="1" max="1" width="31.85546875" customWidth="1"/>
    <col min="2" max="2" width="18.7109375" customWidth="1"/>
    <col min="3" max="3" width="17.42578125" customWidth="1"/>
    <col min="4" max="4" width="16.28515625" customWidth="1"/>
    <col min="5" max="5" width="17.28515625" bestFit="1" customWidth="1"/>
    <col min="6" max="6" width="16.42578125" customWidth="1"/>
    <col min="7" max="8" width="14.5703125" bestFit="1" customWidth="1"/>
    <col min="9" max="9" width="13.7109375" bestFit="1" customWidth="1"/>
    <col min="10" max="10" width="14.28515625" bestFit="1" customWidth="1"/>
    <col min="11" max="12" width="19" bestFit="1" customWidth="1"/>
    <col min="13" max="13" width="12.85546875" bestFit="1" customWidth="1"/>
    <col min="14" max="15" width="13.5703125" customWidth="1"/>
    <col min="16" max="16" width="10" bestFit="1" customWidth="1"/>
    <col min="17" max="17" width="10.42578125" customWidth="1"/>
    <col min="18" max="20" width="12.28515625" customWidth="1"/>
    <col min="21" max="21" width="11.42578125" customWidth="1"/>
    <col min="22" max="22" width="11.42578125" style="17" customWidth="1"/>
    <col min="28" max="28" width="11.28515625" customWidth="1"/>
    <col min="29" max="29" width="47.85546875" bestFit="1" customWidth="1"/>
    <col min="30" max="31" width="24.140625" bestFit="1" customWidth="1"/>
  </cols>
  <sheetData>
    <row r="1" spans="1:33" x14ac:dyDescent="0.2">
      <c r="A1" s="2" t="s">
        <v>59</v>
      </c>
      <c r="B1" s="27" t="s">
        <v>233</v>
      </c>
      <c r="C1" s="3" t="s">
        <v>81</v>
      </c>
      <c r="D1" s="3" t="s">
        <v>82</v>
      </c>
      <c r="E1" s="3" t="s">
        <v>10</v>
      </c>
      <c r="F1" s="3" t="s">
        <v>10</v>
      </c>
      <c r="G1" s="27" t="s">
        <v>63</v>
      </c>
      <c r="H1" s="27" t="s">
        <v>63</v>
      </c>
      <c r="I1" s="3" t="s">
        <v>15</v>
      </c>
      <c r="J1" s="3" t="s">
        <v>15</v>
      </c>
      <c r="K1" s="3" t="s">
        <v>29</v>
      </c>
      <c r="L1" s="3" t="s">
        <v>29</v>
      </c>
      <c r="M1" s="3" t="s">
        <v>21</v>
      </c>
      <c r="N1" s="27" t="s">
        <v>64</v>
      </c>
      <c r="O1" s="27" t="s">
        <v>64</v>
      </c>
      <c r="P1" s="87" t="s">
        <v>226</v>
      </c>
      <c r="Q1" s="85" t="s">
        <v>227</v>
      </c>
      <c r="R1" s="87" t="s">
        <v>378</v>
      </c>
      <c r="S1" s="87" t="s">
        <v>378</v>
      </c>
      <c r="T1" s="87" t="s">
        <v>377</v>
      </c>
      <c r="U1" s="254" t="s">
        <v>500</v>
      </c>
      <c r="V1" s="88" t="s">
        <v>498</v>
      </c>
    </row>
    <row r="2" spans="1:33" x14ac:dyDescent="0.2">
      <c r="B2" s="3"/>
      <c r="C2" s="3"/>
      <c r="D2" s="3"/>
      <c r="E2" s="3" t="s">
        <v>35</v>
      </c>
      <c r="F2" s="3" t="s">
        <v>36</v>
      </c>
      <c r="G2" s="3" t="s">
        <v>35</v>
      </c>
      <c r="H2" s="3" t="s">
        <v>36</v>
      </c>
      <c r="I2" s="3" t="s">
        <v>16</v>
      </c>
      <c r="J2" s="3" t="s">
        <v>17</v>
      </c>
      <c r="K2" s="3" t="s">
        <v>16</v>
      </c>
      <c r="L2" s="3" t="s">
        <v>17</v>
      </c>
      <c r="M2" s="3"/>
      <c r="N2" s="3" t="s">
        <v>65</v>
      </c>
      <c r="O2" s="3" t="s">
        <v>16</v>
      </c>
      <c r="P2" s="87"/>
      <c r="Q2" s="17"/>
      <c r="R2" s="3" t="s">
        <v>16</v>
      </c>
      <c r="S2" s="3" t="s">
        <v>17</v>
      </c>
      <c r="T2" s="3"/>
      <c r="U2" s="17"/>
      <c r="X2" s="2" t="s">
        <v>163</v>
      </c>
      <c r="Z2" t="s">
        <v>23</v>
      </c>
      <c r="AC2" s="2" t="s">
        <v>218</v>
      </c>
    </row>
    <row r="3" spans="1:33" x14ac:dyDescent="0.2">
      <c r="B3" s="3"/>
      <c r="C3" s="3"/>
      <c r="D3" s="3"/>
      <c r="P3" s="17"/>
      <c r="Q3" s="17"/>
      <c r="R3" s="17"/>
      <c r="S3" s="17"/>
      <c r="T3" s="17"/>
      <c r="U3" s="17"/>
      <c r="X3" s="257" t="s">
        <v>164</v>
      </c>
      <c r="Y3">
        <v>360</v>
      </c>
      <c r="Z3" s="369" t="e">
        <f t="shared" ref="Z3:Z15" si="0">VLOOKUP(Y3,$AB$9:$AF$123,5,FALSE)</f>
        <v>#N/A</v>
      </c>
      <c r="AC3" s="67"/>
      <c r="AD3" s="67"/>
      <c r="AE3" s="67"/>
    </row>
    <row r="4" spans="1:33" ht="16.5" thickBot="1" x14ac:dyDescent="0.25">
      <c r="A4" s="17" t="s">
        <v>11</v>
      </c>
      <c r="B4" s="267">
        <v>12.25</v>
      </c>
      <c r="C4" s="267">
        <v>12.25</v>
      </c>
      <c r="D4" s="267">
        <v>12.25</v>
      </c>
      <c r="E4" s="267">
        <v>31.5</v>
      </c>
      <c r="F4" s="267">
        <v>50.4</v>
      </c>
      <c r="G4" s="267">
        <v>85</v>
      </c>
      <c r="H4" s="267">
        <v>140</v>
      </c>
      <c r="I4" s="267">
        <v>240</v>
      </c>
      <c r="J4" s="267">
        <v>90</v>
      </c>
      <c r="K4" s="267">
        <v>330</v>
      </c>
      <c r="L4" s="267">
        <v>200</v>
      </c>
      <c r="M4" s="267">
        <v>1500</v>
      </c>
      <c r="N4" s="267">
        <v>1500</v>
      </c>
      <c r="O4" s="267">
        <v>330</v>
      </c>
      <c r="P4" s="267">
        <v>0</v>
      </c>
      <c r="Q4" s="267">
        <v>4</v>
      </c>
      <c r="R4" s="267">
        <v>240</v>
      </c>
      <c r="S4" s="267">
        <v>90</v>
      </c>
      <c r="T4" s="267"/>
      <c r="U4" s="267">
        <v>7.25</v>
      </c>
      <c r="V4" s="267">
        <v>6.27</v>
      </c>
      <c r="X4" s="257" t="s">
        <v>165</v>
      </c>
      <c r="Y4">
        <v>361</v>
      </c>
      <c r="Z4" s="369" t="e">
        <f t="shared" si="0"/>
        <v>#N/A</v>
      </c>
      <c r="AC4" s="79" t="s">
        <v>153</v>
      </c>
      <c r="AD4" s="67"/>
      <c r="AE4" s="67"/>
    </row>
    <row r="5" spans="1:33" ht="15.75" thickBot="1" x14ac:dyDescent="0.25">
      <c r="A5" s="17"/>
      <c r="B5" s="268"/>
      <c r="C5" s="268"/>
      <c r="D5" s="268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17"/>
      <c r="X5" s="257" t="s">
        <v>166</v>
      </c>
      <c r="Y5">
        <v>362</v>
      </c>
      <c r="Z5" s="369" t="e">
        <f t="shared" si="0"/>
        <v>#N/A</v>
      </c>
      <c r="AC5" s="75"/>
      <c r="AD5" s="95" t="s">
        <v>88</v>
      </c>
      <c r="AE5" s="96"/>
    </row>
    <row r="6" spans="1:33" ht="15.75" thickBot="1" x14ac:dyDescent="0.25">
      <c r="A6" s="17" t="s">
        <v>12</v>
      </c>
      <c r="B6" s="270">
        <v>9.0469999999999995E-2</v>
      </c>
      <c r="C6" s="270"/>
      <c r="D6" s="270">
        <v>4.478E-2</v>
      </c>
      <c r="E6" s="270">
        <v>0.10489999999999999</v>
      </c>
      <c r="F6" s="270">
        <v>0.10489999999999999</v>
      </c>
      <c r="G6" s="270">
        <v>8.2439999999999999E-2</v>
      </c>
      <c r="H6" s="270">
        <v>8.2439999999999999E-2</v>
      </c>
      <c r="I6" s="270">
        <v>3.1710000000000002E-2</v>
      </c>
      <c r="J6" s="270">
        <v>3.27E-2</v>
      </c>
      <c r="K6" s="270">
        <v>3.1359999999999999E-2</v>
      </c>
      <c r="L6" s="270">
        <v>3.2289999999999999E-2</v>
      </c>
      <c r="M6" s="270">
        <v>3.058E-2</v>
      </c>
      <c r="N6" s="270">
        <v>3.0360000000000002E-2</v>
      </c>
      <c r="O6" s="270">
        <v>3.1359999999999999E-2</v>
      </c>
      <c r="P6" s="270">
        <v>7.2639999999999996E-2</v>
      </c>
      <c r="Q6" s="270">
        <v>8.9550000000000005E-2</v>
      </c>
      <c r="R6" s="270">
        <v>3.1890000000000002E-2</v>
      </c>
      <c r="S6" s="270">
        <v>3.288E-2</v>
      </c>
      <c r="T6" s="270">
        <v>2.84</v>
      </c>
      <c r="U6" s="38"/>
      <c r="V6" s="38"/>
      <c r="X6" s="257" t="s">
        <v>167</v>
      </c>
      <c r="Y6">
        <v>363</v>
      </c>
      <c r="Z6" s="369" t="e">
        <f t="shared" si="0"/>
        <v>#N/A</v>
      </c>
      <c r="AC6" s="69"/>
      <c r="AD6" s="70" t="s">
        <v>1</v>
      </c>
      <c r="AE6" s="258" t="s">
        <v>9</v>
      </c>
      <c r="AF6" s="94" t="s">
        <v>23</v>
      </c>
    </row>
    <row r="7" spans="1:33" ht="15.75" thickBot="1" x14ac:dyDescent="0.25">
      <c r="A7" s="17" t="s">
        <v>32</v>
      </c>
      <c r="B7" s="270"/>
      <c r="C7" s="270">
        <v>0.27615000000000001</v>
      </c>
      <c r="D7" s="270"/>
      <c r="E7" s="270"/>
      <c r="F7" s="270"/>
      <c r="G7" s="270"/>
      <c r="H7" s="270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38"/>
      <c r="V7" s="38"/>
      <c r="X7" s="257" t="s">
        <v>168</v>
      </c>
      <c r="Y7">
        <v>364</v>
      </c>
      <c r="Z7" s="369" t="e">
        <f t="shared" si="0"/>
        <v>#N/A</v>
      </c>
      <c r="AC7" s="71" t="s">
        <v>89</v>
      </c>
      <c r="AD7" s="70"/>
      <c r="AE7" s="258"/>
    </row>
    <row r="8" spans="1:33" ht="15.75" thickBot="1" x14ac:dyDescent="0.25">
      <c r="A8" s="17" t="s">
        <v>33</v>
      </c>
      <c r="B8" s="270"/>
      <c r="C8" s="270">
        <v>5.892E-2</v>
      </c>
      <c r="D8" s="270"/>
      <c r="E8" s="270"/>
      <c r="F8" s="270"/>
      <c r="G8" s="270"/>
      <c r="H8" s="270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38"/>
      <c r="V8" s="38"/>
      <c r="X8" s="257" t="s">
        <v>169</v>
      </c>
      <c r="Y8">
        <v>365</v>
      </c>
      <c r="Z8" s="369" t="e">
        <f t="shared" si="0"/>
        <v>#N/A</v>
      </c>
      <c r="AC8" s="72" t="s">
        <v>90</v>
      </c>
      <c r="AD8" s="70"/>
      <c r="AE8" s="258"/>
    </row>
    <row r="9" spans="1:33" ht="15.75" thickBot="1" x14ac:dyDescent="0.25">
      <c r="A9" s="17"/>
      <c r="B9" s="17"/>
      <c r="C9" s="3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32"/>
      <c r="R9" s="132"/>
      <c r="S9" s="132"/>
      <c r="T9" s="132"/>
      <c r="U9" s="132"/>
      <c r="V9" s="132"/>
      <c r="X9" s="257" t="s">
        <v>170</v>
      </c>
      <c r="Y9">
        <v>366</v>
      </c>
      <c r="Z9" s="369" t="e">
        <f t="shared" si="0"/>
        <v>#N/A</v>
      </c>
      <c r="AB9">
        <v>462</v>
      </c>
      <c r="AC9" s="73" t="s">
        <v>91</v>
      </c>
      <c r="AD9" s="287">
        <v>10.1</v>
      </c>
      <c r="AE9" s="307">
        <v>10.82</v>
      </c>
      <c r="AF9" s="294">
        <v>8.3000000000000004E-2</v>
      </c>
      <c r="AG9" s="31" t="s">
        <v>413</v>
      </c>
    </row>
    <row r="10" spans="1:33" ht="15.75" thickBot="1" x14ac:dyDescent="0.25">
      <c r="A10" s="17" t="s">
        <v>13</v>
      </c>
      <c r="B10" s="17"/>
      <c r="D10" s="17"/>
      <c r="E10" s="17"/>
      <c r="F10" s="17"/>
      <c r="G10" s="17"/>
      <c r="H10" s="17"/>
      <c r="I10" s="17"/>
      <c r="J10" s="17"/>
      <c r="K10" s="37"/>
      <c r="L10" s="37"/>
      <c r="M10" s="40"/>
      <c r="N10" s="40"/>
      <c r="O10" s="40"/>
      <c r="P10" s="17"/>
      <c r="Q10" s="84"/>
      <c r="R10" s="84"/>
      <c r="S10" s="84"/>
      <c r="T10" s="84"/>
      <c r="U10" s="84"/>
      <c r="V10" s="84"/>
      <c r="X10" s="257" t="s">
        <v>171</v>
      </c>
      <c r="Y10">
        <v>367</v>
      </c>
      <c r="Z10" s="369" t="e">
        <f t="shared" si="0"/>
        <v>#N/A</v>
      </c>
      <c r="AB10">
        <v>472</v>
      </c>
      <c r="AC10" s="74" t="s">
        <v>92</v>
      </c>
      <c r="AD10" s="288">
        <v>13.77</v>
      </c>
      <c r="AE10" s="308">
        <v>14.75</v>
      </c>
      <c r="AF10" s="294">
        <v>8.3000000000000004E-2</v>
      </c>
      <c r="AG10" s="31" t="s">
        <v>413</v>
      </c>
    </row>
    <row r="11" spans="1:33" ht="15.75" thickBot="1" x14ac:dyDescent="0.25">
      <c r="A11" s="60" t="s">
        <v>52</v>
      </c>
      <c r="B11" s="17"/>
      <c r="C11" s="17"/>
      <c r="D11" s="17"/>
      <c r="E11" s="17"/>
      <c r="F11" s="17"/>
      <c r="G11" s="17"/>
      <c r="H11" s="17"/>
      <c r="I11" s="271">
        <v>21.21</v>
      </c>
      <c r="J11" s="271">
        <v>21.03</v>
      </c>
      <c r="K11" s="37"/>
      <c r="L11" s="37"/>
      <c r="M11" s="40"/>
      <c r="N11" s="40"/>
      <c r="O11" s="40"/>
      <c r="P11" s="17"/>
      <c r="Q11" s="84"/>
      <c r="R11" s="84"/>
      <c r="S11" s="84"/>
      <c r="T11" s="84"/>
      <c r="U11" s="84"/>
      <c r="V11" s="84"/>
      <c r="X11" s="257" t="s">
        <v>172</v>
      </c>
      <c r="Y11">
        <v>368</v>
      </c>
      <c r="Z11" s="369" t="e">
        <f t="shared" si="0"/>
        <v>#N/A</v>
      </c>
      <c r="AB11">
        <v>463</v>
      </c>
      <c r="AC11" s="74" t="s">
        <v>93</v>
      </c>
      <c r="AD11" s="288">
        <v>10.49</v>
      </c>
      <c r="AE11" s="308">
        <v>11.23</v>
      </c>
      <c r="AF11" s="294">
        <v>0.11700000000000001</v>
      </c>
      <c r="AG11" s="31" t="s">
        <v>413</v>
      </c>
    </row>
    <row r="12" spans="1:33" ht="15.75" thickBot="1" x14ac:dyDescent="0.25">
      <c r="A12" s="60" t="s">
        <v>53</v>
      </c>
      <c r="B12" s="17"/>
      <c r="C12" s="17"/>
      <c r="D12" s="17"/>
      <c r="E12" s="17"/>
      <c r="F12" s="17"/>
      <c r="G12" s="17"/>
      <c r="H12" s="17"/>
      <c r="I12" s="271">
        <v>19.02</v>
      </c>
      <c r="J12" s="271">
        <v>18.809999999999999</v>
      </c>
      <c r="K12" s="37"/>
      <c r="L12" s="37"/>
      <c r="M12" s="40"/>
      <c r="N12" s="40"/>
      <c r="O12" s="40"/>
      <c r="P12" s="17"/>
      <c r="Q12" s="84"/>
      <c r="R12" s="84"/>
      <c r="S12" s="84"/>
      <c r="T12" s="84"/>
      <c r="U12" s="84"/>
      <c r="V12" s="84"/>
      <c r="X12" s="257" t="s">
        <v>173</v>
      </c>
      <c r="Y12">
        <v>370</v>
      </c>
      <c r="Z12" s="369" t="e">
        <f t="shared" si="0"/>
        <v>#N/A</v>
      </c>
      <c r="AB12">
        <v>473</v>
      </c>
      <c r="AC12" s="74" t="s">
        <v>94</v>
      </c>
      <c r="AD12" s="288">
        <v>14.36</v>
      </c>
      <c r="AE12" s="308">
        <v>15.38</v>
      </c>
      <c r="AF12" s="294">
        <v>0.11700000000000001</v>
      </c>
      <c r="AG12" s="31" t="s">
        <v>413</v>
      </c>
    </row>
    <row r="13" spans="1:33" ht="15.75" thickBot="1" x14ac:dyDescent="0.25">
      <c r="A13" s="17" t="s">
        <v>32</v>
      </c>
      <c r="B13" s="17"/>
      <c r="C13" s="17"/>
      <c r="D13" s="271">
        <v>7.87</v>
      </c>
      <c r="E13" s="17"/>
      <c r="F13" s="17"/>
      <c r="G13" s="17"/>
      <c r="H13" s="17"/>
      <c r="I13" s="17"/>
      <c r="J13" s="17"/>
      <c r="K13" s="267">
        <v>6.71</v>
      </c>
      <c r="L13" s="267">
        <v>8.09</v>
      </c>
      <c r="M13" s="272">
        <v>6.55</v>
      </c>
      <c r="N13" s="272">
        <v>3.37</v>
      </c>
      <c r="O13" s="272">
        <v>6.03</v>
      </c>
      <c r="P13" s="17"/>
      <c r="Q13" s="132"/>
      <c r="R13" s="280">
        <v>16.88</v>
      </c>
      <c r="S13" s="280">
        <v>16.75</v>
      </c>
      <c r="T13" s="132"/>
      <c r="U13" s="132"/>
      <c r="V13" s="132"/>
      <c r="X13" s="257" t="s">
        <v>174</v>
      </c>
      <c r="Y13">
        <v>372</v>
      </c>
      <c r="Z13" s="369" t="e">
        <f t="shared" si="0"/>
        <v>#N/A</v>
      </c>
      <c r="AB13">
        <v>464</v>
      </c>
      <c r="AC13" s="74" t="s">
        <v>95</v>
      </c>
      <c r="AD13" s="288">
        <v>16.28</v>
      </c>
      <c r="AE13" s="308">
        <v>17.43</v>
      </c>
      <c r="AF13" s="294">
        <v>0.24199999999999999</v>
      </c>
      <c r="AG13" s="31" t="s">
        <v>413</v>
      </c>
    </row>
    <row r="14" spans="1:33" ht="15.75" thickBot="1" x14ac:dyDescent="0.25">
      <c r="A14" s="17" t="s">
        <v>31</v>
      </c>
      <c r="B14" s="17"/>
      <c r="C14" s="17"/>
      <c r="D14" s="271"/>
      <c r="E14" s="17"/>
      <c r="F14" s="17"/>
      <c r="G14" s="17"/>
      <c r="H14" s="17"/>
      <c r="I14" s="17"/>
      <c r="J14" s="17"/>
      <c r="K14" s="267">
        <v>5.31</v>
      </c>
      <c r="L14" s="267">
        <v>6.41</v>
      </c>
      <c r="M14" s="272">
        <v>5.18</v>
      </c>
      <c r="N14" s="272">
        <v>2.41</v>
      </c>
      <c r="O14" s="272">
        <v>4.5999999999999996</v>
      </c>
      <c r="P14" s="17"/>
      <c r="Q14" s="84"/>
      <c r="R14" s="281"/>
      <c r="S14" s="281"/>
      <c r="T14" s="84"/>
      <c r="U14" s="84"/>
      <c r="V14" s="84"/>
      <c r="X14" s="257" t="s">
        <v>175</v>
      </c>
      <c r="Y14">
        <v>373</v>
      </c>
      <c r="Z14" s="369" t="e">
        <f t="shared" si="0"/>
        <v>#N/A</v>
      </c>
      <c r="AB14">
        <v>474</v>
      </c>
      <c r="AC14" s="74" t="s">
        <v>96</v>
      </c>
      <c r="AD14" s="288">
        <v>20.43</v>
      </c>
      <c r="AE14" s="308">
        <v>21.88</v>
      </c>
      <c r="AF14" s="294">
        <v>0.24199999999999999</v>
      </c>
      <c r="AG14" s="31" t="s">
        <v>413</v>
      </c>
    </row>
    <row r="15" spans="1:33" ht="15.75" thickBot="1" x14ac:dyDescent="0.25">
      <c r="A15" s="17" t="s">
        <v>33</v>
      </c>
      <c r="B15" s="17"/>
      <c r="C15" s="270"/>
      <c r="D15" s="271">
        <v>3.44</v>
      </c>
      <c r="E15" s="17"/>
      <c r="F15" s="17"/>
      <c r="G15" s="17"/>
      <c r="H15" s="17"/>
      <c r="I15" s="17"/>
      <c r="J15" s="17"/>
      <c r="K15" s="267">
        <v>3.03</v>
      </c>
      <c r="L15" s="267">
        <v>3.03</v>
      </c>
      <c r="M15" s="272">
        <v>2.23</v>
      </c>
      <c r="N15" s="272">
        <v>1.65</v>
      </c>
      <c r="O15" s="272">
        <v>2.57</v>
      </c>
      <c r="P15" s="17"/>
      <c r="Q15" s="132"/>
      <c r="R15" s="280">
        <v>3.03</v>
      </c>
      <c r="S15" s="280">
        <v>3.03</v>
      </c>
      <c r="T15" s="132"/>
      <c r="U15" s="132"/>
      <c r="V15" s="132"/>
      <c r="X15" s="257" t="s">
        <v>176</v>
      </c>
      <c r="Y15">
        <v>374</v>
      </c>
      <c r="Z15" s="369" t="e">
        <f t="shared" si="0"/>
        <v>#N/A</v>
      </c>
      <c r="AB15">
        <v>465</v>
      </c>
      <c r="AC15" s="74" t="s">
        <v>97</v>
      </c>
      <c r="AD15" s="288">
        <v>25.75</v>
      </c>
      <c r="AE15" s="308">
        <v>27.58</v>
      </c>
      <c r="AF15" s="294">
        <v>0.47099999999999997</v>
      </c>
      <c r="AG15" s="31" t="s">
        <v>413</v>
      </c>
    </row>
    <row r="16" spans="1:33" ht="15.75" thickBot="1" x14ac:dyDescent="0.25">
      <c r="A16" s="279" t="s">
        <v>385</v>
      </c>
      <c r="B16" s="17"/>
      <c r="C16" s="17"/>
      <c r="D16" s="271"/>
      <c r="E16" s="17"/>
      <c r="F16" s="17"/>
      <c r="G16" s="17"/>
      <c r="H16" s="17"/>
      <c r="I16" s="267">
        <v>0.86</v>
      </c>
      <c r="J16" s="267">
        <v>1.04</v>
      </c>
      <c r="K16" s="267">
        <v>0.86</v>
      </c>
      <c r="L16" s="267">
        <v>1.04</v>
      </c>
      <c r="M16" s="272"/>
      <c r="N16" s="272"/>
      <c r="O16" s="272"/>
      <c r="P16" s="17"/>
      <c r="Q16" s="132"/>
      <c r="R16" s="132"/>
      <c r="S16" s="132"/>
      <c r="T16" s="132"/>
      <c r="U16" s="132"/>
      <c r="V16" s="132"/>
      <c r="X16" s="257"/>
      <c r="Z16" s="369"/>
      <c r="AC16" s="74"/>
      <c r="AD16" s="288"/>
      <c r="AE16" s="308"/>
      <c r="AF16" s="294"/>
    </row>
    <row r="17" spans="1:33" ht="15.75" thickBo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84"/>
      <c r="R17" s="84"/>
      <c r="S17" s="84"/>
      <c r="T17" s="84"/>
      <c r="U17" s="84"/>
      <c r="V17" s="84"/>
      <c r="X17" s="257" t="s">
        <v>177</v>
      </c>
      <c r="Y17">
        <v>375</v>
      </c>
      <c r="Z17" s="369" t="e">
        <f t="shared" ref="Z17:Z28" si="1">VLOOKUP(Y17,$AB$9:$AF$123,5,FALSE)</f>
        <v>#N/A</v>
      </c>
      <c r="AB17">
        <v>475</v>
      </c>
      <c r="AC17" s="74" t="s">
        <v>98</v>
      </c>
      <c r="AD17" s="288">
        <v>28.53</v>
      </c>
      <c r="AE17" s="308">
        <v>30.55</v>
      </c>
      <c r="AF17" s="294">
        <v>0.47099999999999997</v>
      </c>
      <c r="AG17" s="31" t="s">
        <v>413</v>
      </c>
    </row>
    <row r="18" spans="1:33" ht="15.75" thickBot="1" x14ac:dyDescent="0.25">
      <c r="A18" s="163" t="s">
        <v>270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R18" s="165"/>
      <c r="S18" s="165"/>
      <c r="T18" s="165"/>
      <c r="U18" s="165"/>
      <c r="V18" s="84"/>
      <c r="X18" s="257" t="s">
        <v>178</v>
      </c>
      <c r="Y18">
        <v>376</v>
      </c>
      <c r="Z18" s="369" t="e">
        <f t="shared" si="1"/>
        <v>#N/A</v>
      </c>
      <c r="AB18">
        <v>487</v>
      </c>
      <c r="AC18" s="74" t="s">
        <v>99</v>
      </c>
      <c r="AD18" s="288">
        <v>10.33</v>
      </c>
      <c r="AE18" s="308">
        <v>11.06</v>
      </c>
      <c r="AF18" s="294">
        <v>0.11700000000000001</v>
      </c>
      <c r="AG18" s="31" t="s">
        <v>413</v>
      </c>
    </row>
    <row r="19" spans="1:33" ht="15.75" thickBot="1" x14ac:dyDescent="0.25">
      <c r="A19" s="163" t="s">
        <v>269</v>
      </c>
      <c r="B19" s="275">
        <v>1139</v>
      </c>
      <c r="C19" s="275">
        <v>1142</v>
      </c>
      <c r="D19" s="276">
        <v>0</v>
      </c>
      <c r="E19" s="275">
        <v>928.81408334398498</v>
      </c>
      <c r="F19" s="275">
        <v>4274.54</v>
      </c>
      <c r="G19" s="275">
        <v>1965.4240753799977</v>
      </c>
      <c r="H19" s="275">
        <v>39401.833373957787</v>
      </c>
      <c r="I19" s="275">
        <v>58355</v>
      </c>
      <c r="J19" s="275">
        <v>33725</v>
      </c>
      <c r="K19" s="275">
        <v>1294965</v>
      </c>
      <c r="L19" s="275">
        <v>208133</v>
      </c>
      <c r="M19" s="275">
        <v>4908868</v>
      </c>
      <c r="N19" s="275">
        <v>51873999</v>
      </c>
      <c r="O19" s="275">
        <v>0</v>
      </c>
      <c r="P19" s="275">
        <v>3573</v>
      </c>
      <c r="Q19" s="275">
        <v>171</v>
      </c>
      <c r="R19" s="275">
        <v>0</v>
      </c>
      <c r="S19" s="275">
        <v>5204</v>
      </c>
      <c r="T19" s="275">
        <v>5</v>
      </c>
      <c r="U19" s="275"/>
      <c r="V19" s="372">
        <v>8488</v>
      </c>
      <c r="X19" s="257" t="s">
        <v>179</v>
      </c>
      <c r="Y19">
        <v>377</v>
      </c>
      <c r="Z19" s="369" t="e">
        <f t="shared" si="1"/>
        <v>#N/A</v>
      </c>
      <c r="AB19">
        <v>488</v>
      </c>
      <c r="AC19" s="74" t="s">
        <v>100</v>
      </c>
      <c r="AD19" s="288">
        <v>15.62</v>
      </c>
      <c r="AE19" s="308">
        <v>16.73</v>
      </c>
      <c r="AF19" s="294">
        <v>0.24199999999999999</v>
      </c>
      <c r="AG19" s="31" t="s">
        <v>413</v>
      </c>
    </row>
    <row r="20" spans="1:33" ht="15.75" thickBot="1" x14ac:dyDescent="0.25">
      <c r="A20" s="17"/>
      <c r="P20" s="17"/>
      <c r="Q20" s="17"/>
      <c r="R20" s="17"/>
      <c r="S20" s="17"/>
      <c r="T20" s="17"/>
      <c r="U20" s="17"/>
      <c r="X20" s="257" t="s">
        <v>180</v>
      </c>
      <c r="Y20">
        <v>378</v>
      </c>
      <c r="Z20" s="369" t="e">
        <f t="shared" si="1"/>
        <v>#N/A</v>
      </c>
      <c r="AB20">
        <v>489</v>
      </c>
      <c r="AC20" s="74" t="s">
        <v>101</v>
      </c>
      <c r="AD20" s="288">
        <v>22.09</v>
      </c>
      <c r="AE20" s="308">
        <v>23.66</v>
      </c>
      <c r="AF20" s="294">
        <v>0.47099999999999997</v>
      </c>
      <c r="AG20" s="31" t="s">
        <v>413</v>
      </c>
    </row>
    <row r="21" spans="1:33" ht="15.75" thickBot="1" x14ac:dyDescent="0.25">
      <c r="P21" s="17"/>
      <c r="Q21" s="17"/>
      <c r="R21" s="17"/>
      <c r="S21" s="17"/>
      <c r="T21" s="17"/>
      <c r="U21" s="17"/>
      <c r="X21" s="257" t="s">
        <v>350</v>
      </c>
      <c r="Y21">
        <v>390</v>
      </c>
      <c r="Z21" s="369">
        <f t="shared" si="1"/>
        <v>7.0999999999999994E-2</v>
      </c>
      <c r="AB21">
        <v>428</v>
      </c>
      <c r="AC21" s="74" t="s">
        <v>102</v>
      </c>
      <c r="AD21" s="288">
        <v>9.01</v>
      </c>
      <c r="AE21" s="308">
        <v>9.65</v>
      </c>
      <c r="AF21" s="294">
        <v>0.11700000000000001</v>
      </c>
      <c r="AG21" s="31" t="s">
        <v>413</v>
      </c>
    </row>
    <row r="22" spans="1:33" ht="15.75" thickBot="1" x14ac:dyDescent="0.25">
      <c r="A22" s="2" t="s">
        <v>60</v>
      </c>
      <c r="B22" s="27" t="s">
        <v>233</v>
      </c>
      <c r="C22" s="3" t="s">
        <v>81</v>
      </c>
      <c r="D22" s="3" t="s">
        <v>82</v>
      </c>
      <c r="E22" s="3" t="s">
        <v>10</v>
      </c>
      <c r="F22" s="3" t="s">
        <v>10</v>
      </c>
      <c r="G22" s="27" t="s">
        <v>63</v>
      </c>
      <c r="H22" s="27" t="s">
        <v>63</v>
      </c>
      <c r="I22" s="3" t="s">
        <v>15</v>
      </c>
      <c r="J22" s="3" t="s">
        <v>15</v>
      </c>
      <c r="K22" s="3" t="s">
        <v>29</v>
      </c>
      <c r="L22" s="3" t="s">
        <v>29</v>
      </c>
      <c r="M22" s="3" t="s">
        <v>21</v>
      </c>
      <c r="N22" s="27" t="s">
        <v>64</v>
      </c>
      <c r="O22" s="27" t="s">
        <v>64</v>
      </c>
      <c r="P22" s="87" t="s">
        <v>226</v>
      </c>
      <c r="Q22" s="85" t="s">
        <v>227</v>
      </c>
      <c r="R22" s="87" t="s">
        <v>376</v>
      </c>
      <c r="S22" s="87" t="s">
        <v>376</v>
      </c>
      <c r="T22" s="87" t="s">
        <v>377</v>
      </c>
      <c r="U22" s="254" t="s">
        <v>500</v>
      </c>
      <c r="V22" s="88" t="s">
        <v>498</v>
      </c>
      <c r="X22" s="257" t="s">
        <v>351</v>
      </c>
      <c r="Y22">
        <v>391</v>
      </c>
      <c r="Z22" s="369">
        <f t="shared" si="1"/>
        <v>0.122</v>
      </c>
      <c r="AC22" s="68"/>
      <c r="AD22" s="289"/>
      <c r="AE22" s="309"/>
      <c r="AF22" s="294"/>
    </row>
    <row r="23" spans="1:33" ht="15.75" thickBot="1" x14ac:dyDescent="0.25">
      <c r="B23" s="3"/>
      <c r="C23" s="3"/>
      <c r="D23" s="3"/>
      <c r="E23" s="3" t="s">
        <v>35</v>
      </c>
      <c r="F23" s="3" t="s">
        <v>36</v>
      </c>
      <c r="G23" s="3" t="s">
        <v>35</v>
      </c>
      <c r="H23" s="3" t="s">
        <v>36</v>
      </c>
      <c r="I23" s="3" t="s">
        <v>16</v>
      </c>
      <c r="J23" s="3" t="s">
        <v>17</v>
      </c>
      <c r="K23" s="3" t="s">
        <v>16</v>
      </c>
      <c r="L23" s="3" t="s">
        <v>17</v>
      </c>
      <c r="M23" s="3"/>
      <c r="N23" s="3" t="s">
        <v>65</v>
      </c>
      <c r="O23" s="3" t="s">
        <v>16</v>
      </c>
      <c r="P23" s="87"/>
      <c r="Q23" s="17"/>
      <c r="R23" s="3" t="s">
        <v>16</v>
      </c>
      <c r="S23" s="3" t="s">
        <v>17</v>
      </c>
      <c r="T23" s="3"/>
      <c r="U23" s="17"/>
      <c r="X23" s="257" t="s">
        <v>352</v>
      </c>
      <c r="Y23">
        <v>392</v>
      </c>
      <c r="Z23" s="369">
        <f t="shared" si="1"/>
        <v>0.19400000000000001</v>
      </c>
      <c r="AC23" s="232" t="s">
        <v>103</v>
      </c>
      <c r="AD23" s="290"/>
      <c r="AE23" s="314"/>
      <c r="AF23" s="294"/>
    </row>
    <row r="24" spans="1:33" ht="15.75" thickBo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P24" s="17"/>
      <c r="Q24" s="17"/>
      <c r="R24" s="17"/>
      <c r="S24" s="17"/>
      <c r="T24" s="17"/>
      <c r="U24" s="17"/>
      <c r="X24" s="257" t="s">
        <v>353</v>
      </c>
      <c r="Y24">
        <v>393</v>
      </c>
      <c r="Z24" s="369">
        <f t="shared" si="1"/>
        <v>4.8000000000000001E-2</v>
      </c>
      <c r="AB24">
        <v>451</v>
      </c>
      <c r="AC24" s="233" t="s">
        <v>105</v>
      </c>
      <c r="AD24" s="291">
        <v>23.07</v>
      </c>
      <c r="AE24" s="296">
        <v>24.71</v>
      </c>
      <c r="AF24" s="294">
        <v>0.35</v>
      </c>
      <c r="AG24" s="31" t="s">
        <v>413</v>
      </c>
    </row>
    <row r="25" spans="1:33" ht="13.5" thickBot="1" x14ac:dyDescent="0.25">
      <c r="A25" s="17" t="s">
        <v>11</v>
      </c>
      <c r="B25" s="267">
        <f>0.53*365.25/12</f>
        <v>16.131875000000001</v>
      </c>
      <c r="C25" s="267">
        <f>0.53*365.25/12</f>
        <v>16.131875000000001</v>
      </c>
      <c r="D25" s="267">
        <f>C25</f>
        <v>16.131875000000001</v>
      </c>
      <c r="E25" s="267">
        <f>1.04*365.25/12</f>
        <v>31.655000000000001</v>
      </c>
      <c r="F25" s="267">
        <f>1.66*365.25/12</f>
        <v>50.526249999999997</v>
      </c>
      <c r="G25" s="267">
        <f>2.8*365.25/12</f>
        <v>85.224999999999994</v>
      </c>
      <c r="H25" s="267">
        <f>4.6*365.25/12</f>
        <v>140.01249999999999</v>
      </c>
      <c r="I25" s="267">
        <f>7.89*365.25/12</f>
        <v>240.15187499999999</v>
      </c>
      <c r="J25" s="267">
        <f>2.96*365.25/12</f>
        <v>90.095000000000013</v>
      </c>
      <c r="K25" s="267">
        <f>10.84*365.25/12</f>
        <v>329.9425</v>
      </c>
      <c r="L25" s="267">
        <f>6.58*365.25/12</f>
        <v>200.27874999999997</v>
      </c>
      <c r="M25" s="267">
        <f>49.28*365.25/12</f>
        <v>1499.96</v>
      </c>
      <c r="N25" s="267">
        <f>49.28*365.25/12</f>
        <v>1499.96</v>
      </c>
      <c r="O25" s="267">
        <f>10.84*365.25/12</f>
        <v>329.9425</v>
      </c>
      <c r="P25" s="267">
        <v>0</v>
      </c>
      <c r="Q25" s="267">
        <f>0.13*365.25/12</f>
        <v>3.9568750000000001</v>
      </c>
      <c r="R25" s="267">
        <f>7.89*365.25/12</f>
        <v>240.15187499999999</v>
      </c>
      <c r="S25" s="267">
        <f>2.96*365.25/12</f>
        <v>90.095000000000013</v>
      </c>
      <c r="T25" s="255"/>
      <c r="U25" s="267">
        <v>7.25</v>
      </c>
      <c r="V25" s="267">
        <v>5.68</v>
      </c>
      <c r="X25" s="257" t="s">
        <v>354</v>
      </c>
      <c r="Y25">
        <v>396</v>
      </c>
      <c r="Z25" s="369">
        <f t="shared" si="1"/>
        <v>7.0999999999999994E-2</v>
      </c>
      <c r="AD25" s="292"/>
      <c r="AE25" s="294"/>
      <c r="AF25" s="294"/>
    </row>
    <row r="26" spans="1:33" ht="15.75" thickBot="1" x14ac:dyDescent="0.25">
      <c r="A26" s="17"/>
      <c r="B26" s="37"/>
      <c r="C26" s="37"/>
      <c r="D26" s="268"/>
      <c r="E26" s="17"/>
      <c r="F26" s="269"/>
      <c r="G26" s="269"/>
      <c r="H26" s="269"/>
      <c r="I26" s="269"/>
      <c r="J26" s="17"/>
      <c r="K26" s="17"/>
      <c r="L26" s="17"/>
      <c r="M26" s="17"/>
      <c r="N26" s="17"/>
      <c r="O26" s="17"/>
      <c r="P26" s="269"/>
      <c r="Q26" s="269"/>
      <c r="R26" s="17"/>
      <c r="S26" s="17"/>
      <c r="T26" s="17"/>
      <c r="U26" s="17"/>
      <c r="X26" s="257" t="s">
        <v>355</v>
      </c>
      <c r="Y26">
        <v>397</v>
      </c>
      <c r="Z26" s="369">
        <f t="shared" si="1"/>
        <v>0.122</v>
      </c>
      <c r="AC26" s="236" t="s">
        <v>340</v>
      </c>
      <c r="AD26" s="293"/>
      <c r="AE26" s="295"/>
      <c r="AF26" s="294"/>
    </row>
    <row r="27" spans="1:33" ht="15.75" thickBot="1" x14ac:dyDescent="0.25">
      <c r="A27" s="89" t="s">
        <v>390</v>
      </c>
      <c r="B27" s="270">
        <f>0.06318+0.03234</f>
        <v>9.5519999999999994E-2</v>
      </c>
      <c r="C27" s="256"/>
      <c r="D27" s="270">
        <f>0.01244+0.03234</f>
        <v>4.478E-2</v>
      </c>
      <c r="E27" s="270">
        <f>0.08108+0.03271</f>
        <v>0.11379</v>
      </c>
      <c r="F27" s="270">
        <f>0.08108+0.03271</f>
        <v>0.11379</v>
      </c>
      <c r="G27" s="270">
        <f>0.05637+0.03251</f>
        <v>8.8880000000000001E-2</v>
      </c>
      <c r="H27" s="270">
        <f>0.05637+0.03251</f>
        <v>8.8880000000000001E-2</v>
      </c>
      <c r="I27" s="270">
        <v>3.209E-2</v>
      </c>
      <c r="J27" s="270">
        <v>3.27E-2</v>
      </c>
      <c r="K27" s="270">
        <v>3.1609999999999999E-2</v>
      </c>
      <c r="L27" s="270">
        <v>3.2480000000000002E-2</v>
      </c>
      <c r="M27" s="270">
        <v>3.1009999999999999E-2</v>
      </c>
      <c r="N27" s="270">
        <v>3.1009999999999999E-2</v>
      </c>
      <c r="O27" s="270">
        <v>3.1609999999999999E-2</v>
      </c>
      <c r="P27" s="270">
        <v>7.2639999999999996E-2</v>
      </c>
      <c r="Q27" s="270">
        <v>8.9550000000000005E-2</v>
      </c>
      <c r="R27" s="270">
        <v>3.1890000000000002E-2</v>
      </c>
      <c r="S27" s="270">
        <v>3.27E-2</v>
      </c>
      <c r="T27" s="271">
        <v>0.75</v>
      </c>
      <c r="U27" s="38"/>
      <c r="V27" s="38"/>
      <c r="X27" s="257" t="s">
        <v>356</v>
      </c>
      <c r="Y27">
        <v>398</v>
      </c>
      <c r="Z27" s="369">
        <f t="shared" si="1"/>
        <v>0.19400000000000001</v>
      </c>
      <c r="AB27">
        <v>390</v>
      </c>
      <c r="AC27" s="233" t="s">
        <v>341</v>
      </c>
      <c r="AD27" s="291">
        <v>15.88</v>
      </c>
      <c r="AE27" s="296">
        <v>10.23</v>
      </c>
      <c r="AF27" s="294">
        <v>7.0999999999999994E-2</v>
      </c>
    </row>
    <row r="28" spans="1:33" ht="15.75" thickBot="1" x14ac:dyDescent="0.25">
      <c r="A28" s="17" t="s">
        <v>32</v>
      </c>
      <c r="B28" s="38"/>
      <c r="C28" s="270">
        <f>0.28583+0.03234</f>
        <v>0.31816999999999995</v>
      </c>
      <c r="D28" s="38"/>
      <c r="E28" s="38"/>
      <c r="F28" s="38"/>
      <c r="G28" s="38"/>
      <c r="H28" s="38"/>
      <c r="I28" s="270"/>
      <c r="J28" s="38"/>
      <c r="K28" s="38"/>
      <c r="L28" s="38"/>
      <c r="M28" s="38"/>
      <c r="N28" s="38"/>
      <c r="O28" s="38"/>
      <c r="P28" s="17"/>
      <c r="Q28" s="17"/>
      <c r="R28" s="17"/>
      <c r="S28" s="17"/>
      <c r="T28" s="271">
        <v>1</v>
      </c>
      <c r="U28" s="17"/>
      <c r="X28" s="257" t="s">
        <v>357</v>
      </c>
      <c r="Y28">
        <v>399</v>
      </c>
      <c r="Z28" s="369">
        <f t="shared" si="1"/>
        <v>4.3999999999999997E-2</v>
      </c>
      <c r="AB28">
        <v>391</v>
      </c>
      <c r="AC28" s="233" t="s">
        <v>342</v>
      </c>
      <c r="AD28" s="291">
        <v>18.600000000000001</v>
      </c>
      <c r="AE28" s="296">
        <v>12.34</v>
      </c>
      <c r="AF28" s="294">
        <v>0.122</v>
      </c>
    </row>
    <row r="29" spans="1:33" ht="15.75" thickBot="1" x14ac:dyDescent="0.25">
      <c r="A29" s="17" t="s">
        <v>33</v>
      </c>
      <c r="B29" s="38"/>
      <c r="C29" s="270">
        <f>0.02658+0.03234</f>
        <v>5.892E-2</v>
      </c>
      <c r="D29" s="38"/>
      <c r="E29" s="38"/>
      <c r="F29" s="38"/>
      <c r="G29" s="38"/>
      <c r="H29" s="38"/>
      <c r="I29" s="270"/>
      <c r="J29" s="38"/>
      <c r="K29" s="38"/>
      <c r="L29" s="38"/>
      <c r="M29" s="38"/>
      <c r="N29" s="38"/>
      <c r="O29" s="38"/>
      <c r="P29" s="17"/>
      <c r="Q29" s="17"/>
      <c r="R29" s="17"/>
      <c r="S29" s="17"/>
      <c r="T29" s="17"/>
      <c r="U29" s="26"/>
      <c r="V29" s="26"/>
      <c r="X29" s="257"/>
      <c r="Z29" s="369"/>
      <c r="AB29">
        <v>392</v>
      </c>
      <c r="AC29" s="233" t="s">
        <v>343</v>
      </c>
      <c r="AD29" s="291">
        <v>27.95</v>
      </c>
      <c r="AE29" s="296">
        <v>15.67</v>
      </c>
      <c r="AF29" s="294">
        <v>0.19400000000000001</v>
      </c>
    </row>
    <row r="30" spans="1:33" ht="15.75" thickBot="1" x14ac:dyDescent="0.25">
      <c r="A30" s="17"/>
      <c r="B30" s="17"/>
      <c r="C30" s="38"/>
      <c r="D30" s="17"/>
      <c r="E30" s="17"/>
      <c r="F30" s="17"/>
      <c r="G30" s="17"/>
      <c r="H30" s="17"/>
      <c r="I30" s="269"/>
      <c r="J30" s="17"/>
      <c r="K30" s="17"/>
      <c r="L30" s="17"/>
      <c r="M30" s="17"/>
      <c r="N30" s="17"/>
      <c r="O30" s="17"/>
      <c r="P30" s="17"/>
      <c r="Q30" s="132"/>
      <c r="R30" s="132"/>
      <c r="S30" s="132"/>
      <c r="T30" s="132"/>
      <c r="U30" s="17"/>
      <c r="X30" s="257" t="s">
        <v>181</v>
      </c>
      <c r="Y30">
        <v>401</v>
      </c>
      <c r="Z30" s="369">
        <f t="shared" ref="Z30:Z61" si="2">VLOOKUP(Y30,$AB$9:$AF$123,5,FALSE)</f>
        <v>8.3000000000000004E-2</v>
      </c>
      <c r="AB30">
        <v>393</v>
      </c>
      <c r="AC30" s="233" t="s">
        <v>344</v>
      </c>
      <c r="AD30" s="291">
        <v>10.71</v>
      </c>
      <c r="AE30" s="296">
        <v>8.8000000000000007</v>
      </c>
      <c r="AF30" s="294">
        <v>4.8000000000000001E-2</v>
      </c>
    </row>
    <row r="31" spans="1:33" ht="15.75" thickBot="1" x14ac:dyDescent="0.25">
      <c r="A31" s="17" t="s">
        <v>13</v>
      </c>
      <c r="B31" s="17"/>
      <c r="C31" s="38"/>
      <c r="D31" s="17"/>
      <c r="E31" s="17"/>
      <c r="F31" s="39"/>
      <c r="G31" s="17"/>
      <c r="H31" s="39"/>
      <c r="I31" s="269"/>
      <c r="J31" s="17"/>
      <c r="K31" s="37"/>
      <c r="L31" s="37"/>
      <c r="M31" s="40"/>
      <c r="N31" s="40"/>
      <c r="O31" s="40"/>
      <c r="P31" s="17"/>
      <c r="Q31" s="84"/>
      <c r="R31" s="84"/>
      <c r="S31" s="84"/>
      <c r="T31" s="84"/>
      <c r="U31" s="26"/>
      <c r="V31" s="26"/>
      <c r="X31" s="257" t="s">
        <v>405</v>
      </c>
      <c r="Y31" t="s">
        <v>400</v>
      </c>
      <c r="Z31" s="369">
        <f t="shared" si="2"/>
        <v>2.1999999999999999E-2</v>
      </c>
      <c r="AB31" s="31" t="s">
        <v>400</v>
      </c>
      <c r="AC31" s="233" t="s">
        <v>395</v>
      </c>
      <c r="AD31" s="291"/>
      <c r="AE31" s="296">
        <v>8.9499999999999993</v>
      </c>
      <c r="AF31" s="294">
        <v>2.1999999999999999E-2</v>
      </c>
    </row>
    <row r="32" spans="1:33" ht="15.75" thickBot="1" x14ac:dyDescent="0.25">
      <c r="A32" s="60" t="s">
        <v>52</v>
      </c>
      <c r="B32" s="17"/>
      <c r="C32" s="17"/>
      <c r="D32" s="17"/>
      <c r="E32" s="17"/>
      <c r="F32" s="17"/>
      <c r="G32" s="17"/>
      <c r="H32" s="17"/>
      <c r="I32" s="271">
        <v>23.32</v>
      </c>
      <c r="J32" s="271">
        <v>23.22</v>
      </c>
      <c r="K32" s="37"/>
      <c r="L32" s="37"/>
      <c r="M32" s="40"/>
      <c r="N32" s="40"/>
      <c r="O32" s="40"/>
      <c r="P32" s="17"/>
      <c r="Q32" s="84"/>
      <c r="R32" s="84"/>
      <c r="S32" s="84"/>
      <c r="T32" s="84"/>
      <c r="U32" s="26"/>
      <c r="V32" s="26"/>
      <c r="X32" s="257" t="s">
        <v>406</v>
      </c>
      <c r="Y32" t="s">
        <v>401</v>
      </c>
      <c r="Z32" s="369">
        <f t="shared" si="2"/>
        <v>0.03</v>
      </c>
      <c r="AB32" s="31" t="s">
        <v>401</v>
      </c>
      <c r="AC32" s="233" t="s">
        <v>396</v>
      </c>
      <c r="AD32" s="291"/>
      <c r="AE32" s="296">
        <v>11.65</v>
      </c>
      <c r="AF32" s="294">
        <v>0.03</v>
      </c>
    </row>
    <row r="33" spans="1:33" ht="15.75" thickBot="1" x14ac:dyDescent="0.25">
      <c r="A33" s="60" t="s">
        <v>53</v>
      </c>
      <c r="B33" s="17"/>
      <c r="C33" s="17"/>
      <c r="D33" s="17"/>
      <c r="E33" s="17"/>
      <c r="F33" s="17"/>
      <c r="G33" s="17"/>
      <c r="H33" s="17"/>
      <c r="I33" s="271">
        <v>20.91</v>
      </c>
      <c r="J33" s="271">
        <v>20.78</v>
      </c>
      <c r="K33" s="37"/>
      <c r="L33" s="37"/>
      <c r="M33" s="40"/>
      <c r="N33" s="40"/>
      <c r="O33" s="40"/>
      <c r="P33" s="17"/>
      <c r="Q33" s="84"/>
      <c r="R33" s="84"/>
      <c r="S33" s="84"/>
      <c r="T33" s="84"/>
      <c r="U33" s="26"/>
      <c r="V33" s="26"/>
      <c r="X33" s="257" t="s">
        <v>407</v>
      </c>
      <c r="Y33" t="s">
        <v>402</v>
      </c>
      <c r="Z33" s="369">
        <f t="shared" si="2"/>
        <v>9.6000000000000002E-2</v>
      </c>
      <c r="AB33" s="31" t="s">
        <v>402</v>
      </c>
      <c r="AC33" s="233" t="s">
        <v>397</v>
      </c>
      <c r="AD33" s="291"/>
      <c r="AE33" s="296">
        <v>13.51</v>
      </c>
      <c r="AF33" s="294">
        <v>9.6000000000000002E-2</v>
      </c>
    </row>
    <row r="34" spans="1:33" ht="15.75" thickBot="1" x14ac:dyDescent="0.25">
      <c r="A34" s="17" t="s">
        <v>32</v>
      </c>
      <c r="B34" s="17"/>
      <c r="C34" s="17"/>
      <c r="D34" s="271">
        <v>8.9</v>
      </c>
      <c r="E34" s="17"/>
      <c r="F34" s="17"/>
      <c r="G34" s="17"/>
      <c r="H34" s="17"/>
      <c r="I34" s="269"/>
      <c r="J34" s="269"/>
      <c r="K34" s="267">
        <v>7.79</v>
      </c>
      <c r="L34" s="267">
        <v>8.17</v>
      </c>
      <c r="M34" s="272">
        <v>7.59</v>
      </c>
      <c r="N34" s="272">
        <v>3.88</v>
      </c>
      <c r="O34" s="272">
        <v>7.4</v>
      </c>
      <c r="P34" s="17"/>
      <c r="Q34" s="132"/>
      <c r="R34" s="280">
        <v>19.57</v>
      </c>
      <c r="S34" s="280">
        <v>19.420000000000002</v>
      </c>
      <c r="T34" s="132"/>
      <c r="U34" s="26"/>
      <c r="V34" s="26"/>
      <c r="X34" s="257" t="s">
        <v>408</v>
      </c>
      <c r="Y34" t="s">
        <v>403</v>
      </c>
      <c r="Z34" s="369">
        <f t="shared" si="2"/>
        <v>0.17499999999999999</v>
      </c>
      <c r="AB34" s="31" t="s">
        <v>403</v>
      </c>
      <c r="AC34" s="233" t="s">
        <v>398</v>
      </c>
      <c r="AD34" s="291"/>
      <c r="AE34" s="296">
        <v>15.96</v>
      </c>
      <c r="AF34" s="294">
        <v>0.17499999999999999</v>
      </c>
    </row>
    <row r="35" spans="1:33" ht="15.75" thickBot="1" x14ac:dyDescent="0.25">
      <c r="A35" s="17" t="s">
        <v>31</v>
      </c>
      <c r="B35" s="17"/>
      <c r="C35" s="17"/>
      <c r="D35" s="269"/>
      <c r="E35" s="17"/>
      <c r="F35" s="17"/>
      <c r="G35" s="17"/>
      <c r="H35" s="17"/>
      <c r="I35" s="269"/>
      <c r="J35" s="269"/>
      <c r="K35" s="267">
        <v>6.16</v>
      </c>
      <c r="L35" s="267">
        <v>6.47</v>
      </c>
      <c r="M35" s="272">
        <v>6.01</v>
      </c>
      <c r="N35" s="272">
        <v>2.76</v>
      </c>
      <c r="O35" s="272">
        <v>5.8</v>
      </c>
      <c r="P35" s="17"/>
      <c r="Q35" s="84"/>
      <c r="R35" s="281"/>
      <c r="S35" s="281"/>
      <c r="T35" s="84"/>
      <c r="U35" s="26"/>
      <c r="V35" s="26"/>
      <c r="X35" s="257" t="s">
        <v>409</v>
      </c>
      <c r="Y35" t="s">
        <v>404</v>
      </c>
      <c r="Z35" s="369">
        <f t="shared" si="2"/>
        <v>0.29699999999999999</v>
      </c>
      <c r="AB35" s="31" t="s">
        <v>404</v>
      </c>
      <c r="AC35" s="233" t="s">
        <v>399</v>
      </c>
      <c r="AD35" s="291"/>
      <c r="AE35" s="296">
        <v>22.87</v>
      </c>
      <c r="AF35" s="294">
        <v>0.29699999999999999</v>
      </c>
    </row>
    <row r="36" spans="1:33" ht="13.5" thickBot="1" x14ac:dyDescent="0.25">
      <c r="A36" s="191" t="s">
        <v>83</v>
      </c>
      <c r="B36" s="17"/>
      <c r="C36" s="270"/>
      <c r="D36" s="271">
        <v>3.44</v>
      </c>
      <c r="E36" s="17"/>
      <c r="F36" s="17"/>
      <c r="G36" s="17"/>
      <c r="H36" s="17"/>
      <c r="I36" s="269"/>
      <c r="J36" s="269"/>
      <c r="K36" s="267">
        <v>2.87</v>
      </c>
      <c r="L36" s="267">
        <v>2.65</v>
      </c>
      <c r="M36" s="272">
        <v>1.97</v>
      </c>
      <c r="N36" s="272">
        <v>1.65</v>
      </c>
      <c r="O36" s="272">
        <v>2.68</v>
      </c>
      <c r="P36" s="17"/>
      <c r="Q36" s="132"/>
      <c r="R36" s="280">
        <v>2.87</v>
      </c>
      <c r="S36" s="280">
        <v>3.03</v>
      </c>
      <c r="T36" s="132"/>
      <c r="U36" s="26"/>
      <c r="V36" s="26"/>
      <c r="X36" s="257" t="s">
        <v>182</v>
      </c>
      <c r="Y36">
        <v>404</v>
      </c>
      <c r="Z36" s="369">
        <f t="shared" si="2"/>
        <v>0.20699999999999999</v>
      </c>
      <c r="AD36" s="292"/>
      <c r="AE36" s="294"/>
      <c r="AF36" s="294"/>
    </row>
    <row r="37" spans="1:33" ht="15.75" thickBot="1" x14ac:dyDescent="0.25">
      <c r="A37" s="279" t="s">
        <v>385</v>
      </c>
      <c r="B37" s="17"/>
      <c r="C37" s="17"/>
      <c r="D37" s="271"/>
      <c r="E37" s="17"/>
      <c r="F37" s="17"/>
      <c r="G37" s="17"/>
      <c r="H37" s="17"/>
      <c r="I37" s="267">
        <v>0.99</v>
      </c>
      <c r="J37" s="267">
        <v>1.1599999999999999</v>
      </c>
      <c r="K37" s="267">
        <v>0.99</v>
      </c>
      <c r="L37" s="267">
        <v>1.1599999999999999</v>
      </c>
      <c r="M37" s="272"/>
      <c r="N37" s="272"/>
      <c r="O37" s="272"/>
      <c r="P37" s="17"/>
      <c r="Q37" s="132"/>
      <c r="R37" s="132"/>
      <c r="S37" s="132"/>
      <c r="T37" s="132"/>
      <c r="U37" s="132"/>
      <c r="V37" s="132"/>
      <c r="X37" s="257" t="s">
        <v>183</v>
      </c>
      <c r="Y37">
        <v>409</v>
      </c>
      <c r="Z37" s="369">
        <f t="shared" si="2"/>
        <v>0.47099999999999997</v>
      </c>
      <c r="AC37" s="68"/>
      <c r="AD37" s="289"/>
      <c r="AE37" s="259"/>
      <c r="AF37" s="294"/>
    </row>
    <row r="38" spans="1:33" ht="15.75" thickBot="1" x14ac:dyDescent="0.25">
      <c r="X38" s="257" t="s">
        <v>184</v>
      </c>
      <c r="Y38">
        <v>410</v>
      </c>
      <c r="Z38" s="369">
        <f t="shared" si="2"/>
        <v>0.06</v>
      </c>
      <c r="AC38" s="71" t="s">
        <v>107</v>
      </c>
      <c r="AD38" s="299"/>
      <c r="AE38" s="258"/>
      <c r="AF38" s="294"/>
    </row>
    <row r="39" spans="1:33" ht="15.75" thickBot="1" x14ac:dyDescent="0.25">
      <c r="X39" s="257" t="s">
        <v>185</v>
      </c>
      <c r="Y39">
        <v>411</v>
      </c>
      <c r="Z39" s="369">
        <f t="shared" si="2"/>
        <v>8.3000000000000004E-2</v>
      </c>
      <c r="AC39" s="72" t="s">
        <v>90</v>
      </c>
      <c r="AD39" s="300"/>
      <c r="AE39" s="260"/>
      <c r="AF39" s="294"/>
    </row>
    <row r="40" spans="1:33" ht="15.75" thickBot="1" x14ac:dyDescent="0.25">
      <c r="X40" s="257" t="s">
        <v>186</v>
      </c>
      <c r="Y40">
        <v>412</v>
      </c>
      <c r="Z40" s="369">
        <f t="shared" si="2"/>
        <v>8.3000000000000004E-2</v>
      </c>
      <c r="AB40">
        <v>467</v>
      </c>
      <c r="AC40" s="73" t="s">
        <v>108</v>
      </c>
      <c r="AD40" s="287">
        <v>12.84</v>
      </c>
      <c r="AE40" s="307">
        <v>13.75</v>
      </c>
      <c r="AF40" s="294">
        <v>8.3000000000000004E-2</v>
      </c>
      <c r="AG40" s="31" t="s">
        <v>413</v>
      </c>
    </row>
    <row r="41" spans="1:33" ht="15.75" thickBot="1" x14ac:dyDescent="0.25">
      <c r="X41" s="257" t="s">
        <v>187</v>
      </c>
      <c r="Y41">
        <v>413</v>
      </c>
      <c r="Z41" s="369">
        <f t="shared" si="2"/>
        <v>0.11700000000000001</v>
      </c>
      <c r="AB41">
        <v>468</v>
      </c>
      <c r="AC41" s="74" t="s">
        <v>109</v>
      </c>
      <c r="AD41" s="288">
        <v>13.07</v>
      </c>
      <c r="AE41" s="308">
        <v>14</v>
      </c>
      <c r="AF41" s="294">
        <v>0.11700000000000001</v>
      </c>
      <c r="AG41" s="31" t="s">
        <v>413</v>
      </c>
    </row>
    <row r="42" spans="1:33" ht="15.75" thickBot="1" x14ac:dyDescent="0.25">
      <c r="X42" s="257" t="s">
        <v>188</v>
      </c>
      <c r="Y42">
        <v>414</v>
      </c>
      <c r="Z42" s="369">
        <f t="shared" si="2"/>
        <v>8.3000000000000004E-2</v>
      </c>
      <c r="AB42">
        <v>401</v>
      </c>
      <c r="AC42" s="74" t="s">
        <v>110</v>
      </c>
      <c r="AD42" s="288">
        <v>17.43</v>
      </c>
      <c r="AE42" s="308">
        <v>18.670000000000002</v>
      </c>
      <c r="AF42" s="294">
        <v>8.3000000000000004E-2</v>
      </c>
      <c r="AG42" s="31" t="s">
        <v>413</v>
      </c>
    </row>
    <row r="43" spans="1:33" ht="15.75" thickBot="1" x14ac:dyDescent="0.25">
      <c r="A43" s="17"/>
      <c r="B43" s="17"/>
      <c r="C43" s="17"/>
      <c r="D43" s="17"/>
      <c r="E43" s="17"/>
      <c r="F43" s="17"/>
      <c r="G43" s="17"/>
      <c r="H43" s="17"/>
      <c r="I43" s="269"/>
      <c r="J43" s="17"/>
      <c r="K43" s="17"/>
      <c r="L43" s="17"/>
      <c r="M43" s="17"/>
      <c r="N43" s="17"/>
      <c r="O43" s="17"/>
      <c r="P43" s="17"/>
      <c r="Q43" s="84"/>
      <c r="R43" s="84"/>
      <c r="S43" s="84"/>
      <c r="T43" s="84"/>
      <c r="U43" s="26"/>
      <c r="V43" s="26"/>
      <c r="X43" s="257" t="s">
        <v>189</v>
      </c>
      <c r="Y43">
        <v>415</v>
      </c>
      <c r="Z43" s="369">
        <f t="shared" si="2"/>
        <v>0.11700000000000001</v>
      </c>
      <c r="AB43">
        <v>411</v>
      </c>
      <c r="AC43" s="74" t="s">
        <v>111</v>
      </c>
      <c r="AD43" s="288">
        <v>24.76</v>
      </c>
      <c r="AE43" s="308">
        <v>26.52</v>
      </c>
      <c r="AF43" s="294">
        <v>8.3000000000000004E-2</v>
      </c>
      <c r="AG43" s="31" t="s">
        <v>413</v>
      </c>
    </row>
    <row r="44" spans="1:33" ht="15.75" thickBo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X44" s="257" t="s">
        <v>190</v>
      </c>
      <c r="Y44">
        <v>420</v>
      </c>
      <c r="Z44" s="369">
        <f t="shared" si="2"/>
        <v>0.11700000000000001</v>
      </c>
      <c r="AB44">
        <v>420</v>
      </c>
      <c r="AC44" s="68" t="s">
        <v>112</v>
      </c>
      <c r="AD44" s="301">
        <v>17.79</v>
      </c>
      <c r="AE44" s="315">
        <v>19.05</v>
      </c>
      <c r="AF44" s="294">
        <v>0.11700000000000001</v>
      </c>
      <c r="AG44" s="31" t="s">
        <v>413</v>
      </c>
    </row>
    <row r="45" spans="1:33" ht="15.75" thickBot="1" x14ac:dyDescent="0.25">
      <c r="I45" s="29"/>
      <c r="M45" s="17"/>
      <c r="N45" s="17"/>
      <c r="O45" s="17"/>
      <c r="P45" s="17"/>
      <c r="Q45" s="17"/>
      <c r="R45" s="17"/>
      <c r="S45" s="17"/>
      <c r="T45" s="17"/>
      <c r="U45" s="17"/>
      <c r="X45" s="257" t="s">
        <v>191</v>
      </c>
      <c r="Y45">
        <v>421</v>
      </c>
      <c r="Z45" s="369">
        <f t="shared" si="2"/>
        <v>0.10199999999999999</v>
      </c>
      <c r="AB45">
        <v>430</v>
      </c>
      <c r="AC45" s="73" t="s">
        <v>113</v>
      </c>
      <c r="AD45" s="287">
        <v>25.25</v>
      </c>
      <c r="AE45" s="307">
        <v>27.04</v>
      </c>
      <c r="AF45" s="294">
        <v>0.11700000000000001</v>
      </c>
      <c r="AG45" s="31" t="s">
        <v>413</v>
      </c>
    </row>
    <row r="46" spans="1:33" ht="15.75" thickBo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M46" s="17"/>
      <c r="N46" s="17"/>
      <c r="O46" s="17"/>
      <c r="P46" s="386" t="s">
        <v>87</v>
      </c>
      <c r="Q46" s="387"/>
      <c r="R46" s="211"/>
      <c r="S46" s="211"/>
      <c r="T46" s="211"/>
      <c r="U46" s="17"/>
      <c r="X46" s="257" t="s">
        <v>192</v>
      </c>
      <c r="Y46">
        <v>422</v>
      </c>
      <c r="Z46" s="369">
        <f t="shared" si="2"/>
        <v>0.20100000000000001</v>
      </c>
      <c r="AB46">
        <v>414</v>
      </c>
      <c r="AC46" s="74" t="s">
        <v>114</v>
      </c>
      <c r="AD46" s="288">
        <v>34.32</v>
      </c>
      <c r="AE46" s="308">
        <v>36.75</v>
      </c>
      <c r="AF46" s="294">
        <v>8.3000000000000004E-2</v>
      </c>
      <c r="AG46" s="31" t="s">
        <v>413</v>
      </c>
    </row>
    <row r="47" spans="1:33" ht="15.75" thickBot="1" x14ac:dyDescent="0.25">
      <c r="K47" s="10"/>
      <c r="M47" s="17"/>
      <c r="N47" s="17"/>
      <c r="O47" s="17"/>
      <c r="P47" s="388" t="s">
        <v>325</v>
      </c>
      <c r="Q47" s="389"/>
      <c r="R47" s="211"/>
      <c r="S47" s="211"/>
      <c r="T47" s="211"/>
      <c r="U47" s="17"/>
      <c r="X47" s="257" t="s">
        <v>193</v>
      </c>
      <c r="Y47">
        <v>424</v>
      </c>
      <c r="Z47" s="369">
        <f t="shared" si="2"/>
        <v>0.32700000000000001</v>
      </c>
      <c r="AB47">
        <v>415</v>
      </c>
      <c r="AC47" s="74" t="s">
        <v>115</v>
      </c>
      <c r="AD47" s="288">
        <v>34.53</v>
      </c>
      <c r="AE47" s="308">
        <v>36.979999999999997</v>
      </c>
      <c r="AF47" s="294">
        <v>0.11700000000000001</v>
      </c>
      <c r="AG47" s="31" t="s">
        <v>413</v>
      </c>
    </row>
    <row r="48" spans="1:33" ht="15.75" thickBot="1" x14ac:dyDescent="0.25">
      <c r="A48" s="230" t="s">
        <v>339</v>
      </c>
      <c r="K48" s="10"/>
      <c r="M48" s="17"/>
      <c r="N48" s="17"/>
      <c r="O48" s="17"/>
      <c r="P48" s="390" t="s">
        <v>326</v>
      </c>
      <c r="Q48" s="391"/>
      <c r="R48" s="211"/>
      <c r="S48" s="211"/>
      <c r="T48" s="211"/>
      <c r="U48" s="17"/>
      <c r="X48" s="257" t="s">
        <v>194</v>
      </c>
      <c r="Y48">
        <v>425</v>
      </c>
      <c r="Z48" s="369">
        <f t="shared" si="2"/>
        <v>0.44700000000000001</v>
      </c>
      <c r="AB48">
        <v>476</v>
      </c>
      <c r="AC48" s="74" t="s">
        <v>116</v>
      </c>
      <c r="AD48" s="288">
        <v>19.600000000000001</v>
      </c>
      <c r="AE48" s="308">
        <v>20.99</v>
      </c>
      <c r="AF48" s="294">
        <v>8.3000000000000004E-2</v>
      </c>
      <c r="AG48" s="31" t="s">
        <v>413</v>
      </c>
    </row>
    <row r="49" spans="1:33" ht="15.75" thickBot="1" x14ac:dyDescent="0.25">
      <c r="B49" s="41" t="s">
        <v>242</v>
      </c>
      <c r="C49" s="41" t="s">
        <v>336</v>
      </c>
      <c r="D49" s="41" t="s">
        <v>240</v>
      </c>
      <c r="E49" s="41" t="s">
        <v>241</v>
      </c>
      <c r="F49" s="41" t="s">
        <v>56</v>
      </c>
      <c r="G49" s="41" t="s">
        <v>244</v>
      </c>
      <c r="H49" s="41" t="s">
        <v>243</v>
      </c>
      <c r="I49" s="41" t="s">
        <v>245</v>
      </c>
      <c r="K49" s="10"/>
      <c r="M49" s="17"/>
      <c r="N49" s="17"/>
      <c r="O49" s="17"/>
      <c r="P49" s="198"/>
      <c r="Q49" s="196"/>
      <c r="R49" s="10"/>
      <c r="S49" s="10"/>
      <c r="T49" s="10"/>
      <c r="U49" s="17"/>
      <c r="X49" s="257" t="s">
        <v>195</v>
      </c>
      <c r="Y49">
        <v>426</v>
      </c>
      <c r="Z49" s="369">
        <f t="shared" si="2"/>
        <v>8.3000000000000004E-2</v>
      </c>
      <c r="AB49">
        <v>492</v>
      </c>
      <c r="AC49" s="74" t="s">
        <v>117</v>
      </c>
      <c r="AD49" s="288">
        <v>17.36</v>
      </c>
      <c r="AE49" s="308">
        <v>18.59</v>
      </c>
      <c r="AF49" s="294">
        <v>8.3000000000000004E-2</v>
      </c>
      <c r="AG49" s="31" t="s">
        <v>413</v>
      </c>
    </row>
    <row r="50" spans="1:33" ht="15.75" thickBot="1" x14ac:dyDescent="0.25">
      <c r="B50" s="41"/>
      <c r="C50" s="41"/>
      <c r="D50" s="41"/>
      <c r="E50" s="162" t="s">
        <v>263</v>
      </c>
      <c r="F50" s="41" t="s">
        <v>0</v>
      </c>
      <c r="G50" s="41"/>
      <c r="H50" s="41"/>
      <c r="I50" s="41"/>
      <c r="K50" s="10"/>
      <c r="P50" s="198" t="s">
        <v>37</v>
      </c>
      <c r="Q50" s="196">
        <v>407</v>
      </c>
      <c r="R50" s="10"/>
      <c r="S50" s="10"/>
      <c r="T50" s="10"/>
      <c r="U50" s="17"/>
      <c r="X50" s="257" t="s">
        <v>196</v>
      </c>
      <c r="Y50">
        <v>428</v>
      </c>
      <c r="Z50" s="369">
        <f t="shared" si="2"/>
        <v>0.11700000000000001</v>
      </c>
      <c r="AB50">
        <v>477</v>
      </c>
      <c r="AC50" s="74" t="s">
        <v>118</v>
      </c>
      <c r="AD50" s="288">
        <v>24.09</v>
      </c>
      <c r="AE50" s="308">
        <v>25.8</v>
      </c>
      <c r="AF50" s="294">
        <v>0.11700000000000001</v>
      </c>
      <c r="AG50" s="31" t="s">
        <v>413</v>
      </c>
    </row>
    <row r="51" spans="1:33" ht="15.75" thickBot="1" x14ac:dyDescent="0.25">
      <c r="B51" s="41"/>
      <c r="K51" s="10"/>
      <c r="P51" s="198" t="s">
        <v>38</v>
      </c>
      <c r="Q51" s="196">
        <v>344</v>
      </c>
      <c r="R51" s="10"/>
      <c r="S51" s="10"/>
      <c r="T51" s="10"/>
      <c r="U51" s="17"/>
      <c r="X51" s="257" t="s">
        <v>197</v>
      </c>
      <c r="Y51">
        <v>430</v>
      </c>
      <c r="Z51" s="369">
        <f t="shared" si="2"/>
        <v>0.11700000000000001</v>
      </c>
      <c r="AB51">
        <v>497</v>
      </c>
      <c r="AC51" s="74" t="s">
        <v>119</v>
      </c>
      <c r="AD51" s="288">
        <v>17.14</v>
      </c>
      <c r="AE51" s="308">
        <v>18.36</v>
      </c>
      <c r="AF51" s="294">
        <v>0.11700000000000001</v>
      </c>
      <c r="AG51" s="31" t="s">
        <v>413</v>
      </c>
    </row>
    <row r="52" spans="1:33" ht="15.75" thickBot="1" x14ac:dyDescent="0.25">
      <c r="B52" s="41"/>
      <c r="C52" s="139"/>
      <c r="D52" s="139"/>
      <c r="E52" s="139"/>
      <c r="J52" s="46" t="s">
        <v>256</v>
      </c>
      <c r="P52" s="198" t="s">
        <v>39</v>
      </c>
      <c r="Q52" s="196">
        <v>347</v>
      </c>
      <c r="R52" s="10"/>
      <c r="S52" s="10"/>
      <c r="T52" s="10"/>
      <c r="U52" s="17"/>
      <c r="X52" s="257" t="s">
        <v>198</v>
      </c>
      <c r="Y52">
        <v>434</v>
      </c>
      <c r="Z52" s="369" t="e">
        <f t="shared" si="2"/>
        <v>#N/A</v>
      </c>
      <c r="AB52">
        <v>478</v>
      </c>
      <c r="AC52" s="74" t="s">
        <v>120</v>
      </c>
      <c r="AD52" s="288">
        <v>31.05</v>
      </c>
      <c r="AE52" s="308">
        <v>33.25</v>
      </c>
      <c r="AF52" s="294">
        <v>0.24199999999999999</v>
      </c>
      <c r="AG52" s="31" t="s">
        <v>413</v>
      </c>
    </row>
    <row r="53" spans="1:33" ht="15.75" thickBot="1" x14ac:dyDescent="0.25">
      <c r="A53" s="46" t="s">
        <v>319</v>
      </c>
      <c r="B53" s="283">
        <v>622371122.26445222</v>
      </c>
      <c r="C53" s="283">
        <f>-10698790-100146</f>
        <v>-10798936</v>
      </c>
      <c r="D53" s="283">
        <v>8236699.3231125614</v>
      </c>
      <c r="E53" s="283">
        <v>21175337.34799445</v>
      </c>
      <c r="F53" s="284">
        <v>5964632817.777586</v>
      </c>
      <c r="G53" s="155">
        <f>+C53/$F53</f>
        <v>-1.8104946825584594E-3</v>
      </c>
      <c r="H53" s="155">
        <f>+D53/$F53</f>
        <v>1.3809231137519617E-3</v>
      </c>
      <c r="I53" s="155">
        <f>+E53/$F53</f>
        <v>3.5501493545221034E-3</v>
      </c>
      <c r="J53" s="8">
        <f>+E53/B53</f>
        <v>3.4023650183108628E-2</v>
      </c>
      <c r="K53" s="139"/>
      <c r="P53" s="198" t="s">
        <v>40</v>
      </c>
      <c r="Q53" s="196">
        <v>301</v>
      </c>
      <c r="R53" s="10"/>
      <c r="S53" s="10"/>
      <c r="T53" s="10"/>
      <c r="X53" s="257" t="s">
        <v>199</v>
      </c>
      <c r="Y53">
        <v>440</v>
      </c>
      <c r="Z53" s="369">
        <f t="shared" si="2"/>
        <v>0.06</v>
      </c>
      <c r="AB53">
        <v>498</v>
      </c>
      <c r="AC53" s="74" t="s">
        <v>121</v>
      </c>
      <c r="AD53" s="288">
        <v>20.04</v>
      </c>
      <c r="AE53" s="308">
        <v>21.46</v>
      </c>
      <c r="AF53" s="294">
        <v>0.24199999999999999</v>
      </c>
      <c r="AG53" s="31" t="s">
        <v>413</v>
      </c>
    </row>
    <row r="54" spans="1:33" ht="15.75" thickBot="1" x14ac:dyDescent="0.25">
      <c r="A54" s="31" t="s">
        <v>335</v>
      </c>
      <c r="B54" s="283">
        <v>78992.598423821692</v>
      </c>
      <c r="C54" s="283">
        <f>-1499-14</f>
        <v>-1513</v>
      </c>
      <c r="D54" s="283">
        <v>976.9723337377103</v>
      </c>
      <c r="E54" s="283">
        <v>2526.7421640833354</v>
      </c>
      <c r="F54" s="284">
        <v>842740.50923666055</v>
      </c>
      <c r="G54" s="155">
        <f t="shared" ref="G54" si="3">+C54/$F54</f>
        <v>-1.79533318194286E-3</v>
      </c>
      <c r="H54" s="155">
        <f t="shared" ref="H54" si="4">+D54/$F54</f>
        <v>1.1592801378714245E-3</v>
      </c>
      <c r="I54" s="155">
        <f t="shared" ref="I54" si="5">+E54/$F54</f>
        <v>2.9982445799027909E-3</v>
      </c>
      <c r="J54" s="8">
        <f>+E54/B54</f>
        <v>3.198707492221637E-2</v>
      </c>
      <c r="K54" s="155">
        <f>(C54+C53)/($F$54+$F$53)</f>
        <v>-1.8104925406989172E-3</v>
      </c>
      <c r="L54" s="155">
        <f>(D54+D53)/($F$54+$F$53)</f>
        <v>1.3808918023313487E-3</v>
      </c>
      <c r="M54" s="155">
        <f>(E54+E53)/($F$54+$F$53)</f>
        <v>3.5500713871402462E-3</v>
      </c>
      <c r="N54" s="190">
        <f>(E54+E53)/(B54+B53)</f>
        <v>3.402339172967131E-2</v>
      </c>
      <c r="P54" s="198" t="s">
        <v>41</v>
      </c>
      <c r="Q54" s="196">
        <v>281</v>
      </c>
      <c r="R54" s="10"/>
      <c r="S54" s="10"/>
      <c r="T54" s="10"/>
      <c r="X54" s="257" t="s">
        <v>200</v>
      </c>
      <c r="Y54">
        <v>446</v>
      </c>
      <c r="Z54" s="369">
        <f t="shared" si="2"/>
        <v>0.20699999999999999</v>
      </c>
      <c r="AB54">
        <v>479</v>
      </c>
      <c r="AC54" s="74" t="s">
        <v>122</v>
      </c>
      <c r="AD54" s="288">
        <v>38.26</v>
      </c>
      <c r="AE54" s="308">
        <v>40.97</v>
      </c>
      <c r="AF54" s="294">
        <v>0.47099999999999997</v>
      </c>
      <c r="AG54" s="31" t="s">
        <v>413</v>
      </c>
    </row>
    <row r="55" spans="1:33" ht="15.75" thickBot="1" x14ac:dyDescent="0.25">
      <c r="A55" s="61" t="s">
        <v>77</v>
      </c>
      <c r="B55" s="283">
        <v>106157576</v>
      </c>
      <c r="C55" s="283">
        <f>-1327095.69-12793.62</f>
        <v>-1339889.31</v>
      </c>
      <c r="D55" s="283">
        <v>727219.49182267254</v>
      </c>
      <c r="E55" s="283">
        <v>6922308.9930070806</v>
      </c>
      <c r="F55" s="284">
        <v>719292202.42324889</v>
      </c>
      <c r="G55" s="155">
        <f t="shared" ref="G55:G63" si="6">+C55/$F55</f>
        <v>-1.8627885934061285E-3</v>
      </c>
      <c r="H55" s="155">
        <f t="shared" ref="H55:H63" si="7">+D55/$F55</f>
        <v>1.0110209583431005E-3</v>
      </c>
      <c r="I55" s="155">
        <f t="shared" ref="I55:I63" si="8">+E55/$F55</f>
        <v>9.6237787225918331E-3</v>
      </c>
      <c r="J55" s="8">
        <f t="shared" ref="J55:J63" si="9">+E55/B55</f>
        <v>6.5207866021800273E-2</v>
      </c>
      <c r="K55" s="139"/>
      <c r="P55" s="198" t="s">
        <v>42</v>
      </c>
      <c r="Q55" s="196">
        <v>257</v>
      </c>
      <c r="R55" s="10"/>
      <c r="S55" s="10"/>
      <c r="T55" s="10"/>
      <c r="X55" s="257" t="s">
        <v>201</v>
      </c>
      <c r="Y55">
        <v>447</v>
      </c>
      <c r="Z55" s="369">
        <f t="shared" si="2"/>
        <v>0.29399999999999998</v>
      </c>
      <c r="AB55">
        <v>499</v>
      </c>
      <c r="AC55" s="74" t="s">
        <v>123</v>
      </c>
      <c r="AD55" s="288">
        <v>24.29</v>
      </c>
      <c r="AE55" s="308">
        <v>26.01</v>
      </c>
      <c r="AF55" s="294">
        <v>0.47099999999999997</v>
      </c>
      <c r="AG55" s="31" t="s">
        <v>413</v>
      </c>
    </row>
    <row r="56" spans="1:33" ht="15.75" thickBot="1" x14ac:dyDescent="0.25">
      <c r="A56" s="61" t="s">
        <v>79</v>
      </c>
      <c r="B56" s="283">
        <v>130021020</v>
      </c>
      <c r="C56" s="283">
        <f>-1920999.35-18995.79</f>
        <v>-1939995.1400000001</v>
      </c>
      <c r="D56" s="283">
        <v>971145.52672022593</v>
      </c>
      <c r="E56" s="283">
        <v>11851590.562927697</v>
      </c>
      <c r="F56" s="284">
        <v>1020974633.8387816</v>
      </c>
      <c r="G56" s="155">
        <f t="shared" si="6"/>
        <v>-1.9001403910553353E-3</v>
      </c>
      <c r="H56" s="155">
        <f t="shared" si="7"/>
        <v>9.5119456892753316E-4</v>
      </c>
      <c r="I56" s="155">
        <f t="shared" si="8"/>
        <v>1.1608114609436162E-2</v>
      </c>
      <c r="J56" s="8">
        <f t="shared" si="9"/>
        <v>9.1151342782326256E-2</v>
      </c>
      <c r="K56" s="155">
        <f>(C56+C55)/($F$56+$F$55)</f>
        <v>-1.8847020362951687E-3</v>
      </c>
      <c r="L56" s="155">
        <f>(D56+D55)/($F$56+$F$55)</f>
        <v>9.759221879966785E-4</v>
      </c>
      <c r="M56" s="155">
        <f>(E56+E55)/($F$56+$F$55)</f>
        <v>1.0787943069845415E-2</v>
      </c>
      <c r="N56" s="190">
        <f>(E56+E55)/(B56+B55)</f>
        <v>7.9490266577479277E-2</v>
      </c>
      <c r="P56" s="198" t="s">
        <v>43</v>
      </c>
      <c r="Q56" s="196">
        <v>273</v>
      </c>
      <c r="R56" s="10"/>
      <c r="S56" s="10"/>
      <c r="T56" s="10"/>
      <c r="X56" s="257" t="s">
        <v>202</v>
      </c>
      <c r="Y56">
        <v>448</v>
      </c>
      <c r="Z56" s="369">
        <f t="shared" si="2"/>
        <v>0.45300000000000001</v>
      </c>
      <c r="AB56">
        <v>300</v>
      </c>
      <c r="AC56" s="74" t="s">
        <v>124</v>
      </c>
      <c r="AD56" s="288">
        <v>25.05</v>
      </c>
      <c r="AE56" s="308">
        <v>26.83</v>
      </c>
      <c r="AF56" s="294">
        <v>0.06</v>
      </c>
      <c r="AG56" s="31" t="s">
        <v>413</v>
      </c>
    </row>
    <row r="57" spans="1:33" ht="15.75" thickBot="1" x14ac:dyDescent="0.25">
      <c r="A57" t="s">
        <v>78</v>
      </c>
      <c r="B57" s="283">
        <v>933153</v>
      </c>
      <c r="C57" s="283">
        <f>-12716.71-117.02</f>
        <v>-12833.73</v>
      </c>
      <c r="D57" s="283">
        <v>7212.8414558415298</v>
      </c>
      <c r="E57" s="283">
        <v>70217.520733751444</v>
      </c>
      <c r="F57" s="284">
        <v>6910431</v>
      </c>
      <c r="G57" s="155">
        <f t="shared" si="6"/>
        <v>-1.8571533381926538E-3</v>
      </c>
      <c r="H57" s="155">
        <f t="shared" si="7"/>
        <v>1.0437614464049391E-3</v>
      </c>
      <c r="I57" s="155">
        <f t="shared" si="8"/>
        <v>1.0161091360835735E-2</v>
      </c>
      <c r="J57" s="8">
        <f t="shared" si="9"/>
        <v>7.5247596839694508E-2</v>
      </c>
      <c r="K57" s="139"/>
      <c r="P57" s="198" t="s">
        <v>44</v>
      </c>
      <c r="Q57" s="196">
        <v>299</v>
      </c>
      <c r="R57" s="10"/>
      <c r="S57" s="10"/>
      <c r="T57" s="10"/>
      <c r="X57" s="257" t="s">
        <v>203</v>
      </c>
      <c r="Y57">
        <v>450</v>
      </c>
      <c r="Z57" s="369">
        <f t="shared" si="2"/>
        <v>0.15</v>
      </c>
      <c r="AB57">
        <v>301</v>
      </c>
      <c r="AC57" s="74" t="s">
        <v>125</v>
      </c>
      <c r="AD57" s="288">
        <v>26.13</v>
      </c>
      <c r="AE57" s="308">
        <v>27.98</v>
      </c>
      <c r="AF57" s="294">
        <v>0.11700000000000001</v>
      </c>
      <c r="AG57" s="31" t="s">
        <v>413</v>
      </c>
    </row>
    <row r="58" spans="1:33" ht="15.75" thickBot="1" x14ac:dyDescent="0.25">
      <c r="A58" s="61" t="s">
        <v>80</v>
      </c>
      <c r="B58" s="283">
        <v>11970148</v>
      </c>
      <c r="C58" s="283">
        <f>-230297.16-2116.09</f>
        <v>-232413.25</v>
      </c>
      <c r="D58" s="283">
        <v>131843.49830992683</v>
      </c>
      <c r="E58" s="283">
        <v>1295964.6749332186</v>
      </c>
      <c r="F58" s="284">
        <v>125297830</v>
      </c>
      <c r="G58" s="155">
        <f t="shared" si="6"/>
        <v>-1.8548864732932724E-3</v>
      </c>
      <c r="H58" s="155">
        <f t="shared" si="7"/>
        <v>1.0522408752803368E-3</v>
      </c>
      <c r="I58" s="155">
        <f t="shared" si="8"/>
        <v>1.0343073578634352E-2</v>
      </c>
      <c r="J58" s="8">
        <f t="shared" si="9"/>
        <v>0.10826638692631191</v>
      </c>
      <c r="K58" s="155">
        <f>(C58+C57)/($F$58+$F$57)</f>
        <v>-1.8550049606960643E-3</v>
      </c>
      <c r="L58" s="155">
        <f>(D58+D57)/($F$58+$F$57)</f>
        <v>1.0517976616133567E-3</v>
      </c>
      <c r="M58" s="155">
        <f>(E58+E57)/($F$58+$F$57)</f>
        <v>1.0333561498603858E-2</v>
      </c>
      <c r="N58" s="190">
        <f>(E58+E57)/(B58+B57)</f>
        <v>0.10587850315721302</v>
      </c>
      <c r="P58" s="198" t="s">
        <v>45</v>
      </c>
      <c r="Q58" s="196">
        <v>322</v>
      </c>
      <c r="R58" s="10"/>
      <c r="S58" s="10"/>
      <c r="T58" s="10"/>
      <c r="X58" s="257" t="s">
        <v>204</v>
      </c>
      <c r="Y58">
        <v>451</v>
      </c>
      <c r="Z58" s="369">
        <f t="shared" si="2"/>
        <v>0.35</v>
      </c>
      <c r="AC58" s="77"/>
      <c r="AD58" s="302"/>
      <c r="AE58" s="318"/>
      <c r="AF58" s="294"/>
    </row>
    <row r="59" spans="1:33" ht="15.75" thickBot="1" x14ac:dyDescent="0.25">
      <c r="A59" s="137" t="s">
        <v>234</v>
      </c>
      <c r="B59" s="283">
        <v>170824744.77486438</v>
      </c>
      <c r="C59" s="283">
        <f>-3430804-33822</f>
        <v>-3464626</v>
      </c>
      <c r="D59" s="283">
        <v>132434</v>
      </c>
      <c r="E59" s="283">
        <v>2142299</v>
      </c>
      <c r="F59" s="284">
        <v>1808874932.0823293</v>
      </c>
      <c r="G59" s="155">
        <f t="shared" si="6"/>
        <v>-1.9153485619990396E-3</v>
      </c>
      <c r="H59" s="155">
        <f t="shared" si="7"/>
        <v>7.3213464154509267E-5</v>
      </c>
      <c r="I59" s="155">
        <f t="shared" si="8"/>
        <v>1.1843267668781509E-3</v>
      </c>
      <c r="J59" s="8">
        <f t="shared" si="9"/>
        <v>1.2540917317472988E-2</v>
      </c>
      <c r="K59" s="139"/>
      <c r="N59" s="50"/>
      <c r="O59" s="50"/>
      <c r="P59" s="198" t="s">
        <v>46</v>
      </c>
      <c r="Q59" s="196">
        <v>368</v>
      </c>
      <c r="R59" s="10"/>
      <c r="S59" s="10"/>
      <c r="T59" s="10"/>
      <c r="X59" s="257" t="s">
        <v>205</v>
      </c>
      <c r="Y59">
        <v>452</v>
      </c>
      <c r="Z59" s="369">
        <f t="shared" si="2"/>
        <v>1.08</v>
      </c>
      <c r="AC59" s="72" t="s">
        <v>103</v>
      </c>
      <c r="AD59" s="299"/>
      <c r="AE59" s="310"/>
      <c r="AF59" s="294"/>
    </row>
    <row r="60" spans="1:33" ht="15.75" thickBot="1" x14ac:dyDescent="0.25">
      <c r="A60" s="137" t="s">
        <v>235</v>
      </c>
      <c r="B60" s="283">
        <v>13525476.14787413</v>
      </c>
      <c r="C60" s="283">
        <f>-274252-2673</f>
        <v>-276925</v>
      </c>
      <c r="D60" s="283">
        <v>8359.8794964796161</v>
      </c>
      <c r="E60" s="283">
        <v>188395.29490889577</v>
      </c>
      <c r="F60" s="284">
        <v>144252626.72296855</v>
      </c>
      <c r="G60" s="155">
        <f t="shared" si="6"/>
        <v>-1.9197224084648626E-3</v>
      </c>
      <c r="H60" s="155">
        <f t="shared" si="7"/>
        <v>5.7953048664648814E-5</v>
      </c>
      <c r="I60" s="155">
        <f t="shared" si="8"/>
        <v>1.306009458466926E-3</v>
      </c>
      <c r="J60" s="8">
        <f t="shared" si="9"/>
        <v>1.3928921455272157E-2</v>
      </c>
      <c r="K60" s="139"/>
      <c r="P60" s="198" t="s">
        <v>47</v>
      </c>
      <c r="Q60" s="196">
        <v>386</v>
      </c>
      <c r="R60" s="10"/>
      <c r="S60" s="10"/>
      <c r="T60" s="10"/>
      <c r="X60" s="257" t="s">
        <v>206</v>
      </c>
      <c r="Y60">
        <v>454</v>
      </c>
      <c r="Z60" s="369">
        <f t="shared" si="2"/>
        <v>0.15</v>
      </c>
      <c r="AB60">
        <v>491</v>
      </c>
      <c r="AC60" s="74" t="s">
        <v>128</v>
      </c>
      <c r="AD60" s="288">
        <v>24.95</v>
      </c>
      <c r="AE60" s="308">
        <v>26.72</v>
      </c>
      <c r="AF60" s="294">
        <v>0.35</v>
      </c>
      <c r="AG60" s="31" t="s">
        <v>413</v>
      </c>
    </row>
    <row r="61" spans="1:33" ht="15.75" thickBot="1" x14ac:dyDescent="0.25">
      <c r="A61" t="s">
        <v>236</v>
      </c>
      <c r="B61" s="283">
        <v>137177941.5256215</v>
      </c>
      <c r="C61" s="283">
        <f>-3483838-34278</f>
        <v>-3518116</v>
      </c>
      <c r="D61" s="283">
        <v>82927.901310808084</v>
      </c>
      <c r="E61" s="283">
        <v>2774221.6003747243</v>
      </c>
      <c r="F61" s="284">
        <v>1838229887.4507535</v>
      </c>
      <c r="G61" s="155">
        <f t="shared" si="6"/>
        <v>-1.9138607330984607E-3</v>
      </c>
      <c r="H61" s="155">
        <f t="shared" si="7"/>
        <v>4.5112911000382015E-5</v>
      </c>
      <c r="I61" s="155">
        <f t="shared" si="8"/>
        <v>1.5091809894474072E-3</v>
      </c>
      <c r="J61" s="8">
        <f t="shared" si="9"/>
        <v>2.022352551380549E-2</v>
      </c>
      <c r="K61" s="139"/>
      <c r="P61" s="199" t="s">
        <v>48</v>
      </c>
      <c r="Q61" s="197">
        <v>415</v>
      </c>
      <c r="R61" s="10"/>
      <c r="S61" s="10"/>
      <c r="T61" s="10"/>
      <c r="X61" s="257" t="s">
        <v>207</v>
      </c>
      <c r="Y61">
        <v>455</v>
      </c>
      <c r="Z61" s="369">
        <f t="shared" si="2"/>
        <v>0.35</v>
      </c>
      <c r="AB61">
        <v>495</v>
      </c>
      <c r="AC61" s="233" t="s">
        <v>129</v>
      </c>
      <c r="AD61" s="291">
        <v>39.14</v>
      </c>
      <c r="AE61" s="296">
        <v>41.92</v>
      </c>
      <c r="AF61" s="294">
        <v>0.35</v>
      </c>
      <c r="AG61" s="31" t="s">
        <v>413</v>
      </c>
    </row>
    <row r="62" spans="1:33" ht="15.75" thickBot="1" x14ac:dyDescent="0.25">
      <c r="A62" t="s">
        <v>237</v>
      </c>
      <c r="B62" s="283">
        <v>260450405.54484951</v>
      </c>
      <c r="C62" s="283">
        <f>-7661525-74679</f>
        <v>-7736204</v>
      </c>
      <c r="D62" s="283">
        <v>90625.544077331113</v>
      </c>
      <c r="E62" s="283">
        <v>6743147.7943042293</v>
      </c>
      <c r="F62" s="284">
        <v>4029931451.0785847</v>
      </c>
      <c r="G62" s="155">
        <f t="shared" si="6"/>
        <v>-1.9196862512213342E-3</v>
      </c>
      <c r="H62" s="155">
        <f t="shared" si="7"/>
        <v>2.2488110573959211E-5</v>
      </c>
      <c r="I62" s="155">
        <f t="shared" si="8"/>
        <v>1.6732661277648953E-3</v>
      </c>
      <c r="J62" s="8">
        <f t="shared" si="9"/>
        <v>2.5890333248657815E-2</v>
      </c>
      <c r="K62" s="139"/>
      <c r="X62" s="257" t="s">
        <v>208</v>
      </c>
      <c r="Y62">
        <v>456</v>
      </c>
      <c r="Z62" s="369">
        <f t="shared" ref="Z62:Z82" si="10">VLOOKUP(Y62,$AB$9:$AF$123,5,FALSE)</f>
        <v>0.20699999999999999</v>
      </c>
      <c r="AC62" s="234"/>
      <c r="AD62" s="297"/>
      <c r="AE62" s="298"/>
      <c r="AF62" s="294"/>
    </row>
    <row r="63" spans="1:33" ht="15.75" thickBot="1" x14ac:dyDescent="0.25">
      <c r="A63" t="s">
        <v>238</v>
      </c>
      <c r="B63" s="283">
        <v>87356287.590021685</v>
      </c>
      <c r="C63" s="283">
        <f>-2764932-25963</f>
        <v>-2790895</v>
      </c>
      <c r="D63" s="283">
        <v>0</v>
      </c>
      <c r="E63" s="283">
        <v>2344016.0632968284</v>
      </c>
      <c r="F63" s="284">
        <v>1472660547.5768931</v>
      </c>
      <c r="G63" s="155">
        <f t="shared" si="6"/>
        <v>-1.8951380238929616E-3</v>
      </c>
      <c r="H63" s="155">
        <f t="shared" si="7"/>
        <v>0</v>
      </c>
      <c r="I63" s="155">
        <f t="shared" si="8"/>
        <v>1.591687960374615E-3</v>
      </c>
      <c r="J63" s="8">
        <f t="shared" si="9"/>
        <v>2.6832825981544742E-2</v>
      </c>
      <c r="K63" s="139"/>
      <c r="X63" s="257" t="s">
        <v>209</v>
      </c>
      <c r="Y63">
        <v>457</v>
      </c>
      <c r="Z63" s="369">
        <f t="shared" si="10"/>
        <v>0.29399999999999998</v>
      </c>
      <c r="AC63" s="236" t="s">
        <v>345</v>
      </c>
      <c r="AD63" s="237"/>
      <c r="AE63" s="295"/>
      <c r="AF63" s="294"/>
    </row>
    <row r="64" spans="1:33" ht="15.75" thickBot="1" x14ac:dyDescent="0.25">
      <c r="A64" t="s">
        <v>239</v>
      </c>
      <c r="B64" s="283">
        <v>33930760.626526691</v>
      </c>
      <c r="C64" s="283">
        <f>-1174142-11230</f>
        <v>-1185372</v>
      </c>
      <c r="D64" s="283">
        <v>0</v>
      </c>
      <c r="E64" s="283">
        <v>971000.58910872822</v>
      </c>
      <c r="F64" s="284">
        <v>622487993.88829482</v>
      </c>
      <c r="G64" s="155">
        <f>+C64/$F64</f>
        <v>-1.9042487752988124E-3</v>
      </c>
      <c r="H64" s="155">
        <f>+D64/$F64</f>
        <v>0</v>
      </c>
      <c r="I64" s="155">
        <f>+E64/$F64</f>
        <v>1.5598703888945588E-3</v>
      </c>
      <c r="J64" s="8">
        <f>+E64/B64</f>
        <v>2.8617118248437105E-2</v>
      </c>
      <c r="K64" s="139"/>
      <c r="X64" s="257" t="s">
        <v>411</v>
      </c>
      <c r="Y64" s="31" t="s">
        <v>410</v>
      </c>
      <c r="Z64" s="369">
        <f t="shared" si="10"/>
        <v>2.1999999999999999E-2</v>
      </c>
      <c r="AB64" s="31" t="s">
        <v>410</v>
      </c>
      <c r="AC64" s="233" t="s">
        <v>412</v>
      </c>
      <c r="AD64" s="291"/>
      <c r="AE64" s="296">
        <v>4.13</v>
      </c>
      <c r="AF64" s="294">
        <v>2.1999999999999999E-2</v>
      </c>
    </row>
    <row r="65" spans="1:32" ht="15.75" thickBot="1" x14ac:dyDescent="0.25">
      <c r="A65" s="83" t="s">
        <v>254</v>
      </c>
      <c r="B65" s="283">
        <v>31621500.796404809</v>
      </c>
      <c r="C65" s="283">
        <f>-226445-2034</f>
        <v>-228479</v>
      </c>
      <c r="D65" s="283">
        <v>0</v>
      </c>
      <c r="E65" s="283">
        <v>2332089.496734099</v>
      </c>
      <c r="F65" s="284">
        <v>123001492.00000034</v>
      </c>
      <c r="G65" s="157">
        <f>+C65/F65</f>
        <v>-1.8575303135347282E-3</v>
      </c>
      <c r="H65" s="157">
        <f t="shared" ref="H65:I69" si="11">+D65/$F65</f>
        <v>0</v>
      </c>
      <c r="I65" s="157">
        <f t="shared" si="11"/>
        <v>1.8959847224731978E-2</v>
      </c>
      <c r="J65" s="8">
        <f>+E65/B65</f>
        <v>7.375012058248813E-2</v>
      </c>
      <c r="K65" s="161" t="s">
        <v>261</v>
      </c>
      <c r="X65" s="257" t="s">
        <v>210</v>
      </c>
      <c r="Y65">
        <v>458</v>
      </c>
      <c r="Z65" s="369">
        <f t="shared" si="10"/>
        <v>0.45300000000000001</v>
      </c>
      <c r="AB65">
        <v>396</v>
      </c>
      <c r="AC65" s="233" t="s">
        <v>346</v>
      </c>
      <c r="AD65" s="291">
        <v>36.4</v>
      </c>
      <c r="AE65" s="296">
        <v>5.4</v>
      </c>
      <c r="AF65" s="294">
        <v>7.0999999999999994E-2</v>
      </c>
    </row>
    <row r="66" spans="1:32" ht="15.75" thickBot="1" x14ac:dyDescent="0.25">
      <c r="A66" s="31" t="s">
        <v>282</v>
      </c>
      <c r="B66" s="283">
        <v>104797.9033183568</v>
      </c>
      <c r="C66" s="283">
        <f>-2484-23</f>
        <v>-2507</v>
      </c>
      <c r="D66" s="283">
        <v>0</v>
      </c>
      <c r="E66" s="283">
        <v>10766.815167930636</v>
      </c>
      <c r="F66" s="284">
        <v>1329000</v>
      </c>
      <c r="G66" s="157">
        <f t="shared" ref="G66:G67" si="12">+C66/F66</f>
        <v>-1.8863807373965388E-3</v>
      </c>
      <c r="H66" s="157">
        <f t="shared" si="11"/>
        <v>0</v>
      </c>
      <c r="I66" s="157">
        <f t="shared" si="11"/>
        <v>8.1014410593909982E-3</v>
      </c>
      <c r="J66" s="8">
        <f t="shared" ref="J66:J67" si="13">+E66/B66</f>
        <v>0.10273884139860152</v>
      </c>
      <c r="K66" s="139"/>
      <c r="X66" s="257" t="s">
        <v>211</v>
      </c>
      <c r="Y66">
        <v>459</v>
      </c>
      <c r="Z66" s="369">
        <f t="shared" si="10"/>
        <v>1.08</v>
      </c>
      <c r="AB66">
        <v>397</v>
      </c>
      <c r="AC66" s="233" t="s">
        <v>347</v>
      </c>
      <c r="AD66" s="304">
        <v>39.119999999999997</v>
      </c>
      <c r="AE66" s="305">
        <v>7.52</v>
      </c>
      <c r="AF66" s="294">
        <v>0.122</v>
      </c>
    </row>
    <row r="67" spans="1:32" ht="15.75" thickBot="1" x14ac:dyDescent="0.25">
      <c r="A67" s="46" t="s">
        <v>285</v>
      </c>
      <c r="B67" s="283">
        <v>184345.65786652351</v>
      </c>
      <c r="C67" s="283">
        <f>-2923-27</f>
        <v>-2950</v>
      </c>
      <c r="D67" s="283">
        <v>0</v>
      </c>
      <c r="E67" s="283">
        <v>10011.122476012275</v>
      </c>
      <c r="F67" s="284">
        <v>1569682</v>
      </c>
      <c r="G67" s="157">
        <f t="shared" si="12"/>
        <v>-1.8793615522124864E-3</v>
      </c>
      <c r="H67" s="157">
        <f t="shared" si="11"/>
        <v>0</v>
      </c>
      <c r="I67" s="157">
        <f t="shared" si="11"/>
        <v>6.3778029409856741E-3</v>
      </c>
      <c r="J67" s="8">
        <f t="shared" si="13"/>
        <v>5.430625593178269E-2</v>
      </c>
      <c r="K67" s="139"/>
      <c r="X67" s="257" t="s">
        <v>212</v>
      </c>
      <c r="Y67">
        <v>460</v>
      </c>
      <c r="Z67" s="369">
        <f t="shared" si="10"/>
        <v>0.15</v>
      </c>
      <c r="AB67">
        <v>398</v>
      </c>
      <c r="AC67" s="73" t="s">
        <v>348</v>
      </c>
      <c r="AD67" s="287">
        <v>48.46</v>
      </c>
      <c r="AE67" s="306">
        <v>10.85</v>
      </c>
      <c r="AF67" s="294">
        <v>0.19400000000000001</v>
      </c>
    </row>
    <row r="68" spans="1:32" ht="15.75" thickBot="1" x14ac:dyDescent="0.25">
      <c r="A68" s="46" t="s">
        <v>393</v>
      </c>
      <c r="B68" s="266"/>
      <c r="C68" s="283">
        <v>0</v>
      </c>
      <c r="D68" s="283">
        <v>0</v>
      </c>
      <c r="E68" s="283">
        <v>0</v>
      </c>
      <c r="F68" s="284">
        <v>1E-4</v>
      </c>
      <c r="G68" s="157">
        <f>+C68/F68</f>
        <v>0</v>
      </c>
      <c r="H68" s="157">
        <f t="shared" si="11"/>
        <v>0</v>
      </c>
      <c r="I68" s="157">
        <f t="shared" si="11"/>
        <v>0</v>
      </c>
      <c r="J68" s="8"/>
      <c r="K68" s="139"/>
      <c r="X68" s="257" t="s">
        <v>213</v>
      </c>
      <c r="Y68">
        <v>461</v>
      </c>
      <c r="Z68" s="369">
        <f t="shared" si="10"/>
        <v>0.6</v>
      </c>
      <c r="AB68">
        <v>399</v>
      </c>
      <c r="AC68" s="233" t="s">
        <v>349</v>
      </c>
      <c r="AD68" s="291">
        <v>38.22</v>
      </c>
      <c r="AE68" s="296">
        <v>7.65</v>
      </c>
      <c r="AF68" s="294">
        <v>4.3999999999999997E-2</v>
      </c>
    </row>
    <row r="69" spans="1:32" ht="15.75" thickBot="1" x14ac:dyDescent="0.25">
      <c r="A69" s="46" t="s">
        <v>392</v>
      </c>
      <c r="B69" s="283">
        <v>59261.421172931179</v>
      </c>
      <c r="C69" s="283">
        <f>-677-6</f>
        <v>-683</v>
      </c>
      <c r="D69" s="283">
        <v>41</v>
      </c>
      <c r="E69" s="283">
        <v>396</v>
      </c>
      <c r="F69" s="284">
        <v>374708.75543567498</v>
      </c>
      <c r="G69" s="157">
        <f>+C69/F69</f>
        <v>-1.8227489752831473E-3</v>
      </c>
      <c r="H69" s="157">
        <f t="shared" si="11"/>
        <v>1.0941831330396638E-4</v>
      </c>
      <c r="I69" s="157">
        <f t="shared" si="11"/>
        <v>1.0568207821553825E-3</v>
      </c>
      <c r="J69" s="8"/>
      <c r="K69" s="139"/>
      <c r="X69" s="257" t="s">
        <v>424</v>
      </c>
      <c r="Y69" t="s">
        <v>414</v>
      </c>
      <c r="Z69" s="369">
        <f t="shared" si="10"/>
        <v>0.04</v>
      </c>
      <c r="AB69" s="31" t="s">
        <v>414</v>
      </c>
      <c r="AC69" s="233" t="s">
        <v>434</v>
      </c>
      <c r="AD69" s="291"/>
      <c r="AE69" s="296">
        <v>9.1199999999999992</v>
      </c>
      <c r="AF69" s="294">
        <v>0.04</v>
      </c>
    </row>
    <row r="70" spans="1:32" ht="15.75" thickBot="1" x14ac:dyDescent="0.25">
      <c r="A70" s="46" t="s">
        <v>394</v>
      </c>
      <c r="B70" s="283">
        <v>53220</v>
      </c>
      <c r="C70" s="283">
        <v>0</v>
      </c>
      <c r="D70" s="283">
        <v>0</v>
      </c>
      <c r="E70" s="283">
        <v>0</v>
      </c>
      <c r="F70" s="284">
        <v>1E-4</v>
      </c>
      <c r="G70" s="157">
        <f>+C70/F70</f>
        <v>0</v>
      </c>
      <c r="H70" s="157">
        <f t="shared" ref="H70:H71" si="14">+D70/$F70</f>
        <v>0</v>
      </c>
      <c r="I70" s="157">
        <f>+E70/$F70</f>
        <v>0</v>
      </c>
      <c r="J70" s="8"/>
      <c r="K70" s="139"/>
      <c r="X70" s="257" t="s">
        <v>425</v>
      </c>
      <c r="Y70" t="s">
        <v>415</v>
      </c>
      <c r="Z70" s="369">
        <f t="shared" si="10"/>
        <v>5.7000000000000002E-2</v>
      </c>
      <c r="AB70" s="31" t="s">
        <v>415</v>
      </c>
      <c r="AC70" s="233" t="s">
        <v>435</v>
      </c>
      <c r="AD70" s="291"/>
      <c r="AE70" s="296">
        <v>7.09</v>
      </c>
      <c r="AF70" s="294">
        <v>5.7000000000000002E-2</v>
      </c>
    </row>
    <row r="71" spans="1:32" ht="15.75" thickBot="1" x14ac:dyDescent="0.25">
      <c r="A71" s="46" t="s">
        <v>381</v>
      </c>
      <c r="B71" s="283">
        <v>2925</v>
      </c>
      <c r="C71" s="283">
        <v>-9</v>
      </c>
      <c r="D71" s="283">
        <v>0</v>
      </c>
      <c r="E71" s="283">
        <v>298</v>
      </c>
      <c r="F71" s="284">
        <v>4800.2869839000186</v>
      </c>
      <c r="G71" s="157">
        <f t="shared" ref="G71" si="15">+C71/F71</f>
        <v>-1.8748879036161088E-3</v>
      </c>
      <c r="H71" s="157">
        <f t="shared" si="14"/>
        <v>0</v>
      </c>
      <c r="I71" s="157">
        <f t="shared" ref="I71" si="16">+E71/$F71</f>
        <v>6.2079621697511161E-2</v>
      </c>
      <c r="J71" s="8"/>
      <c r="K71" s="139"/>
      <c r="X71" s="257" t="s">
        <v>426</v>
      </c>
      <c r="Y71" t="s">
        <v>416</v>
      </c>
      <c r="Z71" s="369">
        <f t="shared" si="10"/>
        <v>8.6999999999999994E-2</v>
      </c>
      <c r="AB71" s="31" t="s">
        <v>416</v>
      </c>
      <c r="AC71" s="233" t="s">
        <v>436</v>
      </c>
      <c r="AD71" s="291"/>
      <c r="AE71" s="296">
        <v>8.25</v>
      </c>
      <c r="AF71" s="294">
        <v>8.6999999999999994E-2</v>
      </c>
    </row>
    <row r="72" spans="1:32" ht="15.75" thickBot="1" x14ac:dyDescent="0.25">
      <c r="A72" s="31" t="s">
        <v>246</v>
      </c>
      <c r="B72" s="252">
        <f>SUM(B53:B71)</f>
        <v>1606823678.8513961</v>
      </c>
      <c r="C72" s="252">
        <f>SUM(C53:C71)</f>
        <v>-33532346.43</v>
      </c>
      <c r="D72" s="252">
        <f>SUM(D53:D71)</f>
        <v>10389485.978639586</v>
      </c>
      <c r="E72" s="252">
        <f>SUM(E53:E71)</f>
        <v>58834587.61813172</v>
      </c>
      <c r="F72" s="252">
        <f>SUM(F53:F71)</f>
        <v>17880667777.391296</v>
      </c>
      <c r="G72" s="155">
        <f>+C72/$F72</f>
        <v>-1.8753408344401447E-3</v>
      </c>
      <c r="H72" s="155">
        <f>+D72/$F72</f>
        <v>5.8104574773075739E-4</v>
      </c>
      <c r="I72" s="155">
        <f>+E72/$F72</f>
        <v>3.2904021455240863E-3</v>
      </c>
      <c r="J72" s="8">
        <f>+E72/B72</f>
        <v>3.6615459675194965E-2</v>
      </c>
      <c r="K72" s="139"/>
      <c r="X72" s="257" t="s">
        <v>427</v>
      </c>
      <c r="Y72" t="s">
        <v>417</v>
      </c>
      <c r="Z72" s="369">
        <f t="shared" si="10"/>
        <v>0.14299999999999999</v>
      </c>
      <c r="AB72" s="244" t="s">
        <v>417</v>
      </c>
      <c r="AC72" s="233" t="s">
        <v>438</v>
      </c>
      <c r="AD72" s="291"/>
      <c r="AE72" s="296">
        <v>10.029999999999999</v>
      </c>
      <c r="AF72" s="294">
        <v>0.14299999999999999</v>
      </c>
    </row>
    <row r="73" spans="1:32" ht="15.75" thickBot="1" x14ac:dyDescent="0.25">
      <c r="A73" s="31" t="s">
        <v>247</v>
      </c>
      <c r="B73" s="283">
        <v>-18175605.239999995</v>
      </c>
      <c r="C73" s="17"/>
      <c r="D73" s="17"/>
      <c r="E73" s="17"/>
      <c r="F73" s="17"/>
      <c r="G73" s="139"/>
      <c r="H73" s="139"/>
      <c r="I73" s="139"/>
      <c r="J73" s="139"/>
      <c r="K73" s="139"/>
      <c r="X73" s="257" t="s">
        <v>428</v>
      </c>
      <c r="Y73" t="s">
        <v>418</v>
      </c>
      <c r="Z73" s="369">
        <f t="shared" si="10"/>
        <v>0.22</v>
      </c>
      <c r="AB73" s="244" t="s">
        <v>418</v>
      </c>
      <c r="AC73" s="233" t="s">
        <v>439</v>
      </c>
      <c r="AD73" s="291"/>
      <c r="AE73" s="296">
        <v>14.55</v>
      </c>
      <c r="AF73" s="294">
        <v>0.22</v>
      </c>
    </row>
    <row r="74" spans="1:32" ht="15.75" thickBot="1" x14ac:dyDescent="0.25">
      <c r="A74" s="31" t="s">
        <v>246</v>
      </c>
      <c r="B74" s="156">
        <f>+B72+B73</f>
        <v>1588648073.6113961</v>
      </c>
      <c r="C74" s="17"/>
      <c r="D74" s="17"/>
      <c r="E74" s="17"/>
      <c r="F74" s="140" t="s">
        <v>248</v>
      </c>
      <c r="G74" s="155">
        <f>MIN(G53:G67)</f>
        <v>-1.9197224084648626E-3</v>
      </c>
      <c r="H74" s="155">
        <f>MIN(H53:H62)</f>
        <v>2.2488110573959211E-5</v>
      </c>
      <c r="I74" s="155">
        <f>MIN(I53:I72)</f>
        <v>0</v>
      </c>
      <c r="J74" s="368"/>
      <c r="K74" s="139"/>
      <c r="X74" s="257" t="s">
        <v>429</v>
      </c>
      <c r="Y74" t="s">
        <v>419</v>
      </c>
      <c r="Z74" s="369">
        <f t="shared" si="10"/>
        <v>0.38</v>
      </c>
      <c r="AB74" s="244" t="s">
        <v>419</v>
      </c>
      <c r="AC74" s="233" t="s">
        <v>437</v>
      </c>
      <c r="AD74" s="291"/>
      <c r="AE74" s="296">
        <v>21.95</v>
      </c>
      <c r="AF74" s="294">
        <v>0.38</v>
      </c>
    </row>
    <row r="75" spans="1:32" ht="15.75" thickBot="1" x14ac:dyDescent="0.25">
      <c r="F75" s="34" t="s">
        <v>249</v>
      </c>
      <c r="G75" s="155">
        <f>MAX(G53:G67)</f>
        <v>-1.79533318194286E-3</v>
      </c>
      <c r="H75" s="155">
        <f>MAX(H53:H64)</f>
        <v>1.3809231137519617E-3</v>
      </c>
      <c r="I75" s="155">
        <f>MAX(I53:I72)</f>
        <v>6.2079621697511161E-2</v>
      </c>
      <c r="J75" s="139"/>
      <c r="K75" s="139"/>
      <c r="X75" s="257" t="s">
        <v>430</v>
      </c>
      <c r="Y75" t="s">
        <v>420</v>
      </c>
      <c r="Z75" s="369">
        <f t="shared" si="10"/>
        <v>0.03</v>
      </c>
      <c r="AB75" s="244" t="s">
        <v>420</v>
      </c>
      <c r="AC75" s="233" t="s">
        <v>440</v>
      </c>
      <c r="AD75" s="291"/>
      <c r="AE75" s="296">
        <v>8.4499999999999993</v>
      </c>
      <c r="AF75" s="294">
        <v>0.03</v>
      </c>
    </row>
    <row r="76" spans="1:32" ht="15.75" thickBot="1" x14ac:dyDescent="0.25">
      <c r="A76" s="195"/>
      <c r="B76" s="10"/>
      <c r="C76" s="146"/>
      <c r="D76" s="146"/>
      <c r="E76" s="378"/>
      <c r="F76" s="34" t="s">
        <v>250</v>
      </c>
      <c r="G76" s="155">
        <f>+G75-G74</f>
        <v>1.2438922652200268E-4</v>
      </c>
      <c r="H76" s="155">
        <f t="shared" ref="H76:I76" si="17">+H75-H74</f>
        <v>1.3584350031780024E-3</v>
      </c>
      <c r="I76" s="155">
        <f t="shared" si="17"/>
        <v>6.2079621697511161E-2</v>
      </c>
      <c r="J76" s="139"/>
      <c r="K76" s="139"/>
      <c r="X76" s="257" t="s">
        <v>431</v>
      </c>
      <c r="Y76" t="s">
        <v>421</v>
      </c>
      <c r="Z76" s="369">
        <f t="shared" si="10"/>
        <v>9.6000000000000002E-2</v>
      </c>
      <c r="AB76" s="244" t="s">
        <v>421</v>
      </c>
      <c r="AC76" s="233" t="s">
        <v>441</v>
      </c>
      <c r="AD76" s="291"/>
      <c r="AE76" s="296">
        <v>10.31</v>
      </c>
      <c r="AF76" s="294">
        <v>9.6000000000000002E-2</v>
      </c>
    </row>
    <row r="77" spans="1:32" ht="15.75" thickBot="1" x14ac:dyDescent="0.25">
      <c r="A77" s="379"/>
      <c r="B77" s="10"/>
      <c r="C77" s="380"/>
      <c r="D77" s="380"/>
      <c r="E77" s="380"/>
      <c r="G77" s="8">
        <f t="shared" ref="G77:H77" si="18">(G75-G74)/G74</f>
        <v>-6.4795423532859914E-2</v>
      </c>
      <c r="H77" s="8">
        <f t="shared" si="18"/>
        <v>60.406809131890491</v>
      </c>
      <c r="I77" s="303" t="e">
        <f>(I75-I74)/I74</f>
        <v>#DIV/0!</v>
      </c>
      <c r="K77" s="139"/>
      <c r="X77" s="257" t="s">
        <v>432</v>
      </c>
      <c r="Y77" t="s">
        <v>422</v>
      </c>
      <c r="Z77" s="369">
        <f t="shared" si="10"/>
        <v>0.17499999999999999</v>
      </c>
      <c r="AB77" s="244" t="s">
        <v>422</v>
      </c>
      <c r="AC77" s="233" t="s">
        <v>442</v>
      </c>
      <c r="AD77" s="291"/>
      <c r="AE77" s="296">
        <v>12.75</v>
      </c>
      <c r="AF77" s="294">
        <v>0.17499999999999999</v>
      </c>
    </row>
    <row r="78" spans="1:32" ht="15.75" thickBot="1" x14ac:dyDescent="0.25">
      <c r="A78" s="195"/>
      <c r="B78" s="10"/>
      <c r="C78" s="378"/>
      <c r="D78" s="378"/>
      <c r="E78" s="229"/>
      <c r="K78" s="139"/>
      <c r="X78" s="257" t="s">
        <v>433</v>
      </c>
      <c r="Y78" t="s">
        <v>423</v>
      </c>
      <c r="Z78" s="369">
        <f t="shared" si="10"/>
        <v>0.29699999999999999</v>
      </c>
      <c r="AB78" s="244" t="s">
        <v>423</v>
      </c>
      <c r="AC78" s="233" t="s">
        <v>443</v>
      </c>
      <c r="AD78" s="291"/>
      <c r="AE78" s="296">
        <v>19.670000000000002</v>
      </c>
      <c r="AF78" s="294">
        <v>0.29699999999999999</v>
      </c>
    </row>
    <row r="79" spans="1:32" ht="15.75" thickBot="1" x14ac:dyDescent="0.25">
      <c r="A79" s="10"/>
      <c r="B79" s="10"/>
      <c r="C79" s="146"/>
      <c r="D79" s="146"/>
      <c r="E79" s="146"/>
      <c r="K79" s="139"/>
      <c r="X79" s="257" t="s">
        <v>444</v>
      </c>
      <c r="Y79" t="s">
        <v>448</v>
      </c>
      <c r="Z79" s="369">
        <f t="shared" si="10"/>
        <v>0</v>
      </c>
      <c r="AB79" s="244" t="s">
        <v>448</v>
      </c>
      <c r="AC79" s="233" t="s">
        <v>452</v>
      </c>
      <c r="AD79" s="291"/>
      <c r="AE79" s="296">
        <v>12.49</v>
      </c>
      <c r="AF79" s="294"/>
    </row>
    <row r="80" spans="1:32" ht="15.75" thickBot="1" x14ac:dyDescent="0.25">
      <c r="A80" s="195"/>
      <c r="B80" s="381"/>
      <c r="C80" s="378"/>
      <c r="D80" s="378"/>
      <c r="E80" s="378"/>
      <c r="F80" s="154"/>
      <c r="K80" s="139"/>
      <c r="X80" s="257" t="s">
        <v>445</v>
      </c>
      <c r="Y80" t="s">
        <v>449</v>
      </c>
      <c r="Z80" s="369">
        <f t="shared" si="10"/>
        <v>0</v>
      </c>
      <c r="AB80" s="244" t="s">
        <v>449</v>
      </c>
      <c r="AC80" s="233" t="s">
        <v>453</v>
      </c>
      <c r="AD80" s="291"/>
      <c r="AE80" s="296">
        <v>12</v>
      </c>
      <c r="AF80" s="294"/>
    </row>
    <row r="81" spans="1:32" ht="15.75" thickBot="1" x14ac:dyDescent="0.25">
      <c r="A81" s="31"/>
      <c r="B81" s="139"/>
      <c r="C81" s="156"/>
      <c r="D81" s="156"/>
      <c r="E81" s="156"/>
      <c r="F81" s="154"/>
      <c r="K81" s="139"/>
      <c r="X81" s="257" t="s">
        <v>446</v>
      </c>
      <c r="Y81" t="s">
        <v>450</v>
      </c>
      <c r="Z81" s="369">
        <f t="shared" si="10"/>
        <v>0</v>
      </c>
      <c r="AB81" s="244" t="s">
        <v>450</v>
      </c>
      <c r="AC81" s="233" t="s">
        <v>454</v>
      </c>
      <c r="AD81" s="291"/>
      <c r="AE81" s="296">
        <v>8.25</v>
      </c>
      <c r="AF81" s="294"/>
    </row>
    <row r="82" spans="1:32" ht="15.75" thickBot="1" x14ac:dyDescent="0.25">
      <c r="A82" s="31"/>
      <c r="B82" s="139"/>
      <c r="C82" s="156"/>
      <c r="D82" s="156"/>
      <c r="E82" s="156"/>
      <c r="F82" s="154"/>
      <c r="K82" s="139"/>
      <c r="X82" s="257" t="s">
        <v>447</v>
      </c>
      <c r="Y82" t="s">
        <v>451</v>
      </c>
      <c r="Z82" s="369">
        <f t="shared" si="10"/>
        <v>0</v>
      </c>
      <c r="AB82" s="244" t="s">
        <v>451</v>
      </c>
      <c r="AC82" s="233" t="s">
        <v>455</v>
      </c>
      <c r="AD82" s="291"/>
      <c r="AE82" s="296">
        <v>15.48</v>
      </c>
      <c r="AF82" s="294"/>
    </row>
    <row r="83" spans="1:32" ht="15.75" thickBot="1" x14ac:dyDescent="0.25">
      <c r="K83" s="139"/>
      <c r="X83" s="257"/>
      <c r="Z83" s="369"/>
      <c r="AB83" s="244" t="s">
        <v>499</v>
      </c>
      <c r="AC83" s="233" t="s">
        <v>464</v>
      </c>
      <c r="AD83" s="291"/>
      <c r="AE83" s="296">
        <v>6.12</v>
      </c>
      <c r="AF83" s="294"/>
    </row>
    <row r="84" spans="1:32" ht="15" x14ac:dyDescent="0.2">
      <c r="K84" s="139"/>
      <c r="X84" s="257" t="s">
        <v>214</v>
      </c>
      <c r="Y84">
        <v>462</v>
      </c>
      <c r="Z84" s="369">
        <f>VLOOKUP(Y84,$AB$9:$AF$123,5,FALSE)</f>
        <v>8.3000000000000004E-2</v>
      </c>
      <c r="AC84" s="234"/>
      <c r="AD84" s="235"/>
      <c r="AE84" s="261"/>
      <c r="AF84" s="294"/>
    </row>
    <row r="85" spans="1:32" ht="16.5" thickBot="1" x14ac:dyDescent="0.25">
      <c r="K85" s="139"/>
      <c r="X85" s="257" t="s">
        <v>215</v>
      </c>
      <c r="Y85">
        <v>463</v>
      </c>
      <c r="Z85" s="369">
        <f>VLOOKUP(Y85,$AB$9:$AF$123,5,FALSE)</f>
        <v>0.11700000000000001</v>
      </c>
      <c r="AC85" s="79" t="s">
        <v>152</v>
      </c>
      <c r="AD85" s="67"/>
      <c r="AE85" s="262"/>
      <c r="AF85" s="294"/>
    </row>
    <row r="86" spans="1:32" ht="15.75" thickBot="1" x14ac:dyDescent="0.25">
      <c r="K86" s="139"/>
      <c r="X86" s="257" t="s">
        <v>216</v>
      </c>
      <c r="Y86">
        <v>464</v>
      </c>
      <c r="Z86" s="369">
        <f>VLOOKUP(Y86,$AB$9:$AF$123,5,FALSE)</f>
        <v>0.24199999999999999</v>
      </c>
      <c r="AC86" s="62"/>
      <c r="AD86" s="75" t="s">
        <v>88</v>
      </c>
      <c r="AE86" s="263" t="s">
        <v>88</v>
      </c>
      <c r="AF86" s="294"/>
    </row>
    <row r="87" spans="1:32" ht="15.75" thickBot="1" x14ac:dyDescent="0.25">
      <c r="K87" s="139"/>
      <c r="X87" s="257" t="s">
        <v>217</v>
      </c>
      <c r="Y87">
        <v>465</v>
      </c>
      <c r="Z87" s="369">
        <f>VLOOKUP(Y87,$AB$9:$AF$123,5,FALSE)</f>
        <v>0.47099999999999997</v>
      </c>
      <c r="AC87" s="63"/>
      <c r="AD87" s="70" t="s">
        <v>1</v>
      </c>
      <c r="AE87" s="258" t="s">
        <v>1</v>
      </c>
      <c r="AF87" s="294"/>
    </row>
    <row r="88" spans="1:32" ht="15.75" thickBot="1" x14ac:dyDescent="0.25">
      <c r="AB88">
        <v>470</v>
      </c>
      <c r="AC88" s="239" t="s">
        <v>156</v>
      </c>
      <c r="AD88" s="304">
        <v>62.05</v>
      </c>
      <c r="AE88" s="308">
        <v>66.45</v>
      </c>
      <c r="AF88" s="294">
        <v>1.08</v>
      </c>
    </row>
    <row r="89" spans="1:32" ht="15.75" thickBot="1" x14ac:dyDescent="0.25">
      <c r="AB89">
        <v>490</v>
      </c>
      <c r="AC89" s="238" t="s">
        <v>126</v>
      </c>
      <c r="AD89" s="307">
        <v>17.79</v>
      </c>
      <c r="AE89" s="308">
        <v>19.05</v>
      </c>
      <c r="AF89" s="294">
        <v>0.15</v>
      </c>
    </row>
    <row r="90" spans="1:32" ht="15.75" thickBot="1" x14ac:dyDescent="0.25">
      <c r="AB90">
        <v>494</v>
      </c>
      <c r="AC90" s="231" t="s">
        <v>127</v>
      </c>
      <c r="AD90" s="308">
        <v>31.76</v>
      </c>
      <c r="AE90" s="308">
        <v>34.01</v>
      </c>
      <c r="AF90" s="294">
        <v>0.15</v>
      </c>
    </row>
    <row r="91" spans="1:32" ht="15.75" thickBot="1" x14ac:dyDescent="0.25">
      <c r="AB91">
        <v>493</v>
      </c>
      <c r="AC91" s="240" t="s">
        <v>130</v>
      </c>
      <c r="AD91" s="315">
        <v>51.71</v>
      </c>
      <c r="AE91" s="308">
        <v>55.38</v>
      </c>
      <c r="AF91" s="294">
        <v>1.08</v>
      </c>
    </row>
    <row r="92" spans="1:32" ht="15.75" thickBot="1" x14ac:dyDescent="0.25">
      <c r="AB92">
        <v>496</v>
      </c>
      <c r="AC92" s="241" t="s">
        <v>131</v>
      </c>
      <c r="AD92" s="316">
        <v>65.67</v>
      </c>
      <c r="AE92" s="308">
        <v>70.33</v>
      </c>
      <c r="AF92" s="294">
        <v>1.08</v>
      </c>
    </row>
    <row r="93" spans="1:32" ht="15.75" thickBot="1" x14ac:dyDescent="0.25">
      <c r="AC93" s="66"/>
      <c r="AD93" s="312"/>
      <c r="AE93" s="313"/>
      <c r="AF93" s="294"/>
    </row>
    <row r="94" spans="1:32" ht="15.75" thickBot="1" x14ac:dyDescent="0.25">
      <c r="AC94" s="78" t="s">
        <v>132</v>
      </c>
      <c r="AD94" s="300"/>
      <c r="AE94" s="311"/>
      <c r="AF94" s="294"/>
    </row>
    <row r="95" spans="1:32" ht="15.75" thickBot="1" x14ac:dyDescent="0.25">
      <c r="B95" s="156"/>
      <c r="C95" s="156"/>
      <c r="D95" s="156"/>
      <c r="E95" s="156"/>
      <c r="F95" s="139"/>
      <c r="AB95">
        <v>440</v>
      </c>
      <c r="AC95" s="64" t="s">
        <v>157</v>
      </c>
      <c r="AD95" s="287">
        <v>15.88</v>
      </c>
      <c r="AE95" s="307">
        <v>17.02</v>
      </c>
      <c r="AF95" s="294">
        <v>0.06</v>
      </c>
    </row>
    <row r="96" spans="1:32" ht="15.75" thickBot="1" x14ac:dyDescent="0.25">
      <c r="B96" s="156"/>
      <c r="C96" s="156"/>
      <c r="D96" s="156"/>
      <c r="E96" s="156"/>
      <c r="F96" s="139"/>
      <c r="AB96">
        <v>410</v>
      </c>
      <c r="AC96" s="65" t="s">
        <v>158</v>
      </c>
      <c r="AD96" s="288">
        <v>23.33</v>
      </c>
      <c r="AE96" s="308">
        <v>24.98</v>
      </c>
      <c r="AF96" s="294">
        <v>0.06</v>
      </c>
    </row>
    <row r="97" spans="2:32" ht="15.75" thickBot="1" x14ac:dyDescent="0.25">
      <c r="B97" s="156"/>
      <c r="C97" s="156"/>
      <c r="D97" s="156"/>
      <c r="E97" s="156"/>
      <c r="F97" s="139"/>
      <c r="AB97">
        <v>466</v>
      </c>
      <c r="AC97" s="65" t="s">
        <v>159</v>
      </c>
      <c r="AD97" s="288">
        <v>11.37</v>
      </c>
      <c r="AE97" s="308">
        <v>12.18</v>
      </c>
      <c r="AF97" s="294">
        <v>0.06</v>
      </c>
    </row>
    <row r="98" spans="2:32" ht="15.75" thickBot="1" x14ac:dyDescent="0.25">
      <c r="B98" s="156"/>
      <c r="C98" s="156"/>
      <c r="D98" s="156"/>
      <c r="E98" s="156"/>
      <c r="F98" s="139"/>
      <c r="AB98">
        <v>412</v>
      </c>
      <c r="AC98" s="62" t="s">
        <v>160</v>
      </c>
      <c r="AD98" s="301">
        <v>34.409999999999997</v>
      </c>
      <c r="AE98" s="315">
        <v>36.74</v>
      </c>
      <c r="AF98" s="294">
        <v>8.3000000000000004E-2</v>
      </c>
    </row>
    <row r="99" spans="2:32" ht="15.75" thickBot="1" x14ac:dyDescent="0.25">
      <c r="B99" s="156"/>
      <c r="C99" s="156"/>
      <c r="D99" s="156"/>
      <c r="E99" s="156"/>
      <c r="F99" s="139"/>
      <c r="AB99">
        <v>413</v>
      </c>
      <c r="AC99" s="76" t="s">
        <v>161</v>
      </c>
      <c r="AD99" s="317">
        <v>34.54</v>
      </c>
      <c r="AE99" s="316">
        <v>36.99</v>
      </c>
      <c r="AF99" s="294">
        <v>0.11700000000000001</v>
      </c>
    </row>
    <row r="100" spans="2:32" ht="15.75" thickBot="1" x14ac:dyDescent="0.25">
      <c r="B100" s="156"/>
      <c r="C100" s="156"/>
      <c r="D100" s="156"/>
      <c r="E100" s="156"/>
      <c r="F100" s="139"/>
      <c r="AC100" s="80"/>
      <c r="AD100" s="317"/>
      <c r="AE100" s="316"/>
    </row>
    <row r="101" spans="2:32" ht="15.75" thickBot="1" x14ac:dyDescent="0.25">
      <c r="B101" s="156"/>
      <c r="C101" s="156"/>
      <c r="D101" s="156"/>
      <c r="E101" s="156"/>
      <c r="F101" s="139"/>
      <c r="AB101">
        <v>461</v>
      </c>
      <c r="AC101" s="65" t="s">
        <v>133</v>
      </c>
      <c r="AD101" s="317">
        <v>9.0299999999999994</v>
      </c>
      <c r="AE101" s="316">
        <v>9.67</v>
      </c>
      <c r="AF101" s="294">
        <v>0.6</v>
      </c>
    </row>
    <row r="102" spans="2:32" ht="15.75" thickBot="1" x14ac:dyDescent="0.25">
      <c r="B102" s="156"/>
      <c r="C102" s="156"/>
      <c r="D102" s="156"/>
      <c r="E102" s="156"/>
      <c r="F102" s="139"/>
      <c r="AB102">
        <v>471</v>
      </c>
      <c r="AC102" s="65" t="s">
        <v>134</v>
      </c>
      <c r="AD102" s="317">
        <v>12.35</v>
      </c>
      <c r="AE102" s="316">
        <v>13.23</v>
      </c>
      <c r="AF102" s="294">
        <v>0.6</v>
      </c>
    </row>
    <row r="103" spans="2:32" ht="15.75" thickBot="1" x14ac:dyDescent="0.25">
      <c r="B103" s="156"/>
      <c r="C103" s="156"/>
      <c r="D103" s="156"/>
      <c r="E103" s="156"/>
      <c r="F103" s="139"/>
      <c r="AB103">
        <v>409</v>
      </c>
      <c r="AC103" s="65" t="s">
        <v>135</v>
      </c>
      <c r="AD103" s="317">
        <v>14.21</v>
      </c>
      <c r="AE103" s="316">
        <v>15.22</v>
      </c>
      <c r="AF103" s="294">
        <v>0.47099999999999997</v>
      </c>
    </row>
    <row r="104" spans="2:32" ht="15.75" thickBot="1" x14ac:dyDescent="0.25">
      <c r="B104" s="156"/>
      <c r="C104" s="156"/>
      <c r="D104" s="156"/>
      <c r="E104" s="156"/>
      <c r="F104" s="139"/>
      <c r="AB104">
        <v>426</v>
      </c>
      <c r="AC104" s="65" t="s">
        <v>136</v>
      </c>
      <c r="AD104" s="317">
        <v>8.7799999999999994</v>
      </c>
      <c r="AE104" s="316">
        <v>9.4</v>
      </c>
      <c r="AF104" s="294">
        <v>8.3000000000000004E-2</v>
      </c>
    </row>
    <row r="105" spans="2:32" ht="15.75" thickBot="1" x14ac:dyDescent="0.25">
      <c r="B105" s="156"/>
      <c r="C105" s="156"/>
      <c r="D105" s="156"/>
      <c r="E105" s="156"/>
      <c r="F105" s="139"/>
      <c r="AB105">
        <v>450</v>
      </c>
      <c r="AC105" s="264" t="s">
        <v>104</v>
      </c>
      <c r="AD105" s="317">
        <v>16.47</v>
      </c>
      <c r="AE105" s="316">
        <v>17.64</v>
      </c>
      <c r="AF105" s="294">
        <v>0.15</v>
      </c>
    </row>
    <row r="106" spans="2:32" ht="15.75" thickBot="1" x14ac:dyDescent="0.25">
      <c r="B106" s="156"/>
      <c r="C106" s="156"/>
      <c r="D106" s="156"/>
      <c r="E106" s="156"/>
      <c r="F106" s="139"/>
      <c r="AB106">
        <v>454</v>
      </c>
      <c r="AC106" s="265" t="s">
        <v>138</v>
      </c>
      <c r="AD106" s="317">
        <v>21.23</v>
      </c>
      <c r="AE106" s="316">
        <v>22.74</v>
      </c>
      <c r="AF106" s="294">
        <v>0.15</v>
      </c>
    </row>
    <row r="107" spans="2:32" ht="15.75" thickBot="1" x14ac:dyDescent="0.25">
      <c r="B107" s="156"/>
      <c r="C107" s="156"/>
      <c r="D107" s="156"/>
      <c r="E107" s="156"/>
      <c r="F107" s="139"/>
      <c r="AB107">
        <v>455</v>
      </c>
      <c r="AC107" s="265" t="s">
        <v>139</v>
      </c>
      <c r="AD107" s="317">
        <v>27.83</v>
      </c>
      <c r="AE107" s="316">
        <v>29.8</v>
      </c>
      <c r="AF107" s="294">
        <v>0.35</v>
      </c>
    </row>
    <row r="108" spans="2:32" ht="15.75" thickBot="1" x14ac:dyDescent="0.25">
      <c r="B108" s="156"/>
      <c r="C108" s="156"/>
      <c r="D108" s="156"/>
      <c r="E108" s="156"/>
      <c r="F108" s="139"/>
      <c r="AB108">
        <v>452</v>
      </c>
      <c r="AC108" s="265" t="s">
        <v>106</v>
      </c>
      <c r="AD108" s="317">
        <v>48.09</v>
      </c>
      <c r="AE108" s="316">
        <v>51.5</v>
      </c>
      <c r="AF108" s="294">
        <v>1.08</v>
      </c>
    </row>
    <row r="109" spans="2:32" ht="15.75" thickBot="1" x14ac:dyDescent="0.25">
      <c r="B109" s="156"/>
      <c r="C109" s="156"/>
      <c r="D109" s="156"/>
      <c r="E109" s="156"/>
      <c r="F109" s="139"/>
      <c r="AB109">
        <v>459</v>
      </c>
      <c r="AC109" s="265" t="s">
        <v>140</v>
      </c>
      <c r="AD109" s="317">
        <v>52.84</v>
      </c>
      <c r="AE109" s="316">
        <v>56.59</v>
      </c>
      <c r="AF109" s="294">
        <v>1.08</v>
      </c>
    </row>
    <row r="110" spans="2:32" ht="15.75" thickBot="1" x14ac:dyDescent="0.25">
      <c r="B110" s="156"/>
      <c r="C110" s="156"/>
      <c r="D110" s="156"/>
      <c r="E110" s="156"/>
      <c r="F110" s="139"/>
      <c r="AB110">
        <v>446</v>
      </c>
      <c r="AC110" s="265" t="s">
        <v>141</v>
      </c>
      <c r="AD110" s="317">
        <v>10.93</v>
      </c>
      <c r="AE110" s="316">
        <v>11.71</v>
      </c>
      <c r="AF110" s="294">
        <v>0.20699999999999999</v>
      </c>
    </row>
    <row r="111" spans="2:32" ht="15.75" thickBot="1" x14ac:dyDescent="0.25">
      <c r="B111" s="156"/>
      <c r="C111" s="156"/>
      <c r="D111" s="156"/>
      <c r="E111" s="156"/>
      <c r="F111" s="139"/>
      <c r="AB111">
        <v>456</v>
      </c>
      <c r="AC111" s="265" t="s">
        <v>142</v>
      </c>
      <c r="AD111" s="317">
        <v>13.43</v>
      </c>
      <c r="AE111" s="316">
        <v>14.38</v>
      </c>
      <c r="AF111" s="294">
        <v>0.20699999999999999</v>
      </c>
    </row>
    <row r="112" spans="2:32" ht="15.75" thickBot="1" x14ac:dyDescent="0.25">
      <c r="B112" s="156"/>
      <c r="C112" s="156"/>
      <c r="D112" s="156"/>
      <c r="E112" s="156"/>
      <c r="F112" s="139"/>
      <c r="AB112">
        <v>447</v>
      </c>
      <c r="AC112" s="265" t="s">
        <v>143</v>
      </c>
      <c r="AD112" s="317">
        <v>12.9</v>
      </c>
      <c r="AE112" s="316">
        <v>13.82</v>
      </c>
      <c r="AF112" s="294">
        <v>0.29399999999999998</v>
      </c>
    </row>
    <row r="113" spans="2:32" ht="15.75" thickBot="1" x14ac:dyDescent="0.25">
      <c r="B113" s="156"/>
      <c r="C113" s="156"/>
      <c r="D113" s="156"/>
      <c r="E113" s="156"/>
      <c r="F113" s="139"/>
      <c r="AB113">
        <v>457</v>
      </c>
      <c r="AC113" s="265" t="s">
        <v>144</v>
      </c>
      <c r="AD113" s="317">
        <v>15.12</v>
      </c>
      <c r="AE113" s="316">
        <v>16.190000000000001</v>
      </c>
      <c r="AF113" s="294">
        <v>0.29399999999999998</v>
      </c>
    </row>
    <row r="114" spans="2:32" ht="15.75" thickBot="1" x14ac:dyDescent="0.25">
      <c r="B114" s="156"/>
      <c r="C114" s="156"/>
      <c r="D114" s="156"/>
      <c r="E114" s="156"/>
      <c r="F114" s="139"/>
      <c r="AB114">
        <v>448</v>
      </c>
      <c r="AC114" s="265" t="s">
        <v>145</v>
      </c>
      <c r="AD114" s="317">
        <v>14.56</v>
      </c>
      <c r="AE114" s="316">
        <v>15.59</v>
      </c>
      <c r="AF114" s="294">
        <v>0.45300000000000001</v>
      </c>
    </row>
    <row r="115" spans="2:32" ht="15.75" thickBot="1" x14ac:dyDescent="0.25">
      <c r="B115" s="156"/>
      <c r="C115" s="156"/>
      <c r="D115" s="156"/>
      <c r="E115" s="156"/>
      <c r="F115" s="139"/>
      <c r="AB115">
        <v>458</v>
      </c>
      <c r="AC115" s="265" t="s">
        <v>146</v>
      </c>
      <c r="AD115" s="317">
        <v>17.04</v>
      </c>
      <c r="AE115" s="316">
        <v>18.25</v>
      </c>
      <c r="AF115" s="294">
        <v>0.45300000000000001</v>
      </c>
    </row>
    <row r="116" spans="2:32" ht="15.75" thickBot="1" x14ac:dyDescent="0.25">
      <c r="B116" s="156"/>
      <c r="C116" s="156"/>
      <c r="D116" s="156"/>
      <c r="E116" s="156"/>
      <c r="F116" s="139"/>
      <c r="AB116">
        <v>404</v>
      </c>
      <c r="AC116" s="265" t="s">
        <v>147</v>
      </c>
      <c r="AD116" s="317">
        <v>11.96</v>
      </c>
      <c r="AE116" s="316">
        <v>12.81</v>
      </c>
      <c r="AF116" s="294">
        <v>0.20699999999999999</v>
      </c>
    </row>
    <row r="117" spans="2:32" ht="15.75" thickBot="1" x14ac:dyDescent="0.25">
      <c r="B117" s="156"/>
      <c r="C117" s="156"/>
      <c r="D117" s="156"/>
      <c r="E117" s="156"/>
      <c r="F117" s="139"/>
      <c r="AB117">
        <v>421</v>
      </c>
      <c r="AC117" s="265" t="s">
        <v>148</v>
      </c>
      <c r="AD117" s="317">
        <v>3.81</v>
      </c>
      <c r="AE117" s="316">
        <v>4.09</v>
      </c>
      <c r="AF117" s="294">
        <v>0.10199999999999999</v>
      </c>
    </row>
    <row r="118" spans="2:32" ht="15.75" thickBot="1" x14ac:dyDescent="0.25">
      <c r="B118" s="156"/>
      <c r="C118" s="156"/>
      <c r="D118" s="156"/>
      <c r="E118" s="156"/>
      <c r="F118" s="139"/>
      <c r="AB118">
        <v>422</v>
      </c>
      <c r="AC118" s="265" t="s">
        <v>149</v>
      </c>
      <c r="AD118" s="317">
        <v>5.05</v>
      </c>
      <c r="AE118" s="316">
        <v>5.41</v>
      </c>
      <c r="AF118" s="294">
        <v>0.20100000000000001</v>
      </c>
    </row>
    <row r="119" spans="2:32" ht="15.75" thickBot="1" x14ac:dyDescent="0.25">
      <c r="B119" s="156"/>
      <c r="C119" s="156"/>
      <c r="D119" s="156"/>
      <c r="E119" s="156"/>
      <c r="F119" s="139"/>
      <c r="AB119">
        <v>424</v>
      </c>
      <c r="AC119" s="265" t="s">
        <v>150</v>
      </c>
      <c r="AD119" s="317">
        <v>7.51</v>
      </c>
      <c r="AE119" s="316">
        <v>8.0299999999999994</v>
      </c>
      <c r="AF119" s="294">
        <v>0.32700000000000001</v>
      </c>
    </row>
    <row r="120" spans="2:32" ht="15.75" thickBot="1" x14ac:dyDescent="0.25">
      <c r="B120" s="156"/>
      <c r="C120" s="156"/>
      <c r="D120" s="156"/>
      <c r="E120" s="156"/>
      <c r="F120" s="139"/>
      <c r="AB120">
        <v>425</v>
      </c>
      <c r="AC120" s="265" t="s">
        <v>151</v>
      </c>
      <c r="AD120" s="317">
        <v>10.02</v>
      </c>
      <c r="AE120" s="316">
        <v>10.74</v>
      </c>
      <c r="AF120" s="294">
        <v>0.44700000000000001</v>
      </c>
    </row>
    <row r="121" spans="2:32" ht="15.75" thickBot="1" x14ac:dyDescent="0.25">
      <c r="B121" s="156"/>
      <c r="C121" s="156"/>
      <c r="D121" s="156"/>
      <c r="E121" s="156"/>
      <c r="F121" s="139"/>
      <c r="AB121">
        <v>460</v>
      </c>
      <c r="AC121" s="265" t="s">
        <v>154</v>
      </c>
      <c r="AD121" s="317">
        <v>31.57</v>
      </c>
      <c r="AE121" s="316">
        <v>33.81</v>
      </c>
      <c r="AF121" s="294">
        <v>0.15</v>
      </c>
    </row>
    <row r="122" spans="2:32" ht="15.75" thickBot="1" x14ac:dyDescent="0.25">
      <c r="B122" s="156"/>
      <c r="C122" s="156"/>
      <c r="D122" s="156"/>
      <c r="E122" s="156"/>
      <c r="F122" s="139"/>
      <c r="AB122">
        <v>469</v>
      </c>
      <c r="AC122" s="265" t="s">
        <v>155</v>
      </c>
      <c r="AD122" s="317">
        <v>37.270000000000003</v>
      </c>
      <c r="AE122" s="316">
        <v>39.909999999999997</v>
      </c>
      <c r="AF122" s="294">
        <v>0.35</v>
      </c>
    </row>
    <row r="123" spans="2:32" ht="15.75" thickBot="1" x14ac:dyDescent="0.25">
      <c r="B123" s="156"/>
      <c r="C123" s="156"/>
      <c r="D123" s="156"/>
      <c r="E123" s="156"/>
      <c r="F123" s="139"/>
      <c r="AC123" s="265"/>
      <c r="AD123" s="317"/>
      <c r="AE123" s="316"/>
    </row>
    <row r="124" spans="2:32" x14ac:dyDescent="0.2">
      <c r="B124" s="156"/>
      <c r="C124" s="156"/>
      <c r="D124" s="156"/>
      <c r="E124" s="156"/>
      <c r="F124" s="139"/>
      <c r="AC124" s="67"/>
      <c r="AD124" s="67"/>
      <c r="AE124" s="262"/>
    </row>
    <row r="125" spans="2:32" x14ac:dyDescent="0.2">
      <c r="B125" s="156"/>
      <c r="C125" s="156"/>
      <c r="D125" s="156"/>
      <c r="E125" s="156"/>
      <c r="F125" s="139"/>
    </row>
    <row r="126" spans="2:32" x14ac:dyDescent="0.2">
      <c r="B126" s="156"/>
      <c r="C126" s="156"/>
      <c r="D126" s="156"/>
      <c r="E126" s="156"/>
      <c r="F126" s="139"/>
    </row>
    <row r="127" spans="2:32" x14ac:dyDescent="0.2">
      <c r="B127" s="156"/>
      <c r="C127" s="156"/>
      <c r="D127" s="156"/>
      <c r="E127" s="156"/>
      <c r="F127" s="139"/>
    </row>
  </sheetData>
  <mergeCells count="3">
    <mergeCell ref="P46:Q46"/>
    <mergeCell ref="P47:Q47"/>
    <mergeCell ref="P48:Q48"/>
  </mergeCells>
  <phoneticPr fontId="6" type="noConversion"/>
  <pageMargins left="0.75" right="0.75" top="1" bottom="1" header="0.5" footer="0.5"/>
  <pageSetup paperSize="3" scale="5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41"/>
  <sheetViews>
    <sheetView view="pageBreakPreview" zoomScale="90" zoomScaleNormal="80" zoomScaleSheetLayoutView="90" workbookViewId="0">
      <selection sqref="A1:K1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customWidth="1"/>
    <col min="9" max="10" width="10.5703125" bestFit="1" customWidth="1"/>
    <col min="11" max="11" width="9.28515625" bestFit="1" customWidth="1"/>
    <col min="12" max="15" width="3.5703125" customWidth="1"/>
    <col min="16" max="16" width="11.85546875" customWidth="1"/>
    <col min="17" max="17" width="9.85546875" customWidth="1"/>
    <col min="18" max="18" width="9.5703125" customWidth="1"/>
    <col min="19" max="19" width="7.140625" customWidth="1"/>
    <col min="20" max="20" width="11.5703125" customWidth="1"/>
    <col min="21" max="21" width="9.5703125" customWidth="1"/>
    <col min="23" max="24" width="3" customWidth="1"/>
    <col min="26" max="26" width="2.7109375" customWidth="1"/>
  </cols>
  <sheetData>
    <row r="1" spans="1:28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82"/>
    </row>
    <row r="2" spans="1:28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2"/>
    </row>
    <row r="3" spans="1:28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83"/>
    </row>
    <row r="4" spans="1:28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82"/>
    </row>
    <row r="5" spans="1:28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8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</row>
    <row r="7" spans="1:28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203" t="str">
        <f>+'Rate Case Constants'!C25</f>
        <v>SCHEDULE N</v>
      </c>
    </row>
    <row r="8" spans="1:28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202" t="str">
        <f>+'Rate Case Constants'!L27</f>
        <v>PAGE 20 of 24</v>
      </c>
    </row>
    <row r="9" spans="1:28" x14ac:dyDescent="0.2">
      <c r="A9" s="85" t="str">
        <f>+'Rate Case Constants'!C34</f>
        <v>WORKPAPER REFERENCE NO(S):________</v>
      </c>
      <c r="B9" s="85"/>
      <c r="C9" s="85"/>
      <c r="D9" s="85"/>
      <c r="E9" s="85"/>
      <c r="F9" s="85"/>
      <c r="G9" s="85"/>
      <c r="H9" s="85"/>
      <c r="I9" s="85"/>
      <c r="J9" s="85"/>
      <c r="K9" s="202" t="str">
        <f>+'Rate Case Constants'!C36</f>
        <v>WITNESS:   R. M. CONROY</v>
      </c>
    </row>
    <row r="10" spans="1:28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8"/>
      <c r="P10" s="31" t="s">
        <v>71</v>
      </c>
      <c r="Q10">
        <f>+INPUT!G67</f>
        <v>-1.8793615522124864E-3</v>
      </c>
    </row>
    <row r="11" spans="1:28" x14ac:dyDescent="0.2">
      <c r="A11" s="44" t="s">
        <v>228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 t="s">
        <v>72</v>
      </c>
      <c r="Q11" s="31">
        <f>+INPUT!I67</f>
        <v>6.3778029409856741E-3</v>
      </c>
      <c r="R11" s="2"/>
      <c r="S11" s="31"/>
      <c r="T11" s="34"/>
      <c r="U11" s="31"/>
      <c r="V11" s="31"/>
    </row>
    <row r="12" spans="1:28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8" x14ac:dyDescent="0.2">
      <c r="A13" s="31"/>
      <c r="B13" s="31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8" x14ac:dyDescent="0.2">
      <c r="C14" s="200" t="s">
        <v>327</v>
      </c>
      <c r="D14" s="200" t="s">
        <v>327</v>
      </c>
      <c r="G14" s="31"/>
      <c r="H14" s="31"/>
      <c r="I14" s="3" t="s">
        <v>5</v>
      </c>
      <c r="J14" s="3" t="s">
        <v>5</v>
      </c>
      <c r="P14" s="48" t="s">
        <v>59</v>
      </c>
      <c r="Q14" s="48"/>
      <c r="R14" s="48"/>
      <c r="T14" s="48" t="s">
        <v>60</v>
      </c>
      <c r="U14" s="48"/>
      <c r="V14" s="48"/>
    </row>
    <row r="15" spans="1:28" x14ac:dyDescent="0.2">
      <c r="C15" s="3" t="s">
        <v>1</v>
      </c>
      <c r="D15" s="3" t="s">
        <v>74</v>
      </c>
      <c r="E15" s="3"/>
      <c r="F15" s="3"/>
      <c r="G15" s="400" t="s">
        <v>251</v>
      </c>
      <c r="H15" s="400"/>
      <c r="I15" s="3" t="s">
        <v>1</v>
      </c>
      <c r="J15" s="3" t="s">
        <v>74</v>
      </c>
      <c r="K15" s="3"/>
      <c r="P15" s="27" t="s">
        <v>62</v>
      </c>
      <c r="Q15" s="3"/>
      <c r="R15" s="27"/>
      <c r="T15" s="27" t="s">
        <v>62</v>
      </c>
      <c r="U15" s="3"/>
      <c r="V15" s="27"/>
    </row>
    <row r="16" spans="1:28" x14ac:dyDescent="0.2">
      <c r="A16" s="3"/>
      <c r="B16" s="3"/>
      <c r="C16" s="3" t="s">
        <v>4</v>
      </c>
      <c r="D16" s="3" t="s">
        <v>4</v>
      </c>
      <c r="E16" s="3" t="s">
        <v>75</v>
      </c>
      <c r="F16" s="3" t="s">
        <v>75</v>
      </c>
      <c r="G16" s="87" t="s">
        <v>337</v>
      </c>
      <c r="H16" s="52" t="s">
        <v>72</v>
      </c>
      <c r="I16" s="3" t="s">
        <v>4</v>
      </c>
      <c r="J16" s="3" t="s">
        <v>4</v>
      </c>
      <c r="K16" s="3" t="s">
        <v>75</v>
      </c>
      <c r="L16" s="3"/>
      <c r="M16" s="3"/>
      <c r="N16" s="3"/>
      <c r="O16" s="3"/>
      <c r="P16" s="27" t="s">
        <v>61</v>
      </c>
      <c r="Q16" s="3" t="s">
        <v>56</v>
      </c>
      <c r="R16" s="27" t="s">
        <v>5</v>
      </c>
      <c r="T16" s="27" t="s">
        <v>61</v>
      </c>
      <c r="U16" s="3" t="s">
        <v>56</v>
      </c>
      <c r="V16" s="27" t="s">
        <v>5</v>
      </c>
      <c r="X16" s="2"/>
      <c r="Y16" s="3" t="s">
        <v>6</v>
      </c>
      <c r="Z16" s="3"/>
      <c r="AA16" s="3" t="s">
        <v>8</v>
      </c>
      <c r="AB16" s="3"/>
    </row>
    <row r="17" spans="1:28" x14ac:dyDescent="0.2">
      <c r="A17" s="3" t="s">
        <v>49</v>
      </c>
      <c r="B17" s="3"/>
      <c r="C17" s="3"/>
      <c r="D17" s="3"/>
      <c r="E17" s="3" t="s">
        <v>69</v>
      </c>
      <c r="F17" s="27" t="s">
        <v>70</v>
      </c>
      <c r="G17" s="51"/>
      <c r="H17" s="54"/>
      <c r="I17" s="3" t="s">
        <v>69</v>
      </c>
      <c r="J17" s="3" t="s">
        <v>69</v>
      </c>
      <c r="K17" s="27" t="s">
        <v>70</v>
      </c>
      <c r="L17" s="3"/>
      <c r="M17" s="3"/>
      <c r="N17" s="3"/>
      <c r="O17" s="3"/>
      <c r="P17" s="81" t="s">
        <v>3</v>
      </c>
      <c r="Q17" s="82" t="s">
        <v>3</v>
      </c>
      <c r="R17" s="81" t="s">
        <v>4</v>
      </c>
      <c r="T17" s="81" t="s">
        <v>3</v>
      </c>
      <c r="U17" s="82" t="s">
        <v>3</v>
      </c>
      <c r="V17" s="81" t="s">
        <v>4</v>
      </c>
      <c r="X17" s="2"/>
      <c r="Y17" s="3" t="s">
        <v>7</v>
      </c>
      <c r="Z17" s="3"/>
      <c r="AA17" s="3" t="s">
        <v>7</v>
      </c>
      <c r="AB17" s="3"/>
    </row>
    <row r="18" spans="1:28" x14ac:dyDescent="0.2">
      <c r="A18" s="82"/>
      <c r="B18" s="82"/>
      <c r="C18" s="82"/>
      <c r="D18" s="82"/>
      <c r="E18" s="204" t="str">
        <f>("[ "&amp;D13&amp;" - "&amp;C13&amp;" ]")</f>
        <v>[ B - A ]</v>
      </c>
      <c r="F18" s="204" t="str">
        <f>("[ "&amp;E13&amp;" / "&amp;C13&amp;" ]")</f>
        <v>[ C / A ]</v>
      </c>
      <c r="G18" s="226"/>
      <c r="H18" s="226"/>
      <c r="I18" s="204" t="str">
        <f>("["&amp;C13&amp;"+"&amp;$H$13&amp;"+"&amp;$I$13&amp;"]")</f>
        <v>[A+F+G]</v>
      </c>
      <c r="J18" s="204" t="str">
        <f>("["&amp;D13&amp;"+"&amp;$H$13&amp;"+"&amp;$I$13&amp;"]")</f>
        <v>[B+F+G]</v>
      </c>
      <c r="K18" s="204" t="str">
        <f>("[("&amp;J13&amp;" - "&amp;I13&amp;")/"&amp;I13&amp;"]")</f>
        <v>[(H - G)/G]</v>
      </c>
      <c r="L18" s="3"/>
      <c r="M18" s="3"/>
      <c r="N18" s="3"/>
      <c r="O18" s="3"/>
      <c r="P18" s="27"/>
      <c r="Q18" s="33">
        <f>+INPUT!$Q$6</f>
        <v>8.9550000000000005E-2</v>
      </c>
      <c r="R18" s="27"/>
      <c r="T18" s="27"/>
      <c r="U18" s="33">
        <f>INPUT!$Q$27</f>
        <v>8.9550000000000005E-2</v>
      </c>
      <c r="V18" s="27"/>
      <c r="X18" s="2"/>
      <c r="Y18" s="3"/>
      <c r="Z18" s="3"/>
      <c r="AA18" s="3"/>
      <c r="AB18" s="3"/>
    </row>
    <row r="19" spans="1:28" x14ac:dyDescent="0.2">
      <c r="A19" s="3"/>
      <c r="B19" s="3"/>
      <c r="C19" s="3"/>
      <c r="D19" s="3"/>
      <c r="E19" s="3"/>
      <c r="F19" s="3"/>
      <c r="G19" s="31"/>
      <c r="H19" s="31"/>
      <c r="I19" s="3"/>
      <c r="J19" s="3"/>
      <c r="K19" s="3"/>
      <c r="L19" s="3"/>
      <c r="M19" s="3"/>
      <c r="N19" s="3"/>
      <c r="O19" s="3"/>
      <c r="P19" s="27"/>
      <c r="Q19" s="3" t="s">
        <v>14</v>
      </c>
      <c r="R19" s="27"/>
      <c r="T19" s="27"/>
      <c r="U19" s="3" t="s">
        <v>14</v>
      </c>
      <c r="V19" s="27"/>
      <c r="X19" s="2"/>
      <c r="Y19" s="3"/>
      <c r="Z19" s="3"/>
      <c r="AA19" s="3"/>
      <c r="AB19" s="3"/>
    </row>
    <row r="20" spans="1:2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  <c r="U20" s="3"/>
      <c r="V20" s="3"/>
    </row>
    <row r="21" spans="1:28" x14ac:dyDescent="0.2">
      <c r="A21" s="1">
        <v>50</v>
      </c>
      <c r="C21" s="6">
        <f>+R21</f>
        <v>8.4774999999999991</v>
      </c>
      <c r="D21" s="6">
        <f>+V21</f>
        <v>8.4343749999999993</v>
      </c>
      <c r="E21" s="30">
        <f>+D21-C21</f>
        <v>-4.3124999999999858E-2</v>
      </c>
      <c r="F21" s="56">
        <f>ROUND(+E21/C21,4)</f>
        <v>-5.1000000000000004E-3</v>
      </c>
      <c r="G21" s="30">
        <f>ROUND($Q$10*$A21,2)</f>
        <v>-0.09</v>
      </c>
      <c r="H21" s="30">
        <f>ROUND($Q$11*$A21,2)</f>
        <v>0.32</v>
      </c>
      <c r="I21" s="30">
        <f>+C21+G21+H21</f>
        <v>8.7074999999999996</v>
      </c>
      <c r="J21" s="30">
        <f>+D21+G21+H21</f>
        <v>8.6643749999999997</v>
      </c>
      <c r="K21" s="56">
        <f>ROUND((J21-I21)/I21,4)</f>
        <v>-5.0000000000000001E-3</v>
      </c>
      <c r="P21" s="7">
        <f>+INPUT!$Q$4</f>
        <v>4</v>
      </c>
      <c r="Q21" s="6">
        <f>A21*$Q$18</f>
        <v>4.4775</v>
      </c>
      <c r="R21" s="6">
        <f>P21+Q21</f>
        <v>8.4774999999999991</v>
      </c>
      <c r="T21" s="7">
        <f>INPUT!$Q$25</f>
        <v>3.9568750000000001</v>
      </c>
      <c r="U21" s="6">
        <f>A21*$U$18</f>
        <v>4.4775</v>
      </c>
      <c r="V21" s="6">
        <f>T21+U21</f>
        <v>8.4343749999999993</v>
      </c>
      <c r="Y21" s="6">
        <f>V21-R21</f>
        <v>-4.3124999999999858E-2</v>
      </c>
      <c r="AA21" s="8">
        <f>V21/R21-1</f>
        <v>-5.0869949867295983E-3</v>
      </c>
      <c r="AB21" s="8"/>
    </row>
    <row r="22" spans="1:28" x14ac:dyDescent="0.2">
      <c r="A22" s="1"/>
      <c r="K22" s="56"/>
      <c r="P22" s="7"/>
      <c r="Q22" s="6"/>
      <c r="R22" s="6"/>
      <c r="T22" s="7"/>
      <c r="U22" s="6"/>
      <c r="V22" s="6"/>
      <c r="AA22" s="8"/>
      <c r="AB22" s="8"/>
    </row>
    <row r="23" spans="1:28" x14ac:dyDescent="0.2">
      <c r="A23" s="1">
        <v>100</v>
      </c>
      <c r="C23" s="6">
        <f>+R23</f>
        <v>12.955</v>
      </c>
      <c r="D23" s="6">
        <f>+V23</f>
        <v>12.911875</v>
      </c>
      <c r="E23" s="30">
        <f>+D23-C23</f>
        <v>-4.3124999999999858E-2</v>
      </c>
      <c r="F23" s="56">
        <f>ROUND(+E23/C23,4)</f>
        <v>-3.3E-3</v>
      </c>
      <c r="G23" s="30">
        <f>ROUND($Q$10*$A23,2)</f>
        <v>-0.19</v>
      </c>
      <c r="H23" s="30">
        <f>ROUND($Q$11*$A23,2)</f>
        <v>0.64</v>
      </c>
      <c r="I23" s="30">
        <f>+C23+G23+H23</f>
        <v>13.405000000000001</v>
      </c>
      <c r="J23" s="30">
        <f>+D23+G23+H23</f>
        <v>13.361875000000001</v>
      </c>
      <c r="K23" s="56">
        <f>ROUND((J23-I23)/I23,4)</f>
        <v>-3.2000000000000002E-3</v>
      </c>
      <c r="P23" s="7">
        <f>$P$21</f>
        <v>4</v>
      </c>
      <c r="Q23" s="6">
        <f>A23*$Q$18</f>
        <v>8.9550000000000001</v>
      </c>
      <c r="R23" s="6">
        <f>P23+Q23</f>
        <v>12.955</v>
      </c>
      <c r="T23" s="7">
        <f>+$T$21</f>
        <v>3.9568750000000001</v>
      </c>
      <c r="U23" s="6">
        <f>A23*$U$18</f>
        <v>8.9550000000000001</v>
      </c>
      <c r="V23" s="6">
        <f>T23+U23</f>
        <v>12.911875</v>
      </c>
      <c r="Y23" s="6">
        <f>V23-R23</f>
        <v>-4.3124999999999858E-2</v>
      </c>
      <c r="AA23" s="8">
        <f>V23/R23-1</f>
        <v>-3.3288305673484508E-3</v>
      </c>
      <c r="AB23" s="8"/>
    </row>
    <row r="24" spans="1:28" x14ac:dyDescent="0.2">
      <c r="A24" s="1"/>
      <c r="C24" s="6"/>
      <c r="D24" s="6"/>
      <c r="E24" s="30"/>
      <c r="F24" s="56"/>
      <c r="G24" s="30"/>
      <c r="H24" s="30"/>
      <c r="I24" s="30"/>
      <c r="J24" s="30"/>
      <c r="K24" s="56"/>
      <c r="P24" s="57"/>
      <c r="Q24" s="6"/>
      <c r="R24" s="6"/>
      <c r="T24" s="7"/>
      <c r="U24" s="6"/>
      <c r="V24" s="6"/>
      <c r="AA24" s="28"/>
      <c r="AB24" s="28"/>
    </row>
    <row r="25" spans="1:28" s="10" customFormat="1" x14ac:dyDescent="0.2">
      <c r="A25" s="1">
        <v>200</v>
      </c>
      <c r="B25"/>
      <c r="C25" s="6">
        <f>+R25</f>
        <v>21.91</v>
      </c>
      <c r="D25" s="6">
        <f>+V25</f>
        <v>21.866875</v>
      </c>
      <c r="E25" s="30">
        <f>+D25-C25</f>
        <v>-4.3124999999999858E-2</v>
      </c>
      <c r="F25" s="56">
        <f>ROUND(+E25/C25,4)</f>
        <v>-2E-3</v>
      </c>
      <c r="G25" s="30">
        <f>ROUND($Q$10*$A25,2)</f>
        <v>-0.38</v>
      </c>
      <c r="H25" s="30">
        <f>ROUND($Q$11*$A25,2)</f>
        <v>1.28</v>
      </c>
      <c r="I25" s="30">
        <f>+C25+G25+H25</f>
        <v>22.810000000000002</v>
      </c>
      <c r="J25" s="30">
        <f>+D25+G25+H25</f>
        <v>22.766875000000002</v>
      </c>
      <c r="K25" s="56">
        <f>ROUND((J25-I25)/I25,4)</f>
        <v>-1.9E-3</v>
      </c>
      <c r="P25" s="57">
        <f>$P$21</f>
        <v>4</v>
      </c>
      <c r="Q25" s="6">
        <f>A25*$Q$18</f>
        <v>17.91</v>
      </c>
      <c r="R25" s="11">
        <f>P25+Q25</f>
        <v>21.91</v>
      </c>
      <c r="T25" s="7">
        <f>+$T$21</f>
        <v>3.9568750000000001</v>
      </c>
      <c r="U25" s="6">
        <f>A25*$U$18</f>
        <v>17.91</v>
      </c>
      <c r="V25" s="11">
        <f>T25+U25</f>
        <v>21.866875</v>
      </c>
      <c r="Y25" s="11">
        <f>V25-R25</f>
        <v>-4.3124999999999858E-2</v>
      </c>
      <c r="AA25" s="28">
        <f>V25/R25-1</f>
        <v>-1.968279324509381E-3</v>
      </c>
      <c r="AB25" s="28"/>
    </row>
    <row r="26" spans="1:28" x14ac:dyDescent="0.2">
      <c r="A26" s="1"/>
      <c r="P26" s="7"/>
      <c r="Q26" s="6"/>
      <c r="R26" s="6"/>
      <c r="T26" s="7"/>
      <c r="U26" s="6"/>
      <c r="V26" s="6"/>
      <c r="AA26" s="8"/>
      <c r="AB26" s="8"/>
    </row>
    <row r="27" spans="1:28" x14ac:dyDescent="0.2">
      <c r="A27" s="1">
        <v>300</v>
      </c>
      <c r="C27" s="6">
        <f>+R27</f>
        <v>30.865000000000002</v>
      </c>
      <c r="D27" s="6">
        <f>+V27</f>
        <v>30.821875000000002</v>
      </c>
      <c r="E27" s="30">
        <f>+D27-C27</f>
        <v>-4.3124999999999858E-2</v>
      </c>
      <c r="F27" s="56">
        <f>ROUND(+E27/C27,4)</f>
        <v>-1.4E-3</v>
      </c>
      <c r="G27" s="30">
        <f>ROUND($Q$10*$A27,2)</f>
        <v>-0.56000000000000005</v>
      </c>
      <c r="H27" s="30">
        <f>ROUND($Q$11*$A27,2)</f>
        <v>1.91</v>
      </c>
      <c r="I27" s="30">
        <f>+C27+G27+H27</f>
        <v>32.215000000000003</v>
      </c>
      <c r="J27" s="30">
        <f>+D27+G27+H27</f>
        <v>32.171875</v>
      </c>
      <c r="K27" s="56">
        <f>ROUND((J27-I27)/I27,4)</f>
        <v>-1.2999999999999999E-3</v>
      </c>
      <c r="P27" s="7">
        <f>$P$21</f>
        <v>4</v>
      </c>
      <c r="Q27" s="6">
        <f>A27*$Q$18</f>
        <v>26.865000000000002</v>
      </c>
      <c r="R27" s="6">
        <f>P27+Q27</f>
        <v>30.865000000000002</v>
      </c>
      <c r="T27" s="7">
        <f>+$T$21</f>
        <v>3.9568750000000001</v>
      </c>
      <c r="U27" s="6">
        <f>A27*$U$18</f>
        <v>26.865000000000002</v>
      </c>
      <c r="V27" s="6">
        <f>T27+U27</f>
        <v>30.821875000000002</v>
      </c>
      <c r="Y27" s="6">
        <f>V27-R27</f>
        <v>-4.3124999999999858E-2</v>
      </c>
      <c r="AA27" s="8">
        <f>V27/R27-1</f>
        <v>-1.3972136724444972E-3</v>
      </c>
      <c r="AB27" s="8"/>
    </row>
    <row r="28" spans="1:28" x14ac:dyDescent="0.2">
      <c r="P28" s="7"/>
      <c r="Q28" s="6"/>
      <c r="R28" s="6"/>
      <c r="T28" s="7"/>
      <c r="U28" s="6"/>
      <c r="V28" s="6"/>
      <c r="AA28" s="8"/>
      <c r="AB28" s="8"/>
    </row>
    <row r="29" spans="1:28" x14ac:dyDescent="0.2">
      <c r="A29" s="1">
        <v>400</v>
      </c>
      <c r="C29" s="6">
        <f>+R29</f>
        <v>39.82</v>
      </c>
      <c r="D29" s="6">
        <f>+V29</f>
        <v>39.776875000000004</v>
      </c>
      <c r="E29" s="30">
        <f>+D29-C29</f>
        <v>-4.3124999999996305E-2</v>
      </c>
      <c r="F29" s="56">
        <f>ROUND(+E29/C29,4)</f>
        <v>-1.1000000000000001E-3</v>
      </c>
      <c r="G29" s="30">
        <f>ROUND($Q$10*$A29,2)</f>
        <v>-0.75</v>
      </c>
      <c r="H29" s="30">
        <f>ROUND($Q$11*$A29,2)</f>
        <v>2.5499999999999998</v>
      </c>
      <c r="I29" s="30">
        <f>+C29+G29+H29</f>
        <v>41.62</v>
      </c>
      <c r="J29" s="30">
        <f>+D29+G29+H29</f>
        <v>41.576875000000001</v>
      </c>
      <c r="K29" s="56">
        <f>ROUND((J29-I29)/I29,4)</f>
        <v>-1E-3</v>
      </c>
      <c r="P29" s="7">
        <f>$P$21</f>
        <v>4</v>
      </c>
      <c r="Q29" s="6">
        <f>A29*$Q$18</f>
        <v>35.82</v>
      </c>
      <c r="R29" s="6">
        <f>P29+Q29</f>
        <v>39.82</v>
      </c>
      <c r="T29" s="7">
        <f>+$T$21</f>
        <v>3.9568750000000001</v>
      </c>
      <c r="U29" s="6">
        <f>A29*$U$18</f>
        <v>35.82</v>
      </c>
      <c r="V29" s="6">
        <f>T29+U29</f>
        <v>39.776875000000004</v>
      </c>
      <c r="Y29" s="6">
        <f>V29-R29</f>
        <v>-4.3124999999996305E-2</v>
      </c>
      <c r="AA29" s="8">
        <f>V29/R29-1</f>
        <v>-1.0829984932193559E-3</v>
      </c>
      <c r="AB29" s="8"/>
    </row>
    <row r="30" spans="1:28" x14ac:dyDescent="0.2">
      <c r="A30" s="1"/>
      <c r="P30" s="7"/>
      <c r="Q30" s="6"/>
      <c r="R30" s="6"/>
      <c r="T30" s="7"/>
      <c r="U30" s="6"/>
      <c r="V30" s="6"/>
      <c r="AA30" s="8"/>
      <c r="AB30" s="8"/>
    </row>
    <row r="31" spans="1:28" x14ac:dyDescent="0.2">
      <c r="A31" s="1">
        <v>500</v>
      </c>
      <c r="C31" s="6">
        <f>+R31</f>
        <v>48.775000000000006</v>
      </c>
      <c r="D31" s="6">
        <f>+V31</f>
        <v>48.731875000000002</v>
      </c>
      <c r="E31" s="30">
        <f>+D31-C31</f>
        <v>-4.3125000000003411E-2</v>
      </c>
      <c r="F31" s="56">
        <f>ROUND(+E31/C31,4)</f>
        <v>-8.9999999999999998E-4</v>
      </c>
      <c r="G31" s="30">
        <f>ROUND($Q$10*$A31,2)</f>
        <v>-0.94</v>
      </c>
      <c r="H31" s="30">
        <f>ROUND($Q$11*$A31,2)</f>
        <v>3.19</v>
      </c>
      <c r="I31" s="30">
        <f>+C31+G31+H31</f>
        <v>51.025000000000006</v>
      </c>
      <c r="J31" s="30">
        <f>+D31+G31+H31</f>
        <v>50.981875000000002</v>
      </c>
      <c r="K31" s="56">
        <f>ROUND((J31-I31)/I31,4)</f>
        <v>-8.0000000000000004E-4</v>
      </c>
      <c r="P31" s="7">
        <f>$P$21</f>
        <v>4</v>
      </c>
      <c r="Q31" s="6">
        <f>A31*$Q$18</f>
        <v>44.775000000000006</v>
      </c>
      <c r="R31" s="6">
        <f>P31+Q31</f>
        <v>48.775000000000006</v>
      </c>
      <c r="T31" s="7">
        <f>+$T$21</f>
        <v>3.9568750000000001</v>
      </c>
      <c r="U31" s="6">
        <f>A31*$U$18</f>
        <v>44.775000000000006</v>
      </c>
      <c r="V31" s="6">
        <f>T31+U31</f>
        <v>48.731875000000002</v>
      </c>
      <c r="Y31" s="6">
        <f>V31-R31</f>
        <v>-4.3125000000003411E-2</v>
      </c>
      <c r="AA31" s="8">
        <f>V31/R31-1</f>
        <v>-8.841619682214974E-4</v>
      </c>
      <c r="AB31" s="8"/>
    </row>
    <row r="32" spans="1:28" x14ac:dyDescent="0.2">
      <c r="P32" s="7"/>
      <c r="Q32" s="6"/>
      <c r="R32" s="6"/>
      <c r="T32" s="7"/>
      <c r="U32" s="6"/>
      <c r="V32" s="6"/>
      <c r="AA32" s="8"/>
      <c r="AB32" s="8"/>
    </row>
    <row r="33" spans="1:28" x14ac:dyDescent="0.2">
      <c r="A33" s="1">
        <v>750</v>
      </c>
      <c r="C33" s="6">
        <f>+R33</f>
        <v>71.162500000000009</v>
      </c>
      <c r="D33" s="6">
        <f>+V33</f>
        <v>71.119375000000005</v>
      </c>
      <c r="E33" s="30">
        <f>+D33-C33</f>
        <v>-4.3125000000003411E-2</v>
      </c>
      <c r="F33" s="56">
        <f>ROUND(+E33/C33,4)</f>
        <v>-5.9999999999999995E-4</v>
      </c>
      <c r="G33" s="30">
        <f>ROUND($Q$10*$A33,2)</f>
        <v>-1.41</v>
      </c>
      <c r="H33" s="30">
        <f>ROUND($Q$11*$A33,2)</f>
        <v>4.78</v>
      </c>
      <c r="I33" s="30">
        <f>+C33+G33+H33</f>
        <v>74.532500000000013</v>
      </c>
      <c r="J33" s="30">
        <f>+D33+G33+H33</f>
        <v>74.48937500000001</v>
      </c>
      <c r="K33" s="56">
        <f>ROUND((J33-I33)/I33,4)</f>
        <v>-5.9999999999999995E-4</v>
      </c>
      <c r="P33" s="7">
        <f>$P$21</f>
        <v>4</v>
      </c>
      <c r="Q33" s="6">
        <f>A33*$Q$18</f>
        <v>67.162500000000009</v>
      </c>
      <c r="R33" s="6">
        <f>P33+Q33</f>
        <v>71.162500000000009</v>
      </c>
      <c r="T33" s="7">
        <f>+$T$21</f>
        <v>3.9568750000000001</v>
      </c>
      <c r="U33" s="6">
        <f>A33*$U$18</f>
        <v>67.162500000000009</v>
      </c>
      <c r="V33" s="6">
        <f>T33+U33</f>
        <v>71.119375000000005</v>
      </c>
      <c r="Y33" s="6">
        <f>V33-R33</f>
        <v>-4.3125000000003411E-2</v>
      </c>
      <c r="AA33" s="8">
        <f>V33/R33-1</f>
        <v>-6.0600737748117695E-4</v>
      </c>
      <c r="AB33" s="8"/>
    </row>
    <row r="34" spans="1:28" x14ac:dyDescent="0.2">
      <c r="P34" s="7"/>
      <c r="Q34" s="6"/>
      <c r="R34" s="6"/>
      <c r="T34" s="7"/>
      <c r="U34" s="6"/>
      <c r="V34" s="6"/>
      <c r="AA34" s="8"/>
      <c r="AB34" s="8"/>
    </row>
    <row r="35" spans="1:28" x14ac:dyDescent="0.2">
      <c r="A35" s="1">
        <v>1000</v>
      </c>
      <c r="C35" s="6">
        <f>+R35</f>
        <v>93.550000000000011</v>
      </c>
      <c r="D35" s="6">
        <f>+V35</f>
        <v>93.506875000000008</v>
      </c>
      <c r="E35" s="30">
        <f>+D35-C35</f>
        <v>-4.3125000000003411E-2</v>
      </c>
      <c r="F35" s="56">
        <f>ROUND(+E35/C35,4)</f>
        <v>-5.0000000000000001E-4</v>
      </c>
      <c r="G35" s="30">
        <f>ROUND($Q$10*$A35,2)</f>
        <v>-1.88</v>
      </c>
      <c r="H35" s="30">
        <f>ROUND($Q$11*$A35,2)</f>
        <v>6.38</v>
      </c>
      <c r="I35" s="30">
        <f>+C35+G35+H35</f>
        <v>98.050000000000011</v>
      </c>
      <c r="J35" s="30">
        <f>+D35+G35+H35</f>
        <v>98.006875000000008</v>
      </c>
      <c r="K35" s="56">
        <f>ROUND((J35-I35)/I35,4)</f>
        <v>-4.0000000000000002E-4</v>
      </c>
      <c r="P35" s="7">
        <f>$P$21</f>
        <v>4</v>
      </c>
      <c r="Q35" s="6">
        <f>A35*$Q$18</f>
        <v>89.550000000000011</v>
      </c>
      <c r="R35" s="6">
        <f>P35+Q35</f>
        <v>93.550000000000011</v>
      </c>
      <c r="T35" s="7">
        <f>+$T$21</f>
        <v>3.9568750000000001</v>
      </c>
      <c r="U35" s="6">
        <f>A35*$U$18</f>
        <v>89.550000000000011</v>
      </c>
      <c r="V35" s="6">
        <f>T35+U35</f>
        <v>93.506875000000008</v>
      </c>
      <c r="Y35" s="6">
        <f>V35-R35</f>
        <v>-4.3125000000003411E-2</v>
      </c>
      <c r="AA35" s="8">
        <f>V35/R35-1</f>
        <v>-4.6098343132017217E-4</v>
      </c>
      <c r="AB35" s="8"/>
    </row>
    <row r="37" spans="1:28" x14ac:dyDescent="0.2">
      <c r="A37" s="17" t="s">
        <v>313</v>
      </c>
    </row>
    <row r="38" spans="1:28" s="17" customFormat="1" x14ac:dyDescent="0.2">
      <c r="A38" s="179" t="str">
        <f>("Average usage = "&amp;TEXT(INPUT!$Q$19*1,"0")&amp;" kWh per month")</f>
        <v>Average usage = 171 kWh per month</v>
      </c>
    </row>
    <row r="39" spans="1:28" s="17" customFormat="1" x14ac:dyDescent="0.2">
      <c r="A39" s="180" t="s">
        <v>314</v>
      </c>
    </row>
    <row r="40" spans="1:28" x14ac:dyDescent="0.2">
      <c r="A40" s="181" t="s">
        <v>317</v>
      </c>
    </row>
    <row r="41" spans="1:28" ht="12" customHeight="1" x14ac:dyDescent="0.2">
      <c r="A41" s="180" t="str">
        <f>+'Rate Case Constants'!$C$26</f>
        <v>Calculations may vary from other schedules due to rounding</v>
      </c>
    </row>
  </sheetData>
  <mergeCells count="5">
    <mergeCell ref="G15:H15"/>
    <mergeCell ref="A1:K1"/>
    <mergeCell ref="A2:K2"/>
    <mergeCell ref="A3:K3"/>
    <mergeCell ref="A4:K4"/>
  </mergeCells>
  <printOptions horizontalCentered="1"/>
  <pageMargins left="0.75" right="0.75" top="1.5" bottom="0.5" header="1" footer="0.5"/>
  <pageSetup scale="9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67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10.42578125" customWidth="1"/>
    <col min="2" max="2" width="3.7109375" customWidth="1"/>
    <col min="3" max="3" width="6.5703125" customWidth="1"/>
    <col min="4" max="4" width="1.85546875" customWidth="1"/>
    <col min="5" max="5" width="12" bestFit="1" customWidth="1"/>
    <col min="6" max="6" width="2" customWidth="1"/>
    <col min="7" max="7" width="15.140625" bestFit="1" customWidth="1"/>
    <col min="8" max="8" width="14.7109375" customWidth="1"/>
    <col min="9" max="9" width="13.42578125" bestFit="1" customWidth="1"/>
    <col min="10" max="10" width="9.85546875" customWidth="1"/>
    <col min="11" max="11" width="14.28515625" bestFit="1" customWidth="1"/>
    <col min="12" max="12" width="13.42578125" bestFit="1" customWidth="1"/>
    <col min="13" max="13" width="15.140625" customWidth="1"/>
    <col min="14" max="15" width="15.140625" bestFit="1" customWidth="1"/>
    <col min="16" max="18" width="9.85546875" customWidth="1"/>
    <col min="19" max="19" width="10" customWidth="1"/>
    <col min="20" max="21" width="14.42578125" bestFit="1" customWidth="1"/>
    <col min="22" max="22" width="4" customWidth="1"/>
    <col min="23" max="23" width="12.7109375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13.140625" bestFit="1" customWidth="1"/>
    <col min="29" max="30" width="14.42578125" bestFit="1" customWidth="1"/>
    <col min="31" max="31" width="12.7109375" bestFit="1" customWidth="1"/>
    <col min="32" max="32" width="13.85546875" bestFit="1" customWidth="1"/>
    <col min="33" max="33" width="12.7109375" bestFit="1" customWidth="1"/>
    <col min="34" max="35" width="14.42578125" bestFit="1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39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39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39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39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10"/>
      <c r="N5" s="210"/>
      <c r="O5" s="210"/>
      <c r="P5" s="210"/>
    </row>
    <row r="6" spans="1:39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210"/>
      <c r="N6" s="210"/>
      <c r="O6" s="210"/>
      <c r="P6" s="210"/>
    </row>
    <row r="7" spans="1:39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0"/>
      <c r="M7" s="210"/>
      <c r="N7" s="210"/>
      <c r="O7" s="210"/>
      <c r="P7" s="214" t="str">
        <f>+'Rate Case Constants'!C25</f>
        <v>SCHEDULE N</v>
      </c>
    </row>
    <row r="8" spans="1:39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10"/>
      <c r="M8" s="210"/>
      <c r="N8" s="210"/>
      <c r="O8" s="210"/>
      <c r="P8" s="208" t="str">
        <f>+'Rate Case Constants'!L28</f>
        <v>PAGE 21 of 24</v>
      </c>
    </row>
    <row r="9" spans="1:3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</row>
    <row r="10" spans="1:39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>
        <f>+INPUT!G69</f>
        <v>-1.8227489752831473E-3</v>
      </c>
    </row>
    <row r="11" spans="1:39" x14ac:dyDescent="0.2">
      <c r="A11" s="126" t="s">
        <v>386</v>
      </c>
      <c r="S11" s="85" t="s">
        <v>73</v>
      </c>
      <c r="T11">
        <f>+INPUT!H69</f>
        <v>1.0941831330396638E-4</v>
      </c>
      <c r="U11" s="31"/>
      <c r="V11" s="61"/>
      <c r="AD11" s="61" t="s">
        <v>253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5" t="s">
        <v>72</v>
      </c>
      <c r="T12">
        <f>+INPUT!I69</f>
        <v>1.0568207821553825E-3</v>
      </c>
    </row>
    <row r="13" spans="1:39" x14ac:dyDescent="0.2">
      <c r="A13" s="44"/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U13" s="3"/>
      <c r="V13" s="3"/>
      <c r="W13" s="3"/>
      <c r="Y13" t="s">
        <v>72</v>
      </c>
      <c r="Z13" s="3"/>
      <c r="AD13" s="21"/>
      <c r="AE13" s="22"/>
      <c r="AF13" s="22"/>
      <c r="AG13" s="22"/>
      <c r="AH13" s="21" t="s">
        <v>72</v>
      </c>
      <c r="AI13" s="3"/>
    </row>
    <row r="14" spans="1:39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3" t="s">
        <v>1</v>
      </c>
      <c r="V14" s="3"/>
      <c r="W14" s="3" t="s">
        <v>1</v>
      </c>
      <c r="X14" s="3"/>
      <c r="Y14" s="3" t="s">
        <v>1</v>
      </c>
      <c r="Z14" s="3"/>
      <c r="AB14" t="s">
        <v>9</v>
      </c>
      <c r="AC14" s="3" t="s">
        <v>9</v>
      </c>
      <c r="AD14" s="3" t="s">
        <v>9</v>
      </c>
      <c r="AE14" s="22"/>
      <c r="AF14" s="22" t="s">
        <v>9</v>
      </c>
      <c r="AG14" s="22"/>
      <c r="AH14" s="22" t="s">
        <v>1</v>
      </c>
      <c r="AI14" s="3"/>
      <c r="AK14" s="3"/>
    </row>
    <row r="15" spans="1:39" x14ac:dyDescent="0.2">
      <c r="C15" s="3" t="s">
        <v>23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3" t="s">
        <v>28</v>
      </c>
      <c r="V15" s="3"/>
      <c r="W15" s="3" t="s">
        <v>5</v>
      </c>
      <c r="X15" s="3"/>
      <c r="Y15" s="3" t="s">
        <v>76</v>
      </c>
      <c r="Z15" s="3"/>
      <c r="AB15" t="s">
        <v>55</v>
      </c>
      <c r="AC15" s="27" t="s">
        <v>56</v>
      </c>
      <c r="AD15" s="3" t="s">
        <v>18</v>
      </c>
      <c r="AE15" s="22"/>
      <c r="AF15" s="22" t="s">
        <v>5</v>
      </c>
      <c r="AG15" s="22"/>
      <c r="AH15" s="22" t="s">
        <v>76</v>
      </c>
      <c r="AI15" s="3" t="s">
        <v>6</v>
      </c>
      <c r="AJ15" t="s">
        <v>8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3" t="s">
        <v>4</v>
      </c>
      <c r="H16" s="3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3" t="s">
        <v>4</v>
      </c>
      <c r="O16" s="3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3" t="s">
        <v>57</v>
      </c>
      <c r="V16" s="3"/>
      <c r="W16" s="3" t="s">
        <v>4</v>
      </c>
      <c r="X16" s="3"/>
      <c r="Y16" s="3" t="s">
        <v>3</v>
      </c>
      <c r="Z16" s="3"/>
      <c r="AB16" t="s">
        <v>3</v>
      </c>
      <c r="AC16" s="27" t="s">
        <v>3</v>
      </c>
      <c r="AD16" s="3" t="s">
        <v>54</v>
      </c>
      <c r="AE16" s="22"/>
      <c r="AF16" s="22" t="s">
        <v>4</v>
      </c>
      <c r="AG16" s="22"/>
      <c r="AH16" s="22" t="s">
        <v>3</v>
      </c>
      <c r="AI16" s="3" t="s">
        <v>7</v>
      </c>
      <c r="AJ16" t="s">
        <v>7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3"/>
      <c r="H17" s="3"/>
      <c r="I17" s="3" t="s">
        <v>69</v>
      </c>
      <c r="J17" s="27" t="s">
        <v>70</v>
      </c>
      <c r="K17" s="90"/>
      <c r="L17" s="90"/>
      <c r="M17" s="91"/>
      <c r="N17" s="3" t="s">
        <v>69</v>
      </c>
      <c r="O17" s="3" t="s">
        <v>69</v>
      </c>
      <c r="P17" s="27" t="s">
        <v>70</v>
      </c>
      <c r="Q17" s="3"/>
      <c r="R17" s="3"/>
      <c r="S17" s="27"/>
      <c r="T17" s="42">
        <f>INPUT!S6</f>
        <v>3.288E-2</v>
      </c>
      <c r="U17" s="374">
        <f>INPUT!S13</f>
        <v>16.75</v>
      </c>
      <c r="V17" s="43" t="s">
        <v>501</v>
      </c>
      <c r="W17" s="43"/>
      <c r="X17" s="3"/>
      <c r="Y17" s="3"/>
      <c r="Z17" s="42"/>
      <c r="AC17" s="376">
        <f>INPUT!S27</f>
        <v>3.27E-2</v>
      </c>
      <c r="AD17" s="42">
        <f>INPUT!S34</f>
        <v>19.420000000000002</v>
      </c>
      <c r="AE17" s="43" t="s">
        <v>501</v>
      </c>
      <c r="AF17" s="43"/>
      <c r="AG17" s="43"/>
      <c r="AH17" s="22"/>
      <c r="AI17" s="42"/>
      <c r="AK17" s="3"/>
      <c r="AL17" s="3"/>
      <c r="AM17" s="3"/>
    </row>
    <row r="18" spans="1:39" x14ac:dyDescent="0.2">
      <c r="A18" s="16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T18" s="3" t="s">
        <v>14</v>
      </c>
      <c r="U18" s="374">
        <f>INPUT!S15</f>
        <v>3.03</v>
      </c>
      <c r="V18" s="3" t="s">
        <v>502</v>
      </c>
      <c r="W18" s="3"/>
      <c r="X18" s="3"/>
      <c r="Y18" s="3" t="s">
        <v>14</v>
      </c>
      <c r="Z18" s="3"/>
      <c r="AC18" s="27" t="s">
        <v>14</v>
      </c>
      <c r="AD18" s="373">
        <f>INPUT!S36</f>
        <v>3.03</v>
      </c>
      <c r="AE18" s="3" t="s">
        <v>502</v>
      </c>
      <c r="AF18" s="3"/>
      <c r="AG18" s="3"/>
      <c r="AH18" s="22" t="s">
        <v>14</v>
      </c>
      <c r="AI18" s="3"/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3"/>
      <c r="V19" s="3"/>
      <c r="W19" s="3"/>
      <c r="X19" s="3"/>
      <c r="Y19" s="3"/>
      <c r="AC19" s="27"/>
      <c r="AD19" s="3"/>
      <c r="AE19" s="22"/>
      <c r="AF19" s="22"/>
      <c r="AG19" s="22"/>
      <c r="AH19" s="22"/>
      <c r="AK19" s="3"/>
      <c r="AL19" s="3"/>
      <c r="AM19" s="3"/>
    </row>
    <row r="20" spans="1:39" x14ac:dyDescent="0.2">
      <c r="A20" s="1">
        <v>5</v>
      </c>
      <c r="B20" s="1"/>
      <c r="C20" s="13">
        <v>0.3</v>
      </c>
      <c r="E20" s="1">
        <f>C20*($A$20*730)</f>
        <v>1095</v>
      </c>
      <c r="F20" s="1"/>
      <c r="G20" s="21">
        <f>+W20</f>
        <v>262.5136</v>
      </c>
      <c r="H20" s="21">
        <f>+AF20</f>
        <v>275.76150000000001</v>
      </c>
      <c r="I20" s="30">
        <f>+H20-G20</f>
        <v>13.247900000000016</v>
      </c>
      <c r="J20" s="56">
        <f>ROUND(+I20/G20,4)</f>
        <v>5.0500000000000003E-2</v>
      </c>
      <c r="K20" s="30">
        <f>ROUND($T$10*$E20,2)</f>
        <v>-2</v>
      </c>
      <c r="L20" s="30">
        <f>ROUND($T$11*$E20,2)</f>
        <v>0.12</v>
      </c>
      <c r="M20" s="30">
        <f>ROUND($T$12*$E20,2)</f>
        <v>1.1599999999999999</v>
      </c>
      <c r="N20" s="30">
        <f>+G20+K20+L20+M20</f>
        <v>261.79360000000003</v>
      </c>
      <c r="O20" s="30">
        <f>+H20+K20+L20+M20</f>
        <v>275.04150000000004</v>
      </c>
      <c r="P20" s="56">
        <f>ROUND((O20-N20)/N20,4)</f>
        <v>5.0599999999999999E-2</v>
      </c>
      <c r="Q20" s="1"/>
      <c r="S20" s="7">
        <f>INPUT!S4</f>
        <v>90</v>
      </c>
      <c r="T20" s="21">
        <f>$T$17*E20</f>
        <v>36.003599999999999</v>
      </c>
      <c r="U20" s="21">
        <f>ROUND((($A$20*$U$17)+($A$20*(5192/1491)*$U$18)),2)</f>
        <v>136.51</v>
      </c>
      <c r="V20" s="21"/>
      <c r="W20" s="21">
        <f>S20+T20+U20</f>
        <v>262.5136</v>
      </c>
      <c r="X20" s="26"/>
      <c r="Y20" s="26"/>
      <c r="Z20" s="21"/>
      <c r="AB20" s="375">
        <f>INPUT!S25</f>
        <v>90.095000000000013</v>
      </c>
      <c r="AC20" s="7">
        <f>$AC$17*E20</f>
        <v>35.8065</v>
      </c>
      <c r="AD20" s="21">
        <f>ROUND((($A$20*$AD$17)+($A$20*(5192/1491)*$AD$18)),2)</f>
        <v>149.86000000000001</v>
      </c>
      <c r="AE20" s="21"/>
      <c r="AF20" s="21">
        <f>AB20+AC20+AD20</f>
        <v>275.76150000000001</v>
      </c>
      <c r="AG20" s="21"/>
      <c r="AH20" s="26"/>
      <c r="AI20" s="21">
        <f>AF20-W20</f>
        <v>13.247900000000016</v>
      </c>
      <c r="AJ20" s="17">
        <f>AF20/W20-1</f>
        <v>5.0465575878735569E-2</v>
      </c>
      <c r="AK20" s="7">
        <f>AH20-X20</f>
        <v>0</v>
      </c>
      <c r="AM20" s="18" t="e">
        <f>AH20/X20-1</f>
        <v>#DIV/0!</v>
      </c>
    </row>
    <row r="21" spans="1:39" x14ac:dyDescent="0.2">
      <c r="C21" s="13">
        <v>0.5</v>
      </c>
      <c r="E21" s="1">
        <f>C21*($A$20*730)</f>
        <v>1825</v>
      </c>
      <c r="F21" s="1"/>
      <c r="G21" s="21">
        <f t="shared" ref="G21:G38" si="0">+W21</f>
        <v>286.51599999999996</v>
      </c>
      <c r="H21" s="21">
        <f t="shared" ref="H21:H38" si="1">+AF21</f>
        <v>299.63250000000005</v>
      </c>
      <c r="I21" s="30">
        <f>+H21-G21</f>
        <v>13.116500000000087</v>
      </c>
      <c r="J21" s="56">
        <f>ROUND(+I21/G21,4)</f>
        <v>4.58E-2</v>
      </c>
      <c r="K21" s="30">
        <f>ROUND($T$10*$E21,2)</f>
        <v>-3.33</v>
      </c>
      <c r="L21" s="30">
        <f>ROUND($T$11*$E21,2)</f>
        <v>0.2</v>
      </c>
      <c r="M21" s="30">
        <f>ROUND($T$12*$E21,2)</f>
        <v>1.93</v>
      </c>
      <c r="N21" s="30">
        <f>+G21+K21+L21+M21</f>
        <v>285.31599999999997</v>
      </c>
      <c r="O21" s="30">
        <f>+H21+K21+L21+M21</f>
        <v>298.43250000000006</v>
      </c>
      <c r="P21" s="93">
        <f>ROUND((O21-N21)/N21,4)</f>
        <v>4.5999999999999999E-2</v>
      </c>
      <c r="Q21" s="1"/>
      <c r="S21" s="7">
        <f>$S$20</f>
        <v>90</v>
      </c>
      <c r="T21" s="21">
        <f>$T$17*E21</f>
        <v>60.006</v>
      </c>
      <c r="U21" s="21">
        <f t="shared" ref="U21:U22" si="2">ROUND((($A$20*$U$17)+($A$20*(5192/1491)*$U$18)),2)</f>
        <v>136.51</v>
      </c>
      <c r="V21" s="21"/>
      <c r="W21" s="21">
        <f>S21+T21+U21</f>
        <v>286.51599999999996</v>
      </c>
      <c r="X21" s="26"/>
      <c r="Y21" s="26"/>
      <c r="Z21" s="21"/>
      <c r="AB21" s="375">
        <f>AB$20</f>
        <v>90.095000000000013</v>
      </c>
      <c r="AC21" s="7">
        <f>$AC$17*E21</f>
        <v>59.677500000000002</v>
      </c>
      <c r="AD21" s="21">
        <f t="shared" ref="AD21:AD22" si="3">ROUND((($A$20*$AD$17)+($A$20*(5192/1491)*$AD$18)),2)</f>
        <v>149.86000000000001</v>
      </c>
      <c r="AE21" s="21"/>
      <c r="AF21" s="21">
        <f>AB21+AC21+AD21</f>
        <v>299.63250000000005</v>
      </c>
      <c r="AG21" s="21"/>
      <c r="AH21" s="26"/>
      <c r="AI21" s="21">
        <f>AF21-W21</f>
        <v>13.116500000000087</v>
      </c>
      <c r="AJ21" s="17">
        <f>AF21/W21-1</f>
        <v>4.577929330299213E-2</v>
      </c>
      <c r="AK21" s="7">
        <f>AH21-X21</f>
        <v>0</v>
      </c>
      <c r="AM21" s="18" t="e">
        <f>AH21/X21-1</f>
        <v>#DIV/0!</v>
      </c>
    </row>
    <row r="22" spans="1:39" x14ac:dyDescent="0.2">
      <c r="C22" s="13">
        <v>0.7</v>
      </c>
      <c r="E22" s="1">
        <f>C22*($A$20*730)</f>
        <v>2555</v>
      </c>
      <c r="F22" s="1"/>
      <c r="G22" s="21">
        <f t="shared" si="0"/>
        <v>310.51839999999999</v>
      </c>
      <c r="H22" s="21">
        <f t="shared" si="1"/>
        <v>323.50350000000003</v>
      </c>
      <c r="I22" s="30">
        <f>+H22-G22</f>
        <v>12.985100000000045</v>
      </c>
      <c r="J22" s="56">
        <f>ROUND(+I22/G22,4)</f>
        <v>4.1799999999999997E-2</v>
      </c>
      <c r="K22" s="30">
        <f>ROUND($T$10*$E22,2)</f>
        <v>-4.66</v>
      </c>
      <c r="L22" s="30">
        <f>ROUND($T$11*$E22,2)</f>
        <v>0.28000000000000003</v>
      </c>
      <c r="M22" s="30">
        <f>ROUND($T$12*$E22,2)</f>
        <v>2.7</v>
      </c>
      <c r="N22" s="30">
        <f>+G22+K22+L22+M22</f>
        <v>308.83839999999992</v>
      </c>
      <c r="O22" s="30">
        <f>+H22+K22+L22+M22</f>
        <v>321.82349999999997</v>
      </c>
      <c r="P22" s="56">
        <f>ROUND((O22-N22)/N22,4)</f>
        <v>4.2000000000000003E-2</v>
      </c>
      <c r="Q22" s="1"/>
      <c r="S22" s="7">
        <f>$S$20</f>
        <v>90</v>
      </c>
      <c r="T22" s="21">
        <f>$T$17*E22</f>
        <v>84.008399999999995</v>
      </c>
      <c r="U22" s="21">
        <f t="shared" si="2"/>
        <v>136.51</v>
      </c>
      <c r="V22" s="21"/>
      <c r="W22" s="21">
        <f>S22+T22+U22</f>
        <v>310.51839999999999</v>
      </c>
      <c r="X22" s="26"/>
      <c r="Y22" s="26"/>
      <c r="Z22" s="21"/>
      <c r="AB22" s="375">
        <f>AB$20</f>
        <v>90.095000000000013</v>
      </c>
      <c r="AC22" s="7">
        <f>$AC$17*E22</f>
        <v>83.548500000000004</v>
      </c>
      <c r="AD22" s="21">
        <f t="shared" si="3"/>
        <v>149.86000000000001</v>
      </c>
      <c r="AE22" s="21"/>
      <c r="AF22" s="21">
        <f>AB22+AC22+AD22</f>
        <v>323.50350000000003</v>
      </c>
      <c r="AG22" s="21"/>
      <c r="AH22" s="26"/>
      <c r="AI22" s="21">
        <f>AF22-W22</f>
        <v>12.985100000000045</v>
      </c>
      <c r="AJ22" s="17">
        <f>AF22/W22-1</f>
        <v>4.181748972041599E-2</v>
      </c>
      <c r="AK22" s="7">
        <f>AH22-X22</f>
        <v>0</v>
      </c>
      <c r="AM22" s="18" t="e">
        <f>AH22/X22-1</f>
        <v>#DIV/0!</v>
      </c>
    </row>
    <row r="23" spans="1:39" x14ac:dyDescent="0.2">
      <c r="C23" s="13"/>
      <c r="E23" s="1"/>
      <c r="F23" s="1"/>
      <c r="G23" s="21"/>
      <c r="H23" s="21"/>
      <c r="J23" s="5"/>
      <c r="K23" s="1"/>
      <c r="L23" s="1"/>
      <c r="M23" s="1"/>
      <c r="P23" s="56"/>
      <c r="Q23" s="1"/>
      <c r="S23" s="7"/>
      <c r="T23" s="21"/>
      <c r="U23" s="21"/>
      <c r="V23" s="21"/>
      <c r="W23" s="21"/>
      <c r="X23" s="26"/>
      <c r="Y23" s="26"/>
      <c r="AB23" s="375"/>
      <c r="AC23" s="7"/>
      <c r="AD23" s="21"/>
      <c r="AE23" s="21"/>
      <c r="AF23" s="21"/>
      <c r="AG23" s="21"/>
      <c r="AH23" s="26"/>
      <c r="AJ23" s="17"/>
      <c r="AK23" s="6"/>
      <c r="AM23" s="6"/>
    </row>
    <row r="24" spans="1:39" x14ac:dyDescent="0.2">
      <c r="A24" s="1">
        <v>10</v>
      </c>
      <c r="B24" s="1"/>
      <c r="C24" s="13">
        <v>0.3</v>
      </c>
      <c r="E24" s="1">
        <f>C24*($A$24*730)</f>
        <v>2190</v>
      </c>
      <c r="F24" s="1"/>
      <c r="G24" s="21">
        <f t="shared" si="0"/>
        <v>435.0172</v>
      </c>
      <c r="H24" s="21">
        <f t="shared" si="1"/>
        <v>461.41800000000001</v>
      </c>
      <c r="I24" s="30">
        <f>+H24-G24</f>
        <v>26.400800000000004</v>
      </c>
      <c r="J24" s="56">
        <f>ROUND(+I24/G24,4)</f>
        <v>6.0699999999999997E-2</v>
      </c>
      <c r="K24" s="30">
        <f>ROUND($T$10*$E24,2)</f>
        <v>-3.99</v>
      </c>
      <c r="L24" s="30">
        <f>ROUND($T$11*$E24,2)</f>
        <v>0.24</v>
      </c>
      <c r="M24" s="30">
        <f>ROUND($T$12*$E24,2)</f>
        <v>2.31</v>
      </c>
      <c r="N24" s="30">
        <f>+G24+K24+L24+M24</f>
        <v>433.5772</v>
      </c>
      <c r="O24" s="30">
        <f>+H24+K24+L24+M24</f>
        <v>459.97800000000001</v>
      </c>
      <c r="P24" s="56">
        <f>ROUND((O24-N24)/N24,4)</f>
        <v>6.0900000000000003E-2</v>
      </c>
      <c r="Q24" s="1"/>
      <c r="S24" s="7">
        <f>$S$20</f>
        <v>90</v>
      </c>
      <c r="T24" s="21">
        <f>$T$17*E24</f>
        <v>72.007199999999997</v>
      </c>
      <c r="U24" s="21">
        <f>ROUND((($A$24*$U$17)+($A$24*(5192/1491)*$U$18)),2)</f>
        <v>273.01</v>
      </c>
      <c r="V24" s="21"/>
      <c r="W24" s="21">
        <f>S24+T24+U24</f>
        <v>435.0172</v>
      </c>
      <c r="X24" s="26"/>
      <c r="Y24" s="26"/>
      <c r="Z24" s="21"/>
      <c r="AB24" s="375">
        <f>AB$20</f>
        <v>90.095000000000013</v>
      </c>
      <c r="AC24" s="7">
        <f>$AC$17*E24</f>
        <v>71.613</v>
      </c>
      <c r="AD24" s="21">
        <f>ROUND((($A$24*$AD$17)+($A$24*(5192/1491)*$AD$18)),2)</f>
        <v>299.70999999999998</v>
      </c>
      <c r="AE24" s="21"/>
      <c r="AF24" s="21">
        <f>AB24+AC24+AD24</f>
        <v>461.41800000000001</v>
      </c>
      <c r="AG24" s="21"/>
      <c r="AH24" s="26"/>
      <c r="AI24" s="21">
        <f>AF24-W24</f>
        <v>26.400800000000004</v>
      </c>
      <c r="AJ24" s="17">
        <f>AF24/W24-1</f>
        <v>6.0689094592121906E-2</v>
      </c>
      <c r="AK24" s="7">
        <f>AH24-X24</f>
        <v>0</v>
      </c>
      <c r="AL24" s="10"/>
      <c r="AM24" s="18" t="e">
        <f>AH24/X24-1</f>
        <v>#DIV/0!</v>
      </c>
    </row>
    <row r="25" spans="1:39" x14ac:dyDescent="0.2">
      <c r="C25" s="13">
        <v>0.5</v>
      </c>
      <c r="E25" s="1">
        <f>C25*($A$24*730)</f>
        <v>3650</v>
      </c>
      <c r="F25" s="1"/>
      <c r="G25" s="21">
        <f t="shared" si="0"/>
        <v>483.02199999999999</v>
      </c>
      <c r="H25" s="21">
        <f t="shared" si="1"/>
        <v>509.15999999999997</v>
      </c>
      <c r="I25" s="30">
        <f>+H25-G25</f>
        <v>26.137999999999977</v>
      </c>
      <c r="J25" s="56">
        <f>ROUND(+I25/G25,4)</f>
        <v>5.4100000000000002E-2</v>
      </c>
      <c r="K25" s="30">
        <f>ROUND($T$10*$E25,2)</f>
        <v>-6.65</v>
      </c>
      <c r="L25" s="30">
        <f>ROUND($T$11*$E25,2)</f>
        <v>0.4</v>
      </c>
      <c r="M25" s="30">
        <f>ROUND($T$12*$E25,2)</f>
        <v>3.86</v>
      </c>
      <c r="N25" s="30">
        <f>+G25+K25+L25+M25</f>
        <v>480.63200000000001</v>
      </c>
      <c r="O25" s="30">
        <f>+H25+K25+L25+M25</f>
        <v>506.77</v>
      </c>
      <c r="P25" s="56">
        <f>ROUND((O25-N25)/N25,4)</f>
        <v>5.4399999999999997E-2</v>
      </c>
      <c r="Q25" s="1"/>
      <c r="S25" s="7">
        <f>$S$20</f>
        <v>90</v>
      </c>
      <c r="T25" s="21">
        <f>$T$17*E25</f>
        <v>120.012</v>
      </c>
      <c r="U25" s="21">
        <f t="shared" ref="U25" si="4">ROUND((($A$24*$U$17)+($A$24*(5192/1491)*$U$18)),2)</f>
        <v>273.01</v>
      </c>
      <c r="V25" s="21"/>
      <c r="W25" s="21">
        <f>S25+T25+U25</f>
        <v>483.02199999999999</v>
      </c>
      <c r="X25" s="26"/>
      <c r="Y25" s="26"/>
      <c r="Z25" s="21"/>
      <c r="AB25" s="375">
        <f>AB$20</f>
        <v>90.095000000000013</v>
      </c>
      <c r="AC25" s="7">
        <f>$AC$17*E25</f>
        <v>119.355</v>
      </c>
      <c r="AD25" s="21">
        <f t="shared" ref="AD25:AD26" si="5">ROUND((($A$24*$AD$17)+($A$24*(5192/1491)*$AD$18)),2)</f>
        <v>299.70999999999998</v>
      </c>
      <c r="AE25" s="21"/>
      <c r="AF25" s="21">
        <f>AB25+AC25+AD25</f>
        <v>509.15999999999997</v>
      </c>
      <c r="AG25" s="21"/>
      <c r="AH25" s="26"/>
      <c r="AI25" s="21">
        <f>AF25-W25</f>
        <v>26.137999999999977</v>
      </c>
      <c r="AJ25" s="17">
        <f>AF25/W25-1</f>
        <v>5.4113477232921037E-2</v>
      </c>
      <c r="AK25" s="7">
        <f>AH25-X25</f>
        <v>0</v>
      </c>
      <c r="AL25" s="10"/>
      <c r="AM25" s="18" t="e">
        <f>AH25/X25-1</f>
        <v>#DIV/0!</v>
      </c>
    </row>
    <row r="26" spans="1:39" x14ac:dyDescent="0.2">
      <c r="C26" s="13">
        <v>0.7</v>
      </c>
      <c r="E26" s="1">
        <f>C26*($A$24*730)</f>
        <v>5110</v>
      </c>
      <c r="F26" s="1"/>
      <c r="G26" s="21">
        <f t="shared" si="0"/>
        <v>531.02679999999998</v>
      </c>
      <c r="H26" s="21">
        <f t="shared" si="1"/>
        <v>556.90200000000004</v>
      </c>
      <c r="I26" s="30">
        <f>+H26-G26</f>
        <v>25.875200000000063</v>
      </c>
      <c r="J26" s="56">
        <f>ROUND(+I26/G26,4)</f>
        <v>4.87E-2</v>
      </c>
      <c r="K26" s="30">
        <f>ROUND($T$10*$E26,2)</f>
        <v>-9.31</v>
      </c>
      <c r="L26" s="30">
        <f>ROUND($T$11*$E26,2)</f>
        <v>0.56000000000000005</v>
      </c>
      <c r="M26" s="30">
        <f>ROUND($T$12*$E26,2)</f>
        <v>5.4</v>
      </c>
      <c r="N26" s="30">
        <f>+G26+K26+L26+M26</f>
        <v>527.67679999999996</v>
      </c>
      <c r="O26" s="30">
        <f>+H26+K26+L26+M26</f>
        <v>553.55200000000002</v>
      </c>
      <c r="P26" s="56">
        <f>ROUND((O26-N26)/N26,4)</f>
        <v>4.9000000000000002E-2</v>
      </c>
      <c r="Q26" s="1"/>
      <c r="S26" s="7">
        <f>$S$20</f>
        <v>90</v>
      </c>
      <c r="T26" s="21">
        <f>$T$17*E26</f>
        <v>168.01679999999999</v>
      </c>
      <c r="U26" s="21">
        <f>ROUND((($A$24*$U$17)+($A$24*(5192/1491)*$U$18)),2)</f>
        <v>273.01</v>
      </c>
      <c r="V26" s="21"/>
      <c r="W26" s="21">
        <f>S26+T26+U26</f>
        <v>531.02679999999998</v>
      </c>
      <c r="X26" s="26"/>
      <c r="Y26" s="26"/>
      <c r="Z26" s="21"/>
      <c r="AB26" s="375">
        <f>AB$20</f>
        <v>90.095000000000013</v>
      </c>
      <c r="AC26" s="7">
        <f>$AC$17*E26</f>
        <v>167.09700000000001</v>
      </c>
      <c r="AD26" s="21">
        <f t="shared" si="5"/>
        <v>299.70999999999998</v>
      </c>
      <c r="AE26" s="21"/>
      <c r="AF26" s="21">
        <f>AB26+AC26+AD26</f>
        <v>556.90200000000004</v>
      </c>
      <c r="AG26" s="21"/>
      <c r="AH26" s="26"/>
      <c r="AI26" s="21">
        <f>AF26-W26</f>
        <v>25.875200000000063</v>
      </c>
      <c r="AJ26" s="17">
        <f>AF26/W26-1</f>
        <v>4.8726730929587792E-2</v>
      </c>
      <c r="AK26" s="7">
        <f>AH26-X26</f>
        <v>0</v>
      </c>
      <c r="AM26" s="18" t="e">
        <f>AH26/X26-1</f>
        <v>#DIV/0!</v>
      </c>
    </row>
    <row r="27" spans="1:39" x14ac:dyDescent="0.2">
      <c r="C27" s="13"/>
      <c r="E27" s="1"/>
      <c r="F27" s="1"/>
      <c r="G27" s="21"/>
      <c r="H27" s="21"/>
      <c r="J27" s="5"/>
      <c r="K27" s="1"/>
      <c r="L27" s="1"/>
      <c r="M27" s="1"/>
      <c r="P27" s="56"/>
      <c r="Q27" s="1"/>
      <c r="S27" s="7"/>
      <c r="T27" s="21"/>
      <c r="U27" s="21"/>
      <c r="V27" s="21"/>
      <c r="W27" s="21"/>
      <c r="X27" s="26"/>
      <c r="Y27" s="26"/>
      <c r="AB27" s="375"/>
      <c r="AC27" s="7"/>
      <c r="AD27" s="21"/>
      <c r="AE27" s="21"/>
      <c r="AF27" s="21"/>
      <c r="AG27" s="21"/>
      <c r="AH27" s="26"/>
      <c r="AJ27" s="17"/>
      <c r="AK27" s="6"/>
      <c r="AM27" s="6"/>
    </row>
    <row r="28" spans="1:39" x14ac:dyDescent="0.2">
      <c r="A28" s="1">
        <v>15</v>
      </c>
      <c r="B28" s="1"/>
      <c r="C28" s="13">
        <v>0.3</v>
      </c>
      <c r="E28" s="1">
        <f>C28*($A$28*730)</f>
        <v>3285</v>
      </c>
      <c r="F28" s="1"/>
      <c r="G28" s="21">
        <f t="shared" si="0"/>
        <v>607.5308</v>
      </c>
      <c r="H28" s="21">
        <f t="shared" si="1"/>
        <v>647.08449999999993</v>
      </c>
      <c r="I28" s="30">
        <f>+H28-G28</f>
        <v>39.553699999999935</v>
      </c>
      <c r="J28" s="56">
        <f>ROUND(+I28/G28,4)</f>
        <v>6.5100000000000005E-2</v>
      </c>
      <c r="K28" s="30">
        <f>ROUND($T$10*$E28,2)</f>
        <v>-5.99</v>
      </c>
      <c r="L28" s="30">
        <f>ROUND($T$11*$E28,2)</f>
        <v>0.36</v>
      </c>
      <c r="M28" s="30">
        <f>ROUND($T$12*$E28,2)</f>
        <v>3.47</v>
      </c>
      <c r="N28" s="30">
        <f>+G28+K28+L28+M28</f>
        <v>605.37080000000003</v>
      </c>
      <c r="O28" s="30">
        <f>+H28+K28+L28+M28</f>
        <v>644.92449999999997</v>
      </c>
      <c r="P28" s="56">
        <f>ROUND((O28-N28)/N28,4)</f>
        <v>6.5299999999999997E-2</v>
      </c>
      <c r="Q28" s="1"/>
      <c r="S28" s="7">
        <f>$S$20</f>
        <v>90</v>
      </c>
      <c r="T28" s="21">
        <f>$T$17*E28</f>
        <v>108.0108</v>
      </c>
      <c r="U28" s="21">
        <f>ROUND((($A$28*$U$17)+($A$28*(5192/1491)*$U$18)),2)</f>
        <v>409.52</v>
      </c>
      <c r="V28" s="21"/>
      <c r="W28" s="21">
        <f>S28+T28+U28</f>
        <v>607.5308</v>
      </c>
      <c r="X28" s="26"/>
      <c r="Y28" s="26"/>
      <c r="Z28" s="21"/>
      <c r="AB28" s="375">
        <f>AB$20</f>
        <v>90.095000000000013</v>
      </c>
      <c r="AC28" s="7">
        <f>$AC$17*E28</f>
        <v>107.4195</v>
      </c>
      <c r="AD28" s="21">
        <f>ROUND((($A$28*$AD$17)+($A$28*(5192/1491)*$AD$18)),2)</f>
        <v>449.57</v>
      </c>
      <c r="AE28" s="21"/>
      <c r="AF28" s="21">
        <f>AB28+AC28+AD28</f>
        <v>647.08449999999993</v>
      </c>
      <c r="AG28" s="21"/>
      <c r="AH28" s="26"/>
      <c r="AI28" s="21">
        <f>AF28-W28</f>
        <v>39.553699999999935</v>
      </c>
      <c r="AJ28" s="17">
        <f>AF28/W28-1</f>
        <v>6.5105670362720636E-2</v>
      </c>
      <c r="AK28" s="7">
        <f>AH28-X28</f>
        <v>0</v>
      </c>
      <c r="AM28" s="18" t="e">
        <f>AH28/X28-1</f>
        <v>#DIV/0!</v>
      </c>
    </row>
    <row r="29" spans="1:39" x14ac:dyDescent="0.2">
      <c r="C29" s="13">
        <v>0.5</v>
      </c>
      <c r="E29" s="1">
        <f>C29*($A$28*730)</f>
        <v>5475</v>
      </c>
      <c r="F29" s="1"/>
      <c r="G29" s="21">
        <f t="shared" si="0"/>
        <v>679.53800000000001</v>
      </c>
      <c r="H29" s="21">
        <f t="shared" si="1"/>
        <v>718.69749999999999</v>
      </c>
      <c r="I29" s="30">
        <f>+H29-G29</f>
        <v>39.15949999999998</v>
      </c>
      <c r="J29" s="56">
        <f>ROUND(+I29/G29,4)</f>
        <v>5.7599999999999998E-2</v>
      </c>
      <c r="K29" s="30">
        <f>ROUND($T$10*$E29,2)</f>
        <v>-9.98</v>
      </c>
      <c r="L29" s="30">
        <f>ROUND($T$11*$E29,2)</f>
        <v>0.6</v>
      </c>
      <c r="M29" s="30">
        <f>ROUND($T$12*$E29,2)</f>
        <v>5.79</v>
      </c>
      <c r="N29" s="30">
        <f>+G29+K29+L29+M29</f>
        <v>675.94799999999998</v>
      </c>
      <c r="O29" s="30">
        <f>+H29+K29+L29+M29</f>
        <v>715.10749999999996</v>
      </c>
      <c r="P29" s="56">
        <f>ROUND((O29-N29)/N29,4)</f>
        <v>5.79E-2</v>
      </c>
      <c r="Q29" s="1"/>
      <c r="S29" s="7">
        <f>$S$20</f>
        <v>90</v>
      </c>
      <c r="T29" s="21">
        <f>$T$17*E29</f>
        <v>180.018</v>
      </c>
      <c r="U29" s="21">
        <f t="shared" ref="U29:U30" si="6">ROUND((($A$28*$U$17)+($A$28*(5192/1491)*$U$18)),2)</f>
        <v>409.52</v>
      </c>
      <c r="V29" s="21"/>
      <c r="W29" s="21">
        <f>S29+T29+U29</f>
        <v>679.53800000000001</v>
      </c>
      <c r="X29" s="26"/>
      <c r="Y29" s="26"/>
      <c r="Z29" s="21"/>
      <c r="AB29" s="375">
        <f>AB$20</f>
        <v>90.095000000000013</v>
      </c>
      <c r="AC29" s="7">
        <f>$AC$17*E29</f>
        <v>179.0325</v>
      </c>
      <c r="AD29" s="21">
        <f t="shared" ref="AD29:AD30" si="7">ROUND((($A$28*$AD$17)+($A$28*(5192/1491)*$AD$18)),2)</f>
        <v>449.57</v>
      </c>
      <c r="AE29" s="21"/>
      <c r="AF29" s="21">
        <f>AB29+AC29+AD29</f>
        <v>718.69749999999999</v>
      </c>
      <c r="AG29" s="21"/>
      <c r="AH29" s="26"/>
      <c r="AI29" s="21">
        <f>AF29-W29</f>
        <v>39.15949999999998</v>
      </c>
      <c r="AJ29" s="17">
        <f>AF29/W29-1</f>
        <v>5.7626652225482466E-2</v>
      </c>
      <c r="AK29" s="7">
        <f>AH29-X29</f>
        <v>0</v>
      </c>
      <c r="AM29" s="18" t="e">
        <f>AH29/X29-1</f>
        <v>#DIV/0!</v>
      </c>
    </row>
    <row r="30" spans="1:39" x14ac:dyDescent="0.2">
      <c r="C30" s="13">
        <v>0.7</v>
      </c>
      <c r="E30" s="1">
        <f>C30*($A$28*730)</f>
        <v>7664.9999999999991</v>
      </c>
      <c r="F30" s="1"/>
      <c r="G30" s="21">
        <f t="shared" si="0"/>
        <v>751.54519999999991</v>
      </c>
      <c r="H30" s="21">
        <f t="shared" si="1"/>
        <v>790.31050000000005</v>
      </c>
      <c r="I30" s="30">
        <f>+H30-G30</f>
        <v>38.765300000000138</v>
      </c>
      <c r="J30" s="56">
        <f>ROUND(+I30/G30,4)</f>
        <v>5.16E-2</v>
      </c>
      <c r="K30" s="30">
        <f>ROUND($T$10*$E30,2)</f>
        <v>-13.97</v>
      </c>
      <c r="L30" s="30">
        <f>ROUND($T$11*$E30,2)</f>
        <v>0.84</v>
      </c>
      <c r="M30" s="30">
        <f>ROUND($T$12*$E30,2)</f>
        <v>8.1</v>
      </c>
      <c r="N30" s="30">
        <f>+G30+K30+L30+M30</f>
        <v>746.51519999999994</v>
      </c>
      <c r="O30" s="30">
        <f>+H30+K30+L30+M30</f>
        <v>785.28050000000007</v>
      </c>
      <c r="P30" s="56">
        <f>ROUND((O30-N30)/N30,4)</f>
        <v>5.1900000000000002E-2</v>
      </c>
      <c r="Q30" s="1"/>
      <c r="S30" s="7">
        <f>$S$20</f>
        <v>90</v>
      </c>
      <c r="T30" s="21">
        <f>$T$17*E30</f>
        <v>252.02519999999996</v>
      </c>
      <c r="U30" s="21">
        <f t="shared" si="6"/>
        <v>409.52</v>
      </c>
      <c r="V30" s="21"/>
      <c r="W30" s="21">
        <f>S30+T30+U30</f>
        <v>751.54519999999991</v>
      </c>
      <c r="X30" s="26"/>
      <c r="Y30" s="26"/>
      <c r="Z30" s="21"/>
      <c r="AB30" s="375">
        <f>AB$20</f>
        <v>90.095000000000013</v>
      </c>
      <c r="AC30" s="7">
        <f>$AC$17*E30</f>
        <v>250.64549999999997</v>
      </c>
      <c r="AD30" s="21">
        <f t="shared" si="7"/>
        <v>449.57</v>
      </c>
      <c r="AE30" s="21"/>
      <c r="AF30" s="21">
        <f>AB30+AC30+AD30</f>
        <v>790.31050000000005</v>
      </c>
      <c r="AG30" s="21"/>
      <c r="AH30" s="26"/>
      <c r="AI30" s="21">
        <f>AF30-W30</f>
        <v>38.765300000000138</v>
      </c>
      <c r="AJ30" s="17">
        <f>AF30/W30-1</f>
        <v>5.1580796471057511E-2</v>
      </c>
      <c r="AK30" s="7">
        <f>AH30-X30</f>
        <v>0</v>
      </c>
      <c r="AM30" s="18" t="e">
        <f>AH30/X30-1</f>
        <v>#DIV/0!</v>
      </c>
    </row>
    <row r="31" spans="1:39" x14ac:dyDescent="0.2">
      <c r="C31" s="13"/>
      <c r="E31" s="1"/>
      <c r="F31" s="1"/>
      <c r="G31" s="21"/>
      <c r="H31" s="21"/>
      <c r="J31" s="5"/>
      <c r="K31" s="1"/>
      <c r="L31" s="1"/>
      <c r="M31" s="1"/>
      <c r="P31" s="56"/>
      <c r="Q31" s="1"/>
      <c r="S31" s="7"/>
      <c r="T31" s="21"/>
      <c r="U31" s="21"/>
      <c r="V31" s="21"/>
      <c r="W31" s="21"/>
      <c r="X31" s="26"/>
      <c r="Y31" s="26"/>
      <c r="AB31" s="375"/>
      <c r="AC31" s="7"/>
      <c r="AD31" s="21"/>
      <c r="AE31" s="21"/>
      <c r="AF31" s="21"/>
      <c r="AG31" s="21"/>
      <c r="AH31" s="26"/>
      <c r="AJ31" s="17"/>
      <c r="AK31" s="6"/>
      <c r="AM31" s="6"/>
    </row>
    <row r="32" spans="1:39" x14ac:dyDescent="0.2">
      <c r="A32" s="1">
        <v>20</v>
      </c>
      <c r="B32" s="1"/>
      <c r="C32" s="13">
        <v>0.3</v>
      </c>
      <c r="E32" s="1">
        <f>C32*($A$32*730)</f>
        <v>4380</v>
      </c>
      <c r="F32" s="1"/>
      <c r="G32" s="21">
        <f t="shared" si="0"/>
        <v>780.03440000000001</v>
      </c>
      <c r="H32" s="21">
        <f t="shared" si="1"/>
        <v>832.74099999999999</v>
      </c>
      <c r="I32" s="30">
        <f>+H32-G32</f>
        <v>52.70659999999998</v>
      </c>
      <c r="J32" s="56">
        <f>ROUND(+I32/G32,4)</f>
        <v>6.7599999999999993E-2</v>
      </c>
      <c r="K32" s="30">
        <f>ROUND($T$10*$E32,2)</f>
        <v>-7.98</v>
      </c>
      <c r="L32" s="30">
        <f>ROUND($T$11*$E32,2)</f>
        <v>0.48</v>
      </c>
      <c r="M32" s="30">
        <f>ROUND($T$12*$E32,2)</f>
        <v>4.63</v>
      </c>
      <c r="N32" s="30">
        <f>+G32+K32+L32+M32</f>
        <v>777.1644</v>
      </c>
      <c r="O32" s="30">
        <f>+H32+K32+L32+M32</f>
        <v>829.87099999999998</v>
      </c>
      <c r="P32" s="56">
        <f>ROUND((O32-N32)/N32,4)</f>
        <v>6.7799999999999999E-2</v>
      </c>
      <c r="Q32" s="1"/>
      <c r="S32" s="7">
        <f>$S$20</f>
        <v>90</v>
      </c>
      <c r="T32" s="21">
        <f>$T$17*E32</f>
        <v>144.01439999999999</v>
      </c>
      <c r="U32" s="21">
        <f>ROUND((($A$32*$U$17)+($A$32*(5192/1491)*$U$18)),2)</f>
        <v>546.02</v>
      </c>
      <c r="V32" s="21"/>
      <c r="W32" s="21">
        <f>S32+T32+U32</f>
        <v>780.03440000000001</v>
      </c>
      <c r="X32" s="26"/>
      <c r="Y32" s="26"/>
      <c r="Z32" s="21"/>
      <c r="AB32" s="375">
        <f>AB$20</f>
        <v>90.095000000000013</v>
      </c>
      <c r="AC32" s="7">
        <f>$AC$17*E32</f>
        <v>143.226</v>
      </c>
      <c r="AD32" s="21">
        <f>ROUND((($A$32*$AD$17)+($A$32*(5192/1491)*$AD$18)),2)</f>
        <v>599.41999999999996</v>
      </c>
      <c r="AE32" s="21"/>
      <c r="AF32" s="21">
        <f>AB32+AC32+AD32</f>
        <v>832.74099999999999</v>
      </c>
      <c r="AG32" s="21"/>
      <c r="AH32" s="26"/>
      <c r="AI32" s="21">
        <f>AF32-W32</f>
        <v>52.70659999999998</v>
      </c>
      <c r="AJ32" s="17">
        <f>AF32/W32-1</f>
        <v>6.7569584110649394E-2</v>
      </c>
      <c r="AK32" s="7">
        <f>AH32-X32</f>
        <v>0</v>
      </c>
      <c r="AM32" s="18" t="e">
        <f>AH32/X32-1</f>
        <v>#DIV/0!</v>
      </c>
    </row>
    <row r="33" spans="1:39" x14ac:dyDescent="0.2">
      <c r="C33" s="13">
        <v>0.5</v>
      </c>
      <c r="E33" s="1">
        <f>C33*($A$32*730)</f>
        <v>7300</v>
      </c>
      <c r="F33" s="1"/>
      <c r="G33" s="21">
        <f t="shared" si="0"/>
        <v>876.04399999999998</v>
      </c>
      <c r="H33" s="21">
        <f t="shared" si="1"/>
        <v>928.22499999999991</v>
      </c>
      <c r="I33" s="30">
        <f>+H33-G33</f>
        <v>52.180999999999926</v>
      </c>
      <c r="J33" s="56">
        <f>ROUND(+I33/G33,4)</f>
        <v>5.96E-2</v>
      </c>
      <c r="K33" s="30">
        <f>ROUND($T$10*$E33,2)</f>
        <v>-13.31</v>
      </c>
      <c r="L33" s="30">
        <f>ROUND($T$11*$E33,2)</f>
        <v>0.8</v>
      </c>
      <c r="M33" s="30">
        <f>ROUND($T$12*$E33,2)</f>
        <v>7.71</v>
      </c>
      <c r="N33" s="30">
        <f>+G33+K33+L33+M33</f>
        <v>871.24400000000003</v>
      </c>
      <c r="O33" s="30">
        <f>+H33+K33+L33+M33</f>
        <v>923.42499999999995</v>
      </c>
      <c r="P33" s="56">
        <f>ROUND((O33-N33)/N33,4)</f>
        <v>5.9900000000000002E-2</v>
      </c>
      <c r="Q33" s="1"/>
      <c r="S33" s="7">
        <f>$S$20</f>
        <v>90</v>
      </c>
      <c r="T33" s="21">
        <f>$T$17*E33</f>
        <v>240.024</v>
      </c>
      <c r="U33" s="21">
        <f t="shared" ref="U33:U34" si="8">ROUND((($A$32*$U$17)+($A$32*(5192/1491)*$U$18)),2)</f>
        <v>546.02</v>
      </c>
      <c r="V33" s="21"/>
      <c r="W33" s="21">
        <f>S33+T33+U33</f>
        <v>876.04399999999998</v>
      </c>
      <c r="X33" s="26"/>
      <c r="Y33" s="26"/>
      <c r="Z33" s="21"/>
      <c r="AB33" s="375">
        <f>AB$20</f>
        <v>90.095000000000013</v>
      </c>
      <c r="AC33" s="7">
        <f>$AC$17*E33</f>
        <v>238.71</v>
      </c>
      <c r="AD33" s="21">
        <f t="shared" ref="AD33:AD34" si="9">ROUND((($A$32*$AD$17)+($A$32*(5192/1491)*$AD$18)),2)</f>
        <v>599.41999999999996</v>
      </c>
      <c r="AE33" s="21"/>
      <c r="AF33" s="21">
        <f>AB33+AC33+AD33</f>
        <v>928.22499999999991</v>
      </c>
      <c r="AG33" s="21"/>
      <c r="AH33" s="26"/>
      <c r="AI33" s="21">
        <f>AF33-W33</f>
        <v>52.180999999999926</v>
      </c>
      <c r="AJ33" s="17">
        <f>AF33/W33-1</f>
        <v>5.9564359781015375E-2</v>
      </c>
      <c r="AK33" s="7">
        <f>AH33-X33</f>
        <v>0</v>
      </c>
      <c r="AM33" s="18" t="e">
        <f>AH33/X33-1</f>
        <v>#DIV/0!</v>
      </c>
    </row>
    <row r="34" spans="1:39" x14ac:dyDescent="0.2">
      <c r="C34" s="13">
        <v>0.7</v>
      </c>
      <c r="E34" s="1">
        <f>C34*($A$32*730)</f>
        <v>10220</v>
      </c>
      <c r="F34" s="1"/>
      <c r="G34" s="21">
        <f t="shared" si="0"/>
        <v>972.05359999999996</v>
      </c>
      <c r="H34" s="21">
        <f t="shared" si="1"/>
        <v>1023.7090000000001</v>
      </c>
      <c r="I34" s="30">
        <f>+H34-G34</f>
        <v>51.6554000000001</v>
      </c>
      <c r="J34" s="56">
        <f>ROUND(+I34/G34,4)</f>
        <v>5.3100000000000001E-2</v>
      </c>
      <c r="K34" s="30">
        <f>ROUND($T$10*$E34,2)</f>
        <v>-18.63</v>
      </c>
      <c r="L34" s="30">
        <f>ROUND($T$11*$E34,2)</f>
        <v>1.1200000000000001</v>
      </c>
      <c r="M34" s="30">
        <f>ROUND($T$12*$E34,2)</f>
        <v>10.8</v>
      </c>
      <c r="N34" s="30">
        <f>+G34+K34+L34+M34</f>
        <v>965.34359999999992</v>
      </c>
      <c r="O34" s="30">
        <f>+H34+K34+L34+M34</f>
        <v>1016.999</v>
      </c>
      <c r="P34" s="56">
        <f>ROUND((O34-N34)/N34,4)</f>
        <v>5.3499999999999999E-2</v>
      </c>
      <c r="Q34" s="1"/>
      <c r="S34" s="7">
        <f>$S$20</f>
        <v>90</v>
      </c>
      <c r="T34" s="21">
        <f>$T$17*E34</f>
        <v>336.03359999999998</v>
      </c>
      <c r="U34" s="21">
        <f t="shared" si="8"/>
        <v>546.02</v>
      </c>
      <c r="V34" s="21"/>
      <c r="W34" s="21">
        <f>S34+T34+U34</f>
        <v>972.05359999999996</v>
      </c>
      <c r="X34" s="26"/>
      <c r="Y34" s="26"/>
      <c r="Z34" s="21"/>
      <c r="AB34" s="375">
        <f>AB$20</f>
        <v>90.095000000000013</v>
      </c>
      <c r="AC34" s="7">
        <f>$AC$17*E34</f>
        <v>334.19400000000002</v>
      </c>
      <c r="AD34" s="21">
        <f t="shared" si="9"/>
        <v>599.41999999999996</v>
      </c>
      <c r="AE34" s="21"/>
      <c r="AF34" s="21">
        <f>AB34+AC34+AD34</f>
        <v>1023.7090000000001</v>
      </c>
      <c r="AG34" s="21"/>
      <c r="AH34" s="26"/>
      <c r="AI34" s="21">
        <f>AF34-W34</f>
        <v>51.6554000000001</v>
      </c>
      <c r="AJ34" s="17">
        <f>AF34/W34-1</f>
        <v>5.3140485257191727E-2</v>
      </c>
      <c r="AK34" s="7">
        <f>AH34-X34</f>
        <v>0</v>
      </c>
      <c r="AM34" s="18" t="e">
        <f>AH34/X34-1</f>
        <v>#DIV/0!</v>
      </c>
    </row>
    <row r="35" spans="1:39" x14ac:dyDescent="0.2">
      <c r="C35" s="13"/>
      <c r="E35" s="1"/>
      <c r="F35" s="1"/>
      <c r="G35" s="21"/>
      <c r="H35" s="21"/>
      <c r="J35" s="5"/>
      <c r="K35" s="1"/>
      <c r="L35" s="1"/>
      <c r="M35" s="1"/>
      <c r="P35" s="56"/>
      <c r="Q35" s="1"/>
      <c r="S35" s="7"/>
      <c r="T35" s="21"/>
      <c r="U35" s="21"/>
      <c r="V35" s="21"/>
      <c r="W35" s="21"/>
      <c r="X35" s="26"/>
      <c r="Y35" s="26"/>
      <c r="AB35" s="375"/>
      <c r="AC35" s="7"/>
      <c r="AD35" s="21"/>
      <c r="AE35" s="21"/>
      <c r="AF35" s="21"/>
      <c r="AG35" s="21"/>
      <c r="AH35" s="26"/>
      <c r="AJ35" s="17"/>
      <c r="AK35" s="6"/>
      <c r="AM35" s="6"/>
    </row>
    <row r="36" spans="1:39" x14ac:dyDescent="0.2">
      <c r="A36" s="1">
        <v>25</v>
      </c>
      <c r="B36" s="1"/>
      <c r="C36" s="13">
        <v>0.3</v>
      </c>
      <c r="E36" s="1">
        <f>C36*($A$36*730)</f>
        <v>5475</v>
      </c>
      <c r="F36" s="1"/>
      <c r="G36" s="21">
        <f t="shared" si="0"/>
        <v>952.548</v>
      </c>
      <c r="H36" s="21">
        <f t="shared" si="1"/>
        <v>1018.4075</v>
      </c>
      <c r="I36" s="30">
        <f>+H36-G36</f>
        <v>65.859500000000025</v>
      </c>
      <c r="J36" s="56">
        <f>ROUND(+I36/G36,4)</f>
        <v>6.9099999999999995E-2</v>
      </c>
      <c r="K36" s="30">
        <f>ROUND($T$10*$E36,2)</f>
        <v>-9.98</v>
      </c>
      <c r="L36" s="30">
        <f>ROUND($T$11*$E36,2)</f>
        <v>0.6</v>
      </c>
      <c r="M36" s="30">
        <f>ROUND($T$12*$E36,2)</f>
        <v>5.79</v>
      </c>
      <c r="N36" s="30">
        <f>+G36+K36+L36+M36</f>
        <v>948.95799999999997</v>
      </c>
      <c r="O36" s="30">
        <f>+H36+K36+L36+M36</f>
        <v>1014.8175</v>
      </c>
      <c r="P36" s="56">
        <f>ROUND((O36-N36)/N36,4)</f>
        <v>6.9400000000000003E-2</v>
      </c>
      <c r="Q36" s="1"/>
      <c r="S36" s="7">
        <f>$S$20</f>
        <v>90</v>
      </c>
      <c r="T36" s="21">
        <f>$T$17*E36</f>
        <v>180.018</v>
      </c>
      <c r="U36" s="21">
        <f>ROUND((($A$36*$U$17)+($A$36*(5192/1491)*$U$18)),2)</f>
        <v>682.53</v>
      </c>
      <c r="V36" s="21"/>
      <c r="W36" s="21">
        <f>S36+T36+U36</f>
        <v>952.548</v>
      </c>
      <c r="X36" s="26"/>
      <c r="Y36" s="26"/>
      <c r="Z36" s="21"/>
      <c r="AB36" s="375">
        <f>AB$20</f>
        <v>90.095000000000013</v>
      </c>
      <c r="AC36" s="7">
        <f>$AC$17*E36</f>
        <v>179.0325</v>
      </c>
      <c r="AD36" s="21">
        <f>ROUND((($A$36*$AD$17)+($A$36*(5192/1491)*$AD$18)),2)</f>
        <v>749.28</v>
      </c>
      <c r="AE36" s="21"/>
      <c r="AF36" s="21">
        <f>AB36+AC36+AD36</f>
        <v>1018.4075</v>
      </c>
      <c r="AG36" s="21"/>
      <c r="AH36" s="26"/>
      <c r="AI36" s="21">
        <f>AF36-W36</f>
        <v>65.859500000000025</v>
      </c>
      <c r="AJ36" s="17">
        <f>AF36/W36-1</f>
        <v>6.9140347782998823E-2</v>
      </c>
      <c r="AK36" s="7">
        <f>AH36-X36</f>
        <v>0</v>
      </c>
      <c r="AM36" s="18" t="e">
        <f>AH36/X36-1</f>
        <v>#DIV/0!</v>
      </c>
    </row>
    <row r="37" spans="1:39" x14ac:dyDescent="0.2">
      <c r="C37" s="13">
        <v>0.5</v>
      </c>
      <c r="E37" s="1">
        <f>C37*($A$36*730)</f>
        <v>9125</v>
      </c>
      <c r="F37" s="1"/>
      <c r="G37" s="21">
        <f t="shared" si="0"/>
        <v>1072.56</v>
      </c>
      <c r="H37" s="21">
        <f t="shared" si="1"/>
        <v>1137.7625</v>
      </c>
      <c r="I37" s="30">
        <f>+H37-G37</f>
        <v>65.2025000000001</v>
      </c>
      <c r="J37" s="56">
        <f>ROUND(+I37/G37,4)</f>
        <v>6.08E-2</v>
      </c>
      <c r="K37" s="30">
        <f>ROUND($T$10*$E37,2)</f>
        <v>-16.63</v>
      </c>
      <c r="L37" s="30">
        <f>ROUND($T$11*$E37,2)</f>
        <v>1</v>
      </c>
      <c r="M37" s="30">
        <f>ROUND($T$12*$E37,2)</f>
        <v>9.64</v>
      </c>
      <c r="N37" s="30">
        <f>+G37+K37+L37+M37</f>
        <v>1066.57</v>
      </c>
      <c r="O37" s="30">
        <f>+H37+K37+L37+M37</f>
        <v>1131.7725</v>
      </c>
      <c r="P37" s="56">
        <f>ROUND((O37-N37)/N37,4)</f>
        <v>6.1100000000000002E-2</v>
      </c>
      <c r="Q37" s="1"/>
      <c r="S37" s="7">
        <f>$S$20</f>
        <v>90</v>
      </c>
      <c r="T37" s="21">
        <f>$T$17*E37</f>
        <v>300.02999999999997</v>
      </c>
      <c r="U37" s="21">
        <f t="shared" ref="U37:U38" si="10">ROUND((($A$36*$U$17)+($A$36*(5192/1491)*$U$18)),2)</f>
        <v>682.53</v>
      </c>
      <c r="V37" s="21"/>
      <c r="W37" s="21">
        <f>S37+T37+U37</f>
        <v>1072.56</v>
      </c>
      <c r="X37" s="26"/>
      <c r="Y37" s="26"/>
      <c r="Z37" s="21"/>
      <c r="AB37" s="375">
        <f>AB$20</f>
        <v>90.095000000000013</v>
      </c>
      <c r="AC37" s="7">
        <f>$AC$17*E37</f>
        <v>298.38749999999999</v>
      </c>
      <c r="AD37" s="21">
        <f t="shared" ref="AD37:AD38" si="11">ROUND((($A$36*$AD$17)+($A$36*(5192/1491)*$AD$18)),2)</f>
        <v>749.28</v>
      </c>
      <c r="AE37" s="21"/>
      <c r="AF37" s="21">
        <f>AB37+AC37+AD37</f>
        <v>1137.7625</v>
      </c>
      <c r="AG37" s="21"/>
      <c r="AH37" s="26"/>
      <c r="AI37" s="21">
        <f>AF37-W37</f>
        <v>65.2025000000001</v>
      </c>
      <c r="AJ37" s="17">
        <f>AF37/W37-1</f>
        <v>6.0791470873424513E-2</v>
      </c>
      <c r="AK37" s="7">
        <f>AH37-X37</f>
        <v>0</v>
      </c>
      <c r="AM37" s="18" t="e">
        <f>AH37/X37-1</f>
        <v>#DIV/0!</v>
      </c>
    </row>
    <row r="38" spans="1:39" x14ac:dyDescent="0.2">
      <c r="C38" s="13">
        <v>0.7</v>
      </c>
      <c r="E38" s="1">
        <f>C38*($A$36*730)</f>
        <v>12775</v>
      </c>
      <c r="F38" s="1"/>
      <c r="G38" s="21">
        <f t="shared" si="0"/>
        <v>1192.5719999999999</v>
      </c>
      <c r="H38" s="21">
        <f t="shared" si="1"/>
        <v>1257.1175000000001</v>
      </c>
      <c r="I38" s="30">
        <f>+H38-G38</f>
        <v>64.545500000000175</v>
      </c>
      <c r="J38" s="56">
        <f>ROUND(+I38/G38,4)</f>
        <v>5.4100000000000002E-2</v>
      </c>
      <c r="K38" s="30">
        <f>ROUND($T$10*$E38,2)</f>
        <v>-23.29</v>
      </c>
      <c r="L38" s="30">
        <f>ROUND($T$11*$E38,2)</f>
        <v>1.4</v>
      </c>
      <c r="M38" s="30">
        <f>ROUND($T$12*$E38,2)</f>
        <v>13.5</v>
      </c>
      <c r="N38" s="30">
        <f>+G38+K38+L38+M38</f>
        <v>1184.182</v>
      </c>
      <c r="O38" s="30">
        <f>+H38+K38+L38+M38</f>
        <v>1248.7275000000002</v>
      </c>
      <c r="P38" s="56">
        <f>ROUND((O38-N38)/N38,4)</f>
        <v>5.45E-2</v>
      </c>
      <c r="Q38" s="1"/>
      <c r="S38" s="7">
        <f>$S$20</f>
        <v>90</v>
      </c>
      <c r="T38" s="21">
        <f>$T$17*E38</f>
        <v>420.04199999999997</v>
      </c>
      <c r="U38" s="21">
        <f t="shared" si="10"/>
        <v>682.53</v>
      </c>
      <c r="V38" s="21"/>
      <c r="W38" s="21">
        <f>S38+T38+U38</f>
        <v>1192.5719999999999</v>
      </c>
      <c r="X38" s="26"/>
      <c r="Y38" s="26"/>
      <c r="Z38" s="21"/>
      <c r="AB38" s="375">
        <f>AB$20</f>
        <v>90.095000000000013</v>
      </c>
      <c r="AC38" s="7">
        <f>$AC$17*E38</f>
        <v>417.74250000000001</v>
      </c>
      <c r="AD38" s="21">
        <f t="shared" si="11"/>
        <v>749.28</v>
      </c>
      <c r="AE38" s="21"/>
      <c r="AF38" s="21">
        <f>AB38+AC38+AD38</f>
        <v>1257.1175000000001</v>
      </c>
      <c r="AG38" s="21"/>
      <c r="AH38" s="26"/>
      <c r="AI38" s="21">
        <f>AF38-W38</f>
        <v>64.545500000000175</v>
      </c>
      <c r="AJ38" s="17">
        <f>AF38/W38-1</f>
        <v>5.4122937650724845E-2</v>
      </c>
      <c r="AK38" s="7">
        <f>AH38-X38</f>
        <v>0</v>
      </c>
      <c r="AM38" s="18" t="e">
        <f>AH38/X38-1</f>
        <v>#DIV/0!</v>
      </c>
    </row>
    <row r="39" spans="1:39" x14ac:dyDescent="0.2">
      <c r="T39" s="21"/>
      <c r="U39" s="21"/>
      <c r="V39" s="21"/>
      <c r="W39" s="21"/>
      <c r="X39" s="21"/>
      <c r="Y39" s="21"/>
      <c r="AE39" s="21"/>
    </row>
    <row r="40" spans="1:39" x14ac:dyDescent="0.2">
      <c r="A40" s="17" t="s">
        <v>313</v>
      </c>
      <c r="M40" s="53"/>
      <c r="T40" s="21"/>
      <c r="U40" s="21"/>
      <c r="V40" s="21"/>
      <c r="W40" s="21"/>
      <c r="X40" s="21"/>
      <c r="Y40" s="21"/>
    </row>
    <row r="41" spans="1:39" x14ac:dyDescent="0.2">
      <c r="A41" s="179" t="str">
        <f>("Average usage = "&amp;TEXT(INPUT!$S19*1,"0,000")&amp;" kWh per month")</f>
        <v>Average usage = 5,204 kWh per month</v>
      </c>
      <c r="G41" s="31"/>
      <c r="T41" s="21"/>
      <c r="U41" s="21"/>
      <c r="V41" s="21"/>
      <c r="W41" s="21"/>
      <c r="X41" s="21"/>
      <c r="Y41" s="21"/>
    </row>
    <row r="42" spans="1:39" x14ac:dyDescent="0.2">
      <c r="A42" s="180" t="s">
        <v>314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2"/>
      <c r="AF42" s="21"/>
      <c r="AG42" s="21"/>
      <c r="AH42" s="21"/>
      <c r="AI42" s="21"/>
      <c r="AJ42" s="21"/>
      <c r="AK42" s="6"/>
    </row>
    <row r="43" spans="1:39" x14ac:dyDescent="0.2">
      <c r="A43" s="181" t="s">
        <v>316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180" t="str">
        <f>+'Rate Case Constants'!$C$26</f>
        <v>Calculations may vary from other schedules due to rounding</v>
      </c>
      <c r="AE44" s="9"/>
    </row>
    <row r="45" spans="1:39" x14ac:dyDescent="0.2">
      <c r="A45" s="183"/>
      <c r="S45" s="3"/>
      <c r="W45" s="3"/>
      <c r="AA45" s="3"/>
      <c r="AE45" s="9"/>
    </row>
    <row r="46" spans="1:39" x14ac:dyDescent="0.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2"/>
      <c r="AC46" s="3"/>
      <c r="AE46" s="3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3"/>
      <c r="U48" s="3"/>
      <c r="V48" s="3"/>
      <c r="W48" s="3"/>
      <c r="X48" s="3"/>
      <c r="Y48" s="3"/>
    </row>
    <row r="49" spans="2:31" x14ac:dyDescent="0.2">
      <c r="B49" s="18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7"/>
      <c r="T49" s="12"/>
      <c r="W49" s="12"/>
      <c r="X49" s="12"/>
      <c r="Y49" s="12"/>
      <c r="AA49" s="6"/>
      <c r="AC49" s="6"/>
      <c r="AE49" s="9"/>
    </row>
    <row r="50" spans="2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2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2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B52" s="10"/>
      <c r="AC52" s="6"/>
      <c r="AD52" s="10"/>
      <c r="AE52" s="9"/>
    </row>
    <row r="53" spans="2:31" ht="6.75" customHeight="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2:3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C54" s="6"/>
      <c r="AE54" s="9"/>
    </row>
    <row r="55" spans="2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2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2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2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2:31" ht="6.75" customHeight="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2:3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2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2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2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2:31" x14ac:dyDescent="0.2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T64" s="3"/>
      <c r="U64" s="3"/>
      <c r="V64" s="3"/>
      <c r="W64" s="3"/>
      <c r="X64" s="3"/>
      <c r="Y64" s="3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AE66" s="9"/>
    </row>
    <row r="67" spans="5:35" x14ac:dyDescent="0.2">
      <c r="AH67" s="4"/>
      <c r="AI67" s="4"/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75" right="0.75" top="1.5" bottom="0.5" header="1" footer="0.5"/>
  <pageSetup scale="7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67"/>
  <sheetViews>
    <sheetView view="pageBreakPreview" zoomScale="80" zoomScaleNormal="100" zoomScaleSheetLayoutView="80" workbookViewId="0">
      <selection sqref="A1:P1"/>
    </sheetView>
  </sheetViews>
  <sheetFormatPr defaultRowHeight="12.75" x14ac:dyDescent="0.2"/>
  <cols>
    <col min="1" max="1" width="10.42578125" customWidth="1"/>
    <col min="2" max="2" width="3.7109375" customWidth="1"/>
    <col min="3" max="3" width="6.5703125" customWidth="1"/>
    <col min="4" max="4" width="1.85546875" customWidth="1"/>
    <col min="5" max="5" width="12" bestFit="1" customWidth="1"/>
    <col min="6" max="6" width="2" customWidth="1"/>
    <col min="7" max="7" width="15.140625" bestFit="1" customWidth="1"/>
    <col min="8" max="8" width="14.7109375" customWidth="1"/>
    <col min="9" max="9" width="13.42578125" bestFit="1" customWidth="1"/>
    <col min="10" max="10" width="9.85546875" customWidth="1"/>
    <col min="11" max="11" width="14.28515625" bestFit="1" customWidth="1"/>
    <col min="12" max="12" width="13.42578125" bestFit="1" customWidth="1"/>
    <col min="13" max="13" width="15.140625" customWidth="1"/>
    <col min="14" max="15" width="15.140625" bestFit="1" customWidth="1"/>
    <col min="16" max="18" width="9.85546875" customWidth="1"/>
    <col min="19" max="19" width="10" customWidth="1"/>
    <col min="20" max="21" width="14.42578125" bestFit="1" customWidth="1"/>
    <col min="22" max="22" width="4" customWidth="1"/>
    <col min="23" max="23" width="12.7109375" bestFit="1" customWidth="1"/>
    <col min="24" max="24" width="14.42578125" bestFit="1" customWidth="1"/>
    <col min="25" max="25" width="3.140625" customWidth="1"/>
    <col min="26" max="26" width="14.42578125" customWidth="1"/>
    <col min="27" max="27" width="3.85546875" customWidth="1"/>
    <col min="28" max="28" width="13.140625" bestFit="1" customWidth="1"/>
    <col min="29" max="30" width="14.42578125" bestFit="1" customWidth="1"/>
    <col min="31" max="31" width="12.7109375" bestFit="1" customWidth="1"/>
    <col min="32" max="32" width="13.85546875" bestFit="1" customWidth="1"/>
    <col min="33" max="33" width="12.7109375" bestFit="1" customWidth="1"/>
    <col min="34" max="35" width="14.42578125" bestFit="1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96" t="str">
        <f>+'Rate Case Constants'!C9</f>
        <v>KENTUCKY UTILITIES COMPANY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39" x14ac:dyDescent="0.2">
      <c r="A2" s="396" t="str">
        <f>+'Rate Case Constants'!C10</f>
        <v>CASE NO. 2018-00294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39" x14ac:dyDescent="0.2">
      <c r="A3" s="397" t="str">
        <f>+'Rate Case Constants'!C24</f>
        <v>Typical Bill Comparison under Present &amp; Proposed Rates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39" x14ac:dyDescent="0.2">
      <c r="A4" s="396" t="str">
        <f>+'Rate Case Constants'!C21</f>
        <v>FORECAST PERIOD FOR THE 12 MONTHS ENDED APRIL 30, 2020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39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10"/>
      <c r="N5" s="210"/>
      <c r="O5" s="210"/>
      <c r="P5" s="210"/>
    </row>
    <row r="6" spans="1:39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210"/>
      <c r="N6" s="210"/>
      <c r="O6" s="210"/>
      <c r="P6" s="210"/>
    </row>
    <row r="7" spans="1:39" x14ac:dyDescent="0.2">
      <c r="A7" s="207" t="str">
        <f>+'Rate Case Constants'!C33</f>
        <v>DATA: ____BASE PERIOD__X___FORECASTED PERIOD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0"/>
      <c r="M7" s="210"/>
      <c r="N7" s="210"/>
      <c r="O7" s="210"/>
      <c r="P7" s="214" t="str">
        <f>+'Rate Case Constants'!C25</f>
        <v>SCHEDULE N</v>
      </c>
    </row>
    <row r="8" spans="1:39" x14ac:dyDescent="0.2">
      <c r="A8" s="207" t="str">
        <f>+'Rate Case Constants'!C29</f>
        <v>TYPE OF FILING: __X__ ORIGINAL  _____ UPDATED  _____ REVISED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10"/>
      <c r="M8" s="210"/>
      <c r="N8" s="210"/>
      <c r="O8" s="210"/>
      <c r="P8" s="208" t="str">
        <f>+'Rate Case Constants'!L29</f>
        <v>PAGE 22 of 24</v>
      </c>
    </row>
    <row r="9" spans="1:3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  <c r="T9" t="s">
        <v>503</v>
      </c>
    </row>
    <row r="10" spans="1:39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>
        <f>+INPUT!G69</f>
        <v>-1.8227489752831473E-3</v>
      </c>
    </row>
    <row r="11" spans="1:39" x14ac:dyDescent="0.2">
      <c r="A11" s="126" t="s">
        <v>386</v>
      </c>
      <c r="S11" s="85" t="s">
        <v>73</v>
      </c>
      <c r="T11">
        <f>+INPUT!H69</f>
        <v>1.0941831330396638E-4</v>
      </c>
      <c r="V11" s="61"/>
      <c r="AD11" s="61" t="s">
        <v>253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5" t="s">
        <v>72</v>
      </c>
      <c r="T12">
        <f>+INPUT!I69</f>
        <v>1.0568207821553825E-3</v>
      </c>
    </row>
    <row r="13" spans="1:39" x14ac:dyDescent="0.2">
      <c r="A13" s="44"/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U13" s="3"/>
      <c r="V13" s="3"/>
      <c r="W13" s="3"/>
      <c r="Y13" t="s">
        <v>72</v>
      </c>
      <c r="Z13" s="3"/>
      <c r="AD13" s="21"/>
      <c r="AE13" s="22"/>
      <c r="AF13" s="22"/>
      <c r="AG13" s="22"/>
      <c r="AH13" s="21" t="s">
        <v>72</v>
      </c>
      <c r="AI13" s="3"/>
    </row>
    <row r="14" spans="1:39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3" t="s">
        <v>1</v>
      </c>
      <c r="V14" s="3"/>
      <c r="W14" s="3" t="s">
        <v>1</v>
      </c>
      <c r="X14" s="3"/>
      <c r="Y14" s="3" t="s">
        <v>1</v>
      </c>
      <c r="Z14" s="3"/>
      <c r="AB14" t="s">
        <v>9</v>
      </c>
      <c r="AC14" s="3" t="s">
        <v>9</v>
      </c>
      <c r="AD14" s="3" t="s">
        <v>9</v>
      </c>
      <c r="AE14" s="22"/>
      <c r="AF14" s="22" t="s">
        <v>9</v>
      </c>
      <c r="AG14" s="22"/>
      <c r="AH14" s="22" t="s">
        <v>1</v>
      </c>
      <c r="AI14" s="3"/>
      <c r="AK14" s="3"/>
    </row>
    <row r="15" spans="1:39" x14ac:dyDescent="0.2">
      <c r="C15" s="3" t="s">
        <v>23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3" t="s">
        <v>28</v>
      </c>
      <c r="V15" s="3"/>
      <c r="W15" s="3" t="s">
        <v>5</v>
      </c>
      <c r="X15" s="3"/>
      <c r="Y15" s="3" t="s">
        <v>76</v>
      </c>
      <c r="Z15" s="3"/>
      <c r="AB15" t="s">
        <v>55</v>
      </c>
      <c r="AC15" s="27" t="s">
        <v>56</v>
      </c>
      <c r="AD15" s="3" t="s">
        <v>18</v>
      </c>
      <c r="AE15" s="22"/>
      <c r="AF15" s="22" t="s">
        <v>5</v>
      </c>
      <c r="AG15" s="22"/>
      <c r="AH15" s="22" t="s">
        <v>76</v>
      </c>
      <c r="AI15" s="3" t="s">
        <v>6</v>
      </c>
      <c r="AJ15" t="s">
        <v>8</v>
      </c>
      <c r="AK15" s="3" t="s">
        <v>6</v>
      </c>
      <c r="AL15" s="3"/>
      <c r="AM15" s="3" t="s">
        <v>8</v>
      </c>
    </row>
    <row r="16" spans="1:39" x14ac:dyDescent="0.2">
      <c r="A16" s="3" t="s">
        <v>26</v>
      </c>
      <c r="C16" s="3" t="s">
        <v>24</v>
      </c>
      <c r="E16" s="3" t="s">
        <v>0</v>
      </c>
      <c r="F16" s="3"/>
      <c r="G16" s="3" t="s">
        <v>4</v>
      </c>
      <c r="H16" s="3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3" t="s">
        <v>4</v>
      </c>
      <c r="O16" s="3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3" t="s">
        <v>57</v>
      </c>
      <c r="V16" s="3"/>
      <c r="W16" s="3" t="s">
        <v>4</v>
      </c>
      <c r="X16" s="3"/>
      <c r="Y16" s="3" t="s">
        <v>3</v>
      </c>
      <c r="Z16" s="3"/>
      <c r="AB16" t="s">
        <v>3</v>
      </c>
      <c r="AC16" s="27" t="s">
        <v>3</v>
      </c>
      <c r="AD16" s="3" t="s">
        <v>54</v>
      </c>
      <c r="AE16" s="22"/>
      <c r="AF16" s="22" t="s">
        <v>4</v>
      </c>
      <c r="AG16" s="22"/>
      <c r="AH16" s="22" t="s">
        <v>3</v>
      </c>
      <c r="AI16" s="3" t="s">
        <v>7</v>
      </c>
      <c r="AJ16" t="s">
        <v>7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3"/>
      <c r="H17" s="3"/>
      <c r="I17" s="3" t="s">
        <v>69</v>
      </c>
      <c r="J17" s="27" t="s">
        <v>70</v>
      </c>
      <c r="K17" s="90"/>
      <c r="L17" s="90"/>
      <c r="M17" s="91"/>
      <c r="N17" s="3" t="s">
        <v>69</v>
      </c>
      <c r="O17" s="3" t="s">
        <v>69</v>
      </c>
      <c r="P17" s="27" t="s">
        <v>70</v>
      </c>
      <c r="Q17" s="3"/>
      <c r="R17" s="3"/>
      <c r="S17" s="27"/>
      <c r="T17" s="42">
        <f>INPUT!R6</f>
        <v>3.1890000000000002E-2</v>
      </c>
      <c r="U17" s="374">
        <f>INPUT!R13</f>
        <v>16.88</v>
      </c>
      <c r="V17" s="43" t="s">
        <v>501</v>
      </c>
      <c r="W17" s="43"/>
      <c r="X17" s="3"/>
      <c r="Y17" s="3"/>
      <c r="Z17" s="42"/>
      <c r="AC17" s="376">
        <f>INPUT!R27</f>
        <v>3.1890000000000002E-2</v>
      </c>
      <c r="AD17" s="42">
        <f>INPUT!R34</f>
        <v>19.57</v>
      </c>
      <c r="AE17" s="43" t="s">
        <v>501</v>
      </c>
      <c r="AF17" s="43"/>
      <c r="AG17" s="43"/>
      <c r="AH17" s="22"/>
      <c r="AI17" s="42"/>
      <c r="AK17" s="3"/>
      <c r="AL17" s="3"/>
      <c r="AM17" s="3"/>
    </row>
    <row r="18" spans="1:39" x14ac:dyDescent="0.2">
      <c r="A18" s="16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T18" s="3" t="s">
        <v>14</v>
      </c>
      <c r="U18" s="374">
        <f>INPUT!R15</f>
        <v>3.03</v>
      </c>
      <c r="V18" s="3" t="s">
        <v>502</v>
      </c>
      <c r="W18" s="3"/>
      <c r="X18" s="3"/>
      <c r="Y18" s="3" t="s">
        <v>14</v>
      </c>
      <c r="Z18" s="3"/>
      <c r="AC18" s="27" t="s">
        <v>14</v>
      </c>
      <c r="AD18" s="373">
        <f>INPUT!R36</f>
        <v>2.87</v>
      </c>
      <c r="AE18" s="3" t="s">
        <v>502</v>
      </c>
      <c r="AF18" s="3"/>
      <c r="AG18" s="3"/>
      <c r="AH18" s="22" t="s">
        <v>14</v>
      </c>
      <c r="AI18" s="3"/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3"/>
      <c r="V19" s="3"/>
      <c r="W19" s="3"/>
      <c r="X19" s="3"/>
      <c r="Y19" s="3"/>
      <c r="AC19" s="27"/>
      <c r="AD19" s="3"/>
      <c r="AE19" s="22"/>
      <c r="AF19" s="22"/>
      <c r="AG19" s="22"/>
      <c r="AH19" s="22"/>
      <c r="AK19" s="3"/>
      <c r="AL19" s="3"/>
      <c r="AM19" s="3"/>
    </row>
    <row r="20" spans="1:39" x14ac:dyDescent="0.2">
      <c r="A20" s="1">
        <v>5</v>
      </c>
      <c r="B20" s="1"/>
      <c r="C20" s="13">
        <v>0.3</v>
      </c>
      <c r="E20" s="1">
        <f>C20*($A$20*730)</f>
        <v>1095</v>
      </c>
      <c r="F20" s="1"/>
      <c r="G20" s="21">
        <f>+W20</f>
        <v>412.07955000000004</v>
      </c>
      <c r="H20" s="21">
        <f>+AF20</f>
        <v>422.89142499999997</v>
      </c>
      <c r="I20" s="30">
        <f>+H20-G20</f>
        <v>10.81187499999993</v>
      </c>
      <c r="J20" s="56">
        <f>ROUND(+I20/G20,4)</f>
        <v>2.6200000000000001E-2</v>
      </c>
      <c r="K20" s="30">
        <f>ROUND($T$10*$E20,2)</f>
        <v>-2</v>
      </c>
      <c r="L20" s="30">
        <f>ROUND($T$11*$E20,2)</f>
        <v>0.12</v>
      </c>
      <c r="M20" s="30">
        <f>ROUND($T$12*$E20,2)</f>
        <v>1.1599999999999999</v>
      </c>
      <c r="N20" s="30">
        <f>+G20+K20+L20+M20</f>
        <v>411.35955000000007</v>
      </c>
      <c r="O20" s="30">
        <f>+H20+K20+L20+M20</f>
        <v>422.171425</v>
      </c>
      <c r="P20" s="56">
        <f>ROUND((O20-N20)/N20,4)</f>
        <v>2.63E-2</v>
      </c>
      <c r="Q20" s="1"/>
      <c r="S20" s="7">
        <f>INPUT!R4</f>
        <v>240</v>
      </c>
      <c r="T20" s="21">
        <f>$T$17*E20</f>
        <v>34.919550000000001</v>
      </c>
      <c r="U20" s="21">
        <f>ROUND((($A$20*$U$17)+($A$20*(5192/1491)*$U$18)),2)</f>
        <v>137.16</v>
      </c>
      <c r="V20" s="21"/>
      <c r="W20" s="21">
        <f>S20+T20+U20</f>
        <v>412.07955000000004</v>
      </c>
      <c r="X20" s="26"/>
      <c r="Y20" s="26"/>
      <c r="Z20" s="21"/>
      <c r="AB20" s="375">
        <f>INPUT!R25</f>
        <v>240.15187499999999</v>
      </c>
      <c r="AC20" s="7">
        <f>$AC$17*E20</f>
        <v>34.919550000000001</v>
      </c>
      <c r="AD20" s="21">
        <f>ROUND((($A$20*$AD$17)+($A$20*(5192/1491)*$AD$18)),2)</f>
        <v>147.82</v>
      </c>
      <c r="AE20" s="21"/>
      <c r="AF20" s="21">
        <f>AB20+AC20+AD20</f>
        <v>422.89142499999997</v>
      </c>
      <c r="AG20" s="21"/>
      <c r="AH20" s="26"/>
      <c r="AI20" s="21">
        <f>AF20-W20</f>
        <v>10.81187499999993</v>
      </c>
      <c r="AJ20" s="17">
        <f>AF20/W20-1</f>
        <v>2.6237349074953897E-2</v>
      </c>
      <c r="AK20" s="7">
        <f>AH20-X20</f>
        <v>0</v>
      </c>
      <c r="AM20" s="18" t="e">
        <f>AH20/X20-1</f>
        <v>#DIV/0!</v>
      </c>
    </row>
    <row r="21" spans="1:39" x14ac:dyDescent="0.2">
      <c r="C21" s="13">
        <v>0.5</v>
      </c>
      <c r="E21" s="1">
        <f>C21*($A$20*730)</f>
        <v>1825</v>
      </c>
      <c r="F21" s="1"/>
      <c r="G21" s="21">
        <f t="shared" ref="G21:G38" si="0">+W21</f>
        <v>435.35924999999997</v>
      </c>
      <c r="H21" s="21">
        <f t="shared" ref="H21:H38" si="1">+AF21</f>
        <v>446.17112500000002</v>
      </c>
      <c r="I21" s="30">
        <f>+H21-G21</f>
        <v>10.811875000000043</v>
      </c>
      <c r="J21" s="56">
        <f>ROUND(+I21/G21,4)</f>
        <v>2.4799999999999999E-2</v>
      </c>
      <c r="K21" s="30">
        <f>ROUND($T$10*$E21,2)</f>
        <v>-3.33</v>
      </c>
      <c r="L21" s="30">
        <f>ROUND($T$11*$E21,2)</f>
        <v>0.2</v>
      </c>
      <c r="M21" s="30">
        <f>ROUND($T$12*$E21,2)</f>
        <v>1.93</v>
      </c>
      <c r="N21" s="30">
        <f>+G21+K21+L21+M21</f>
        <v>434.15924999999999</v>
      </c>
      <c r="O21" s="30">
        <f>+H21+K21+L21+M21</f>
        <v>444.97112500000003</v>
      </c>
      <c r="P21" s="93">
        <f>ROUND((O21-N21)/N21,4)</f>
        <v>2.4899999999999999E-2</v>
      </c>
      <c r="Q21" s="1"/>
      <c r="S21" s="7">
        <f>$S$20</f>
        <v>240</v>
      </c>
      <c r="T21" s="21">
        <f>$T$17*E21</f>
        <v>58.199250000000006</v>
      </c>
      <c r="U21" s="21">
        <f t="shared" ref="U21:U22" si="2">ROUND((($A$20*$U$17)+($A$20*(5192/1491)*$U$18)),2)</f>
        <v>137.16</v>
      </c>
      <c r="V21" s="21"/>
      <c r="W21" s="21">
        <f>S21+T21+U21</f>
        <v>435.35924999999997</v>
      </c>
      <c r="X21" s="26"/>
      <c r="Y21" s="26"/>
      <c r="Z21" s="21"/>
      <c r="AB21" s="375">
        <f>AB$20</f>
        <v>240.15187499999999</v>
      </c>
      <c r="AC21" s="7">
        <f>$AC$17*E21</f>
        <v>58.199250000000006</v>
      </c>
      <c r="AD21" s="21">
        <f t="shared" ref="AD21:AD22" si="3">ROUND((($A$20*$AD$17)+($A$20*(5192/1491)*$AD$18)),2)</f>
        <v>147.82</v>
      </c>
      <c r="AE21" s="21"/>
      <c r="AF21" s="21">
        <f>AB21+AC21+AD21</f>
        <v>446.17112500000002</v>
      </c>
      <c r="AG21" s="21"/>
      <c r="AH21" s="26"/>
      <c r="AI21" s="21">
        <f>AF21-W21</f>
        <v>10.811875000000043</v>
      </c>
      <c r="AJ21" s="17">
        <f>AF21/W21-1</f>
        <v>2.4834375288913746E-2</v>
      </c>
      <c r="AK21" s="7">
        <f>AH21-X21</f>
        <v>0</v>
      </c>
      <c r="AM21" s="18" t="e">
        <f>AH21/X21-1</f>
        <v>#DIV/0!</v>
      </c>
    </row>
    <row r="22" spans="1:39" x14ac:dyDescent="0.2">
      <c r="C22" s="13">
        <v>0.7</v>
      </c>
      <c r="E22" s="1">
        <f>C22*($A$20*730)</f>
        <v>2555</v>
      </c>
      <c r="F22" s="1"/>
      <c r="G22" s="21">
        <f t="shared" si="0"/>
        <v>458.63895000000002</v>
      </c>
      <c r="H22" s="21">
        <f t="shared" si="1"/>
        <v>469.45082499999995</v>
      </c>
      <c r="I22" s="30">
        <f>+H22-G22</f>
        <v>10.81187499999993</v>
      </c>
      <c r="J22" s="56">
        <f>ROUND(+I22/G22,4)</f>
        <v>2.3599999999999999E-2</v>
      </c>
      <c r="K22" s="30">
        <f>ROUND($T$10*$E22,2)</f>
        <v>-4.66</v>
      </c>
      <c r="L22" s="30">
        <f>ROUND($T$11*$E22,2)</f>
        <v>0.28000000000000003</v>
      </c>
      <c r="M22" s="30">
        <f>ROUND($T$12*$E22,2)</f>
        <v>2.7</v>
      </c>
      <c r="N22" s="30">
        <f>+G22+K22+L22+M22</f>
        <v>456.95894999999996</v>
      </c>
      <c r="O22" s="30">
        <f>+H22+K22+L22+M22</f>
        <v>467.77082499999989</v>
      </c>
      <c r="P22" s="56">
        <f>ROUND((O22-N22)/N22,4)</f>
        <v>2.3699999999999999E-2</v>
      </c>
      <c r="Q22" s="1"/>
      <c r="S22" s="7">
        <f>$S$20</f>
        <v>240</v>
      </c>
      <c r="T22" s="21">
        <f>$T$17*E22</f>
        <v>81.478949999999998</v>
      </c>
      <c r="U22" s="21">
        <f t="shared" si="2"/>
        <v>137.16</v>
      </c>
      <c r="V22" s="21"/>
      <c r="W22" s="21">
        <f>S22+T22+U22</f>
        <v>458.63895000000002</v>
      </c>
      <c r="X22" s="26"/>
      <c r="Y22" s="26"/>
      <c r="Z22" s="21"/>
      <c r="AB22" s="375">
        <f>AB$20</f>
        <v>240.15187499999999</v>
      </c>
      <c r="AC22" s="7">
        <f>$AC$17*E22</f>
        <v>81.478949999999998</v>
      </c>
      <c r="AD22" s="21">
        <f t="shared" si="3"/>
        <v>147.82</v>
      </c>
      <c r="AE22" s="21"/>
      <c r="AF22" s="21">
        <f>AB22+AC22+AD22</f>
        <v>469.45082499999995</v>
      </c>
      <c r="AG22" s="21"/>
      <c r="AH22" s="26"/>
      <c r="AI22" s="21">
        <f>AF22-W22</f>
        <v>10.81187499999993</v>
      </c>
      <c r="AJ22" s="17">
        <f>AF22/W22-1</f>
        <v>2.3573826427083722E-2</v>
      </c>
      <c r="AK22" s="7">
        <f>AH22-X22</f>
        <v>0</v>
      </c>
      <c r="AM22" s="18" t="e">
        <f>AH22/X22-1</f>
        <v>#DIV/0!</v>
      </c>
    </row>
    <row r="23" spans="1:39" x14ac:dyDescent="0.2">
      <c r="C23" s="13"/>
      <c r="E23" s="1"/>
      <c r="F23" s="1"/>
      <c r="G23" s="21"/>
      <c r="H23" s="21"/>
      <c r="J23" s="5"/>
      <c r="K23" s="1"/>
      <c r="L23" s="1"/>
      <c r="M23" s="1"/>
      <c r="P23" s="56"/>
      <c r="Q23" s="1"/>
      <c r="S23" s="7"/>
      <c r="T23" s="21"/>
      <c r="U23" s="21"/>
      <c r="V23" s="21"/>
      <c r="W23" s="21"/>
      <c r="X23" s="26"/>
      <c r="Y23" s="26"/>
      <c r="AB23" s="375"/>
      <c r="AC23" s="7"/>
      <c r="AD23" s="21"/>
      <c r="AE23" s="21"/>
      <c r="AF23" s="21"/>
      <c r="AG23" s="21"/>
      <c r="AH23" s="26"/>
      <c r="AJ23" s="17"/>
      <c r="AK23" s="6"/>
      <c r="AM23" s="6"/>
    </row>
    <row r="24" spans="1:39" x14ac:dyDescent="0.2">
      <c r="A24" s="1">
        <v>10</v>
      </c>
      <c r="B24" s="1"/>
      <c r="C24" s="13">
        <v>0.3</v>
      </c>
      <c r="E24" s="1">
        <f>C24*($A$24*730)</f>
        <v>2190</v>
      </c>
      <c r="F24" s="1"/>
      <c r="G24" s="21">
        <f t="shared" si="0"/>
        <v>584.14910000000009</v>
      </c>
      <c r="H24" s="21">
        <f t="shared" si="1"/>
        <v>605.63097500000003</v>
      </c>
      <c r="I24" s="30">
        <f>+H24-G24</f>
        <v>21.481874999999945</v>
      </c>
      <c r="J24" s="56">
        <f>ROUND(+I24/G24,4)</f>
        <v>3.6799999999999999E-2</v>
      </c>
      <c r="K24" s="30">
        <f>ROUND($T$10*$E24,2)</f>
        <v>-3.99</v>
      </c>
      <c r="L24" s="30">
        <f>ROUND($T$11*$E24,2)</f>
        <v>0.24</v>
      </c>
      <c r="M24" s="30">
        <f>ROUND($T$12*$E24,2)</f>
        <v>2.31</v>
      </c>
      <c r="N24" s="30">
        <f>+G24+K24+L24+M24</f>
        <v>582.70910000000003</v>
      </c>
      <c r="O24" s="30">
        <f>+H24+K24+L24+M24</f>
        <v>604.19097499999998</v>
      </c>
      <c r="P24" s="56">
        <f>ROUND((O24-N24)/N24,4)</f>
        <v>3.6900000000000002E-2</v>
      </c>
      <c r="Q24" s="1"/>
      <c r="S24" s="7">
        <f>$S$20</f>
        <v>240</v>
      </c>
      <c r="T24" s="21">
        <f>$T$17*E24</f>
        <v>69.839100000000002</v>
      </c>
      <c r="U24" s="21">
        <f>ROUND((($A$24*$U$17)+($A$24*(5192/1491)*$U$18)),2)</f>
        <v>274.31</v>
      </c>
      <c r="V24" s="21"/>
      <c r="W24" s="21">
        <f>S24+T24+U24</f>
        <v>584.14910000000009</v>
      </c>
      <c r="X24" s="26"/>
      <c r="Y24" s="26"/>
      <c r="Z24" s="21"/>
      <c r="AB24" s="375">
        <f>AB$20</f>
        <v>240.15187499999999</v>
      </c>
      <c r="AC24" s="7">
        <f>$AC$17*E24</f>
        <v>69.839100000000002</v>
      </c>
      <c r="AD24" s="21">
        <f>ROUND((($A$24*$AD$17)+($A$24*(5192/1491)*$AD$18)),2)</f>
        <v>295.64</v>
      </c>
      <c r="AE24" s="21"/>
      <c r="AF24" s="21">
        <f>AB24+AC24+AD24</f>
        <v>605.63097500000003</v>
      </c>
      <c r="AG24" s="21"/>
      <c r="AH24" s="26"/>
      <c r="AI24" s="21">
        <f>AF24-W24</f>
        <v>21.481874999999945</v>
      </c>
      <c r="AJ24" s="17">
        <f>AF24/W24-1</f>
        <v>3.6774643665461237E-2</v>
      </c>
      <c r="AK24" s="7">
        <f>AH24-X24</f>
        <v>0</v>
      </c>
      <c r="AL24" s="10"/>
      <c r="AM24" s="18" t="e">
        <f>AH24/X24-1</f>
        <v>#DIV/0!</v>
      </c>
    </row>
    <row r="25" spans="1:39" x14ac:dyDescent="0.2">
      <c r="C25" s="13">
        <v>0.5</v>
      </c>
      <c r="E25" s="1">
        <f>C25*($A$24*730)</f>
        <v>3650</v>
      </c>
      <c r="F25" s="1"/>
      <c r="G25" s="21">
        <f t="shared" si="0"/>
        <v>630.70849999999996</v>
      </c>
      <c r="H25" s="21">
        <f t="shared" si="1"/>
        <v>652.19037500000002</v>
      </c>
      <c r="I25" s="30">
        <f>+H25-G25</f>
        <v>21.481875000000059</v>
      </c>
      <c r="J25" s="56">
        <f>ROUND(+I25/G25,4)</f>
        <v>3.4099999999999998E-2</v>
      </c>
      <c r="K25" s="30">
        <f>ROUND($T$10*$E25,2)</f>
        <v>-6.65</v>
      </c>
      <c r="L25" s="30">
        <f>ROUND($T$11*$E25,2)</f>
        <v>0.4</v>
      </c>
      <c r="M25" s="30">
        <f>ROUND($T$12*$E25,2)</f>
        <v>3.86</v>
      </c>
      <c r="N25" s="30">
        <f>+G25+K25+L25+M25</f>
        <v>628.31849999999997</v>
      </c>
      <c r="O25" s="30">
        <f>+H25+K25+L25+M25</f>
        <v>649.80037500000003</v>
      </c>
      <c r="P25" s="56">
        <f>ROUND((O25-N25)/N25,4)</f>
        <v>3.4200000000000001E-2</v>
      </c>
      <c r="Q25" s="1"/>
      <c r="S25" s="7">
        <f>$S$20</f>
        <v>240</v>
      </c>
      <c r="T25" s="21">
        <f>$T$17*E25</f>
        <v>116.39850000000001</v>
      </c>
      <c r="U25" s="21">
        <f t="shared" ref="U25" si="4">ROUND((($A$24*$U$17)+($A$24*(5192/1491)*$U$18)),2)</f>
        <v>274.31</v>
      </c>
      <c r="V25" s="21"/>
      <c r="W25" s="21">
        <f>S25+T25+U25</f>
        <v>630.70849999999996</v>
      </c>
      <c r="X25" s="26"/>
      <c r="Y25" s="26"/>
      <c r="Z25" s="21"/>
      <c r="AB25" s="375">
        <f>AB$20</f>
        <v>240.15187499999999</v>
      </c>
      <c r="AC25" s="7">
        <f>$AC$17*E25</f>
        <v>116.39850000000001</v>
      </c>
      <c r="AD25" s="21">
        <f t="shared" ref="AD25:AD26" si="5">ROUND((($A$24*$AD$17)+($A$24*(5192/1491)*$AD$18)),2)</f>
        <v>295.64</v>
      </c>
      <c r="AE25" s="21"/>
      <c r="AF25" s="21">
        <f>AB25+AC25+AD25</f>
        <v>652.19037500000002</v>
      </c>
      <c r="AG25" s="21"/>
      <c r="AH25" s="26"/>
      <c r="AI25" s="21">
        <f>AF25-W25</f>
        <v>21.481875000000059</v>
      </c>
      <c r="AJ25" s="17">
        <f>AF25/W25-1</f>
        <v>3.4059910402349125E-2</v>
      </c>
      <c r="AK25" s="7">
        <f>AH25-X25</f>
        <v>0</v>
      </c>
      <c r="AL25" s="10"/>
      <c r="AM25" s="18" t="e">
        <f>AH25/X25-1</f>
        <v>#DIV/0!</v>
      </c>
    </row>
    <row r="26" spans="1:39" x14ac:dyDescent="0.2">
      <c r="C26" s="13">
        <v>0.7</v>
      </c>
      <c r="E26" s="1">
        <f>C26*($A$24*730)</f>
        <v>5110</v>
      </c>
      <c r="F26" s="1"/>
      <c r="G26" s="21">
        <f t="shared" si="0"/>
        <v>677.26790000000005</v>
      </c>
      <c r="H26" s="21">
        <f t="shared" si="1"/>
        <v>698.749775</v>
      </c>
      <c r="I26" s="30">
        <f>+H26-G26</f>
        <v>21.481874999999945</v>
      </c>
      <c r="J26" s="56">
        <f>ROUND(+I26/G26,4)</f>
        <v>3.1699999999999999E-2</v>
      </c>
      <c r="K26" s="30">
        <f>ROUND($T$10*$E26,2)</f>
        <v>-9.31</v>
      </c>
      <c r="L26" s="30">
        <f>ROUND($T$11*$E26,2)</f>
        <v>0.56000000000000005</v>
      </c>
      <c r="M26" s="30">
        <f>ROUND($T$12*$E26,2)</f>
        <v>5.4</v>
      </c>
      <c r="N26" s="30">
        <f>+G26+K26+L26+M26</f>
        <v>673.91790000000003</v>
      </c>
      <c r="O26" s="30">
        <f>+H26+K26+L26+M26</f>
        <v>695.39977499999998</v>
      </c>
      <c r="P26" s="56">
        <f>ROUND((O26-N26)/N26,4)</f>
        <v>3.1899999999999998E-2</v>
      </c>
      <c r="Q26" s="1"/>
      <c r="S26" s="7">
        <f>$S$20</f>
        <v>240</v>
      </c>
      <c r="T26" s="21">
        <f>$T$17*E26</f>
        <v>162.9579</v>
      </c>
      <c r="U26" s="21">
        <f>ROUND((($A$24*$U$17)+($A$24*(5192/1491)*$U$18)),2)</f>
        <v>274.31</v>
      </c>
      <c r="V26" s="21"/>
      <c r="W26" s="21">
        <f>S26+T26+U26</f>
        <v>677.26790000000005</v>
      </c>
      <c r="X26" s="26"/>
      <c r="Y26" s="26"/>
      <c r="Z26" s="21"/>
      <c r="AB26" s="375">
        <f>AB$20</f>
        <v>240.15187499999999</v>
      </c>
      <c r="AC26" s="7">
        <f>$AC$17*E26</f>
        <v>162.9579</v>
      </c>
      <c r="AD26" s="21">
        <f t="shared" si="5"/>
        <v>295.64</v>
      </c>
      <c r="AE26" s="21"/>
      <c r="AF26" s="21">
        <f>AB26+AC26+AD26</f>
        <v>698.749775</v>
      </c>
      <c r="AG26" s="21"/>
      <c r="AH26" s="26"/>
      <c r="AI26" s="21">
        <f>AF26-W26</f>
        <v>21.481874999999945</v>
      </c>
      <c r="AJ26" s="17">
        <f>AF26/W26-1</f>
        <v>3.1718430771634054E-2</v>
      </c>
      <c r="AK26" s="7">
        <f>AH26-X26</f>
        <v>0</v>
      </c>
      <c r="AM26" s="18" t="e">
        <f>AH26/X26-1</f>
        <v>#DIV/0!</v>
      </c>
    </row>
    <row r="27" spans="1:39" x14ac:dyDescent="0.2">
      <c r="C27" s="13"/>
      <c r="E27" s="1"/>
      <c r="F27" s="1"/>
      <c r="G27" s="21"/>
      <c r="H27" s="21"/>
      <c r="J27" s="5"/>
      <c r="K27" s="1"/>
      <c r="L27" s="1"/>
      <c r="M27" s="1"/>
      <c r="P27" s="56"/>
      <c r="Q27" s="1"/>
      <c r="S27" s="7"/>
      <c r="T27" s="21"/>
      <c r="U27" s="21"/>
      <c r="V27" s="21"/>
      <c r="W27" s="21"/>
      <c r="X27" s="26"/>
      <c r="Y27" s="26"/>
      <c r="AB27" s="375"/>
      <c r="AC27" s="7"/>
      <c r="AD27" s="21"/>
      <c r="AE27" s="21"/>
      <c r="AF27" s="21"/>
      <c r="AG27" s="21"/>
      <c r="AH27" s="26"/>
      <c r="AJ27" s="17"/>
      <c r="AK27" s="6"/>
      <c r="AM27" s="6"/>
    </row>
    <row r="28" spans="1:39" x14ac:dyDescent="0.2">
      <c r="A28" s="1">
        <v>15</v>
      </c>
      <c r="B28" s="1"/>
      <c r="C28" s="13">
        <v>0.3</v>
      </c>
      <c r="E28" s="1">
        <f>C28*($A$28*730)</f>
        <v>3285</v>
      </c>
      <c r="F28" s="1"/>
      <c r="G28" s="21">
        <f t="shared" si="0"/>
        <v>756.22865000000002</v>
      </c>
      <c r="H28" s="21">
        <f t="shared" si="1"/>
        <v>788.37052500000004</v>
      </c>
      <c r="I28" s="30">
        <f>+H28-G28</f>
        <v>32.141875000000027</v>
      </c>
      <c r="J28" s="56">
        <f>ROUND(+I28/G28,4)</f>
        <v>4.2500000000000003E-2</v>
      </c>
      <c r="K28" s="30">
        <f>ROUND($T$10*$E28,2)</f>
        <v>-5.99</v>
      </c>
      <c r="L28" s="30">
        <f>ROUND($T$11*$E28,2)</f>
        <v>0.36</v>
      </c>
      <c r="M28" s="30">
        <f>ROUND($T$12*$E28,2)</f>
        <v>3.47</v>
      </c>
      <c r="N28" s="30">
        <f>+G28+K28+L28+M28</f>
        <v>754.06865000000005</v>
      </c>
      <c r="O28" s="30">
        <f>+H28+K28+L28+M28</f>
        <v>786.21052500000008</v>
      </c>
      <c r="P28" s="56">
        <f>ROUND((O28-N28)/N28,4)</f>
        <v>4.2599999999999999E-2</v>
      </c>
      <c r="Q28" s="1"/>
      <c r="S28" s="7">
        <f>$S$20</f>
        <v>240</v>
      </c>
      <c r="T28" s="21">
        <f>$T$17*E28</f>
        <v>104.75865</v>
      </c>
      <c r="U28" s="21">
        <f>ROUND((($A$28*$U$17)+($A$28*(5192/1491)*$U$18)),2)</f>
        <v>411.47</v>
      </c>
      <c r="V28" s="21"/>
      <c r="W28" s="21">
        <f>S28+T28+U28</f>
        <v>756.22865000000002</v>
      </c>
      <c r="X28" s="26"/>
      <c r="Y28" s="26"/>
      <c r="Z28" s="21"/>
      <c r="AB28" s="375">
        <f>AB$20</f>
        <v>240.15187499999999</v>
      </c>
      <c r="AC28" s="7">
        <f>$AC$17*E28</f>
        <v>104.75865</v>
      </c>
      <c r="AD28" s="21">
        <f>ROUND((($A$28*$AD$17)+($A$28*(5192/1491)*$AD$18)),2)</f>
        <v>443.46</v>
      </c>
      <c r="AE28" s="21"/>
      <c r="AF28" s="21">
        <f>AB28+AC28+AD28</f>
        <v>788.37052500000004</v>
      </c>
      <c r="AG28" s="21"/>
      <c r="AH28" s="26"/>
      <c r="AI28" s="21">
        <f>AF28-W28</f>
        <v>32.141875000000027</v>
      </c>
      <c r="AJ28" s="17">
        <f>AF28/W28-1</f>
        <v>4.250285280781152E-2</v>
      </c>
      <c r="AK28" s="7">
        <f>AH28-X28</f>
        <v>0</v>
      </c>
      <c r="AM28" s="18" t="e">
        <f>AH28/X28-1</f>
        <v>#DIV/0!</v>
      </c>
    </row>
    <row r="29" spans="1:39" x14ac:dyDescent="0.2">
      <c r="C29" s="13">
        <v>0.5</v>
      </c>
      <c r="E29" s="1">
        <f>C29*($A$28*730)</f>
        <v>5475</v>
      </c>
      <c r="F29" s="1"/>
      <c r="G29" s="21">
        <f t="shared" si="0"/>
        <v>826.06775000000005</v>
      </c>
      <c r="H29" s="21">
        <f t="shared" si="1"/>
        <v>858.20962499999996</v>
      </c>
      <c r="I29" s="30">
        <f>+H29-G29</f>
        <v>32.141874999999914</v>
      </c>
      <c r="J29" s="56">
        <f>ROUND(+I29/G29,4)</f>
        <v>3.8899999999999997E-2</v>
      </c>
      <c r="K29" s="30">
        <f>ROUND($T$10*$E29,2)</f>
        <v>-9.98</v>
      </c>
      <c r="L29" s="30">
        <f>ROUND($T$11*$E29,2)</f>
        <v>0.6</v>
      </c>
      <c r="M29" s="30">
        <f>ROUND($T$12*$E29,2)</f>
        <v>5.79</v>
      </c>
      <c r="N29" s="30">
        <f>+G29+K29+L29+M29</f>
        <v>822.47775000000001</v>
      </c>
      <c r="O29" s="30">
        <f>+H29+K29+L29+M29</f>
        <v>854.61962499999993</v>
      </c>
      <c r="P29" s="56">
        <f>ROUND((O29-N29)/N29,4)</f>
        <v>3.9100000000000003E-2</v>
      </c>
      <c r="Q29" s="1"/>
      <c r="S29" s="7">
        <f>$S$20</f>
        <v>240</v>
      </c>
      <c r="T29" s="21">
        <f>$T$17*E29</f>
        <v>174.59775000000002</v>
      </c>
      <c r="U29" s="21">
        <f t="shared" ref="U29:U30" si="6">ROUND((($A$28*$U$17)+($A$28*(5192/1491)*$U$18)),2)</f>
        <v>411.47</v>
      </c>
      <c r="V29" s="21"/>
      <c r="W29" s="21">
        <f>S29+T29+U29</f>
        <v>826.06775000000005</v>
      </c>
      <c r="X29" s="26"/>
      <c r="Y29" s="26"/>
      <c r="Z29" s="21"/>
      <c r="AB29" s="375">
        <f>AB$20</f>
        <v>240.15187499999999</v>
      </c>
      <c r="AC29" s="7">
        <f>$AC$17*E29</f>
        <v>174.59775000000002</v>
      </c>
      <c r="AD29" s="21">
        <f t="shared" ref="AD29:AD30" si="7">ROUND((($A$28*$AD$17)+($A$28*(5192/1491)*$AD$18)),2)</f>
        <v>443.46</v>
      </c>
      <c r="AE29" s="21"/>
      <c r="AF29" s="21">
        <f>AB29+AC29+AD29</f>
        <v>858.20962499999996</v>
      </c>
      <c r="AG29" s="21"/>
      <c r="AH29" s="26"/>
      <c r="AI29" s="21">
        <f>AF29-W29</f>
        <v>32.141874999999914</v>
      </c>
      <c r="AJ29" s="17">
        <f>AF29/W29-1</f>
        <v>3.8909490171962213E-2</v>
      </c>
      <c r="AK29" s="7">
        <f>AH29-X29</f>
        <v>0</v>
      </c>
      <c r="AM29" s="18" t="e">
        <f>AH29/X29-1</f>
        <v>#DIV/0!</v>
      </c>
    </row>
    <row r="30" spans="1:39" x14ac:dyDescent="0.2">
      <c r="C30" s="13">
        <v>0.7</v>
      </c>
      <c r="E30" s="1">
        <f>C30*($A$28*730)</f>
        <v>7664.9999999999991</v>
      </c>
      <c r="F30" s="1"/>
      <c r="G30" s="21">
        <f t="shared" si="0"/>
        <v>895.90685000000008</v>
      </c>
      <c r="H30" s="21">
        <f t="shared" si="1"/>
        <v>928.04872499999988</v>
      </c>
      <c r="I30" s="30">
        <f>+H30-G30</f>
        <v>32.1418749999998</v>
      </c>
      <c r="J30" s="56">
        <f>ROUND(+I30/G30,4)</f>
        <v>3.5900000000000001E-2</v>
      </c>
      <c r="K30" s="30">
        <f>ROUND($T$10*$E30,2)</f>
        <v>-13.97</v>
      </c>
      <c r="L30" s="30">
        <f>ROUND($T$11*$E30,2)</f>
        <v>0.84</v>
      </c>
      <c r="M30" s="30">
        <f>ROUND($T$12*$E30,2)</f>
        <v>8.1</v>
      </c>
      <c r="N30" s="30">
        <f>+G30+K30+L30+M30</f>
        <v>890.8768500000001</v>
      </c>
      <c r="O30" s="30">
        <f>+H30+K30+L30+M30</f>
        <v>923.0187249999999</v>
      </c>
      <c r="P30" s="56">
        <f>ROUND((O30-N30)/N30,4)</f>
        <v>3.61E-2</v>
      </c>
      <c r="Q30" s="1"/>
      <c r="S30" s="7">
        <f>$S$20</f>
        <v>240</v>
      </c>
      <c r="T30" s="21">
        <f>$T$17*E30</f>
        <v>244.43684999999999</v>
      </c>
      <c r="U30" s="21">
        <f t="shared" si="6"/>
        <v>411.47</v>
      </c>
      <c r="V30" s="21"/>
      <c r="W30" s="21">
        <f>S30+T30+U30</f>
        <v>895.90685000000008</v>
      </c>
      <c r="X30" s="26"/>
      <c r="Y30" s="26"/>
      <c r="Z30" s="21"/>
      <c r="AB30" s="375">
        <f>AB$20</f>
        <v>240.15187499999999</v>
      </c>
      <c r="AC30" s="7">
        <f>$AC$17*E30</f>
        <v>244.43684999999999</v>
      </c>
      <c r="AD30" s="21">
        <f t="shared" si="7"/>
        <v>443.46</v>
      </c>
      <c r="AE30" s="21"/>
      <c r="AF30" s="21">
        <f>AB30+AC30+AD30</f>
        <v>928.04872499999988</v>
      </c>
      <c r="AG30" s="21"/>
      <c r="AH30" s="26"/>
      <c r="AI30" s="21">
        <f>AF30-W30</f>
        <v>32.1418749999998</v>
      </c>
      <c r="AJ30" s="17">
        <f>AF30/W30-1</f>
        <v>3.5876358128079655E-2</v>
      </c>
      <c r="AK30" s="7">
        <f>AH30-X30</f>
        <v>0</v>
      </c>
      <c r="AM30" s="18" t="e">
        <f>AH30/X30-1</f>
        <v>#DIV/0!</v>
      </c>
    </row>
    <row r="31" spans="1:39" x14ac:dyDescent="0.2">
      <c r="C31" s="13"/>
      <c r="E31" s="1"/>
      <c r="F31" s="1"/>
      <c r="G31" s="21"/>
      <c r="H31" s="21"/>
      <c r="J31" s="5"/>
      <c r="K31" s="1"/>
      <c r="L31" s="1"/>
      <c r="M31" s="1"/>
      <c r="P31" s="56"/>
      <c r="Q31" s="1"/>
      <c r="S31" s="7"/>
      <c r="T31" s="21"/>
      <c r="U31" s="21"/>
      <c r="V31" s="21"/>
      <c r="W31" s="21"/>
      <c r="X31" s="26"/>
      <c r="Y31" s="26"/>
      <c r="AB31" s="375"/>
      <c r="AC31" s="7"/>
      <c r="AD31" s="21"/>
      <c r="AE31" s="21"/>
      <c r="AF31" s="21"/>
      <c r="AG31" s="21"/>
      <c r="AH31" s="26"/>
      <c r="AJ31" s="17"/>
      <c r="AK31" s="6"/>
      <c r="AM31" s="6"/>
    </row>
    <row r="32" spans="1:39" x14ac:dyDescent="0.2">
      <c r="A32" s="1">
        <v>20</v>
      </c>
      <c r="B32" s="1"/>
      <c r="C32" s="13">
        <v>0.3</v>
      </c>
      <c r="E32" s="1">
        <f>C32*($A$32*730)</f>
        <v>4380</v>
      </c>
      <c r="F32" s="1"/>
      <c r="G32" s="21">
        <f t="shared" si="0"/>
        <v>928.29819999999995</v>
      </c>
      <c r="H32" s="21">
        <f t="shared" si="1"/>
        <v>971.11007499999994</v>
      </c>
      <c r="I32" s="30">
        <f>+H32-G32</f>
        <v>42.811874999999986</v>
      </c>
      <c r="J32" s="56">
        <f>ROUND(+I32/G32,4)</f>
        <v>4.6100000000000002E-2</v>
      </c>
      <c r="K32" s="30">
        <f>ROUND($T$10*$E32,2)</f>
        <v>-7.98</v>
      </c>
      <c r="L32" s="30">
        <f>ROUND($T$11*$E32,2)</f>
        <v>0.48</v>
      </c>
      <c r="M32" s="30">
        <f>ROUND($T$12*$E32,2)</f>
        <v>4.63</v>
      </c>
      <c r="N32" s="30">
        <f>+G32+K32+L32+M32</f>
        <v>925.42819999999995</v>
      </c>
      <c r="O32" s="30">
        <f>+H32+K32+L32+M32</f>
        <v>968.24007499999993</v>
      </c>
      <c r="P32" s="56">
        <f>ROUND((O32-N32)/N32,4)</f>
        <v>4.6300000000000001E-2</v>
      </c>
      <c r="Q32" s="1"/>
      <c r="S32" s="7">
        <f>$S$20</f>
        <v>240</v>
      </c>
      <c r="T32" s="21">
        <f>$T$17*E32</f>
        <v>139.6782</v>
      </c>
      <c r="U32" s="21">
        <f>ROUND((($A$32*$U$17)+($A$32*(5192/1491)*$U$18)),2)</f>
        <v>548.62</v>
      </c>
      <c r="V32" s="21"/>
      <c r="W32" s="21">
        <f>S32+T32+U32</f>
        <v>928.29819999999995</v>
      </c>
      <c r="X32" s="26"/>
      <c r="Y32" s="26"/>
      <c r="Z32" s="21"/>
      <c r="AB32" s="375">
        <f>AB$20</f>
        <v>240.15187499999999</v>
      </c>
      <c r="AC32" s="7">
        <f>$AC$17*E32</f>
        <v>139.6782</v>
      </c>
      <c r="AD32" s="21">
        <f>ROUND((($A$32*$AD$17)+($A$32*(5192/1491)*$AD$18)),2)</f>
        <v>591.28</v>
      </c>
      <c r="AE32" s="21"/>
      <c r="AF32" s="21">
        <f>AB32+AC32+AD32</f>
        <v>971.11007499999994</v>
      </c>
      <c r="AG32" s="21"/>
      <c r="AH32" s="26"/>
      <c r="AI32" s="21">
        <f>AF32-W32</f>
        <v>42.811874999999986</v>
      </c>
      <c r="AJ32" s="17">
        <f>AF32/W32-1</f>
        <v>4.6118666394053154E-2</v>
      </c>
      <c r="AK32" s="7">
        <f>AH32-X32</f>
        <v>0</v>
      </c>
      <c r="AM32" s="18" t="e">
        <f>AH32/X32-1</f>
        <v>#DIV/0!</v>
      </c>
    </row>
    <row r="33" spans="1:39" x14ac:dyDescent="0.2">
      <c r="C33" s="13">
        <v>0.5</v>
      </c>
      <c r="E33" s="1">
        <f>C33*($A$32*730)</f>
        <v>7300</v>
      </c>
      <c r="F33" s="1"/>
      <c r="G33" s="21">
        <f t="shared" si="0"/>
        <v>1021.417</v>
      </c>
      <c r="H33" s="21">
        <f t="shared" si="1"/>
        <v>1064.228875</v>
      </c>
      <c r="I33" s="30">
        <f>+H33-G33</f>
        <v>42.811874999999986</v>
      </c>
      <c r="J33" s="56">
        <f>ROUND(+I33/G33,4)</f>
        <v>4.19E-2</v>
      </c>
      <c r="K33" s="30">
        <f>ROUND($T$10*$E33,2)</f>
        <v>-13.31</v>
      </c>
      <c r="L33" s="30">
        <f>ROUND($T$11*$E33,2)</f>
        <v>0.8</v>
      </c>
      <c r="M33" s="30">
        <f>ROUND($T$12*$E33,2)</f>
        <v>7.71</v>
      </c>
      <c r="N33" s="30">
        <f>+G33+K33+L33+M33</f>
        <v>1016.6170000000001</v>
      </c>
      <c r="O33" s="30">
        <f>+H33+K33+L33+M33</f>
        <v>1059.4288750000001</v>
      </c>
      <c r="P33" s="56">
        <f>ROUND((O33-N33)/N33,4)</f>
        <v>4.2099999999999999E-2</v>
      </c>
      <c r="Q33" s="1"/>
      <c r="S33" s="7">
        <f>$S$20</f>
        <v>240</v>
      </c>
      <c r="T33" s="21">
        <f>$T$17*E33</f>
        <v>232.79700000000003</v>
      </c>
      <c r="U33" s="21">
        <f t="shared" ref="U33:U34" si="8">ROUND((($A$32*$U$17)+($A$32*(5192/1491)*$U$18)),2)</f>
        <v>548.62</v>
      </c>
      <c r="V33" s="21"/>
      <c r="W33" s="21">
        <f>S33+T33+U33</f>
        <v>1021.417</v>
      </c>
      <c r="X33" s="26"/>
      <c r="Y33" s="26"/>
      <c r="Z33" s="21"/>
      <c r="AB33" s="375">
        <f>AB$20</f>
        <v>240.15187499999999</v>
      </c>
      <c r="AC33" s="7">
        <f>$AC$17*E33</f>
        <v>232.79700000000003</v>
      </c>
      <c r="AD33" s="21">
        <f t="shared" ref="AD33:AD34" si="9">ROUND((($A$32*$AD$17)+($A$32*(5192/1491)*$AD$18)),2)</f>
        <v>591.28</v>
      </c>
      <c r="AE33" s="21"/>
      <c r="AF33" s="21">
        <f>AB33+AC33+AD33</f>
        <v>1064.228875</v>
      </c>
      <c r="AG33" s="21"/>
      <c r="AH33" s="26"/>
      <c r="AI33" s="21">
        <f>AF33-W33</f>
        <v>42.811874999999986</v>
      </c>
      <c r="AJ33" s="17">
        <f>AF33/W33-1</f>
        <v>4.191419860840373E-2</v>
      </c>
      <c r="AK33" s="7">
        <f>AH33-X33</f>
        <v>0</v>
      </c>
      <c r="AM33" s="18" t="e">
        <f>AH33/X33-1</f>
        <v>#DIV/0!</v>
      </c>
    </row>
    <row r="34" spans="1:39" x14ac:dyDescent="0.2">
      <c r="C34" s="13">
        <v>0.7</v>
      </c>
      <c r="E34" s="1">
        <f>C34*($A$32*730)</f>
        <v>10220</v>
      </c>
      <c r="F34" s="1"/>
      <c r="G34" s="21">
        <f t="shared" si="0"/>
        <v>1114.5358000000001</v>
      </c>
      <c r="H34" s="21">
        <f t="shared" si="1"/>
        <v>1157.347675</v>
      </c>
      <c r="I34" s="30">
        <f>+H34-G34</f>
        <v>42.811874999999873</v>
      </c>
      <c r="J34" s="56">
        <f>ROUND(+I34/G34,4)</f>
        <v>3.8399999999999997E-2</v>
      </c>
      <c r="K34" s="30">
        <f>ROUND($T$10*$E34,2)</f>
        <v>-18.63</v>
      </c>
      <c r="L34" s="30">
        <f>ROUND($T$11*$E34,2)</f>
        <v>1.1200000000000001</v>
      </c>
      <c r="M34" s="30">
        <f>ROUND($T$12*$E34,2)</f>
        <v>10.8</v>
      </c>
      <c r="N34" s="30">
        <f>+G34+K34+L34+M34</f>
        <v>1107.8257999999998</v>
      </c>
      <c r="O34" s="30">
        <f>+H34+K34+L34+M34</f>
        <v>1150.6376749999997</v>
      </c>
      <c r="P34" s="56">
        <f>ROUND((O34-N34)/N34,4)</f>
        <v>3.8600000000000002E-2</v>
      </c>
      <c r="Q34" s="1"/>
      <c r="S34" s="7">
        <f>$S$20</f>
        <v>240</v>
      </c>
      <c r="T34" s="21">
        <f>$T$17*E34</f>
        <v>325.91579999999999</v>
      </c>
      <c r="U34" s="21">
        <f t="shared" si="8"/>
        <v>548.62</v>
      </c>
      <c r="V34" s="21"/>
      <c r="W34" s="21">
        <f>S34+T34+U34</f>
        <v>1114.5358000000001</v>
      </c>
      <c r="X34" s="26"/>
      <c r="Y34" s="26"/>
      <c r="Z34" s="21"/>
      <c r="AB34" s="375">
        <f>AB$20</f>
        <v>240.15187499999999</v>
      </c>
      <c r="AC34" s="7">
        <f>$AC$17*E34</f>
        <v>325.91579999999999</v>
      </c>
      <c r="AD34" s="21">
        <f t="shared" si="9"/>
        <v>591.28</v>
      </c>
      <c r="AE34" s="21"/>
      <c r="AF34" s="21">
        <f>AB34+AC34+AD34</f>
        <v>1157.347675</v>
      </c>
      <c r="AG34" s="21"/>
      <c r="AH34" s="26"/>
      <c r="AI34" s="21">
        <f>AF34-W34</f>
        <v>42.811874999999873</v>
      </c>
      <c r="AJ34" s="17">
        <f>AF34/W34-1</f>
        <v>3.8412292364228939E-2</v>
      </c>
      <c r="AK34" s="7">
        <f>AH34-X34</f>
        <v>0</v>
      </c>
      <c r="AM34" s="18" t="e">
        <f>AH34/X34-1</f>
        <v>#DIV/0!</v>
      </c>
    </row>
    <row r="35" spans="1:39" x14ac:dyDescent="0.2">
      <c r="C35" s="13"/>
      <c r="E35" s="1"/>
      <c r="F35" s="1"/>
      <c r="G35" s="21"/>
      <c r="H35" s="21"/>
      <c r="J35" s="5"/>
      <c r="K35" s="1"/>
      <c r="L35" s="1"/>
      <c r="M35" s="1"/>
      <c r="P35" s="56"/>
      <c r="Q35" s="1"/>
      <c r="S35" s="7"/>
      <c r="T35" s="21"/>
      <c r="U35" s="21"/>
      <c r="V35" s="21"/>
      <c r="W35" s="21"/>
      <c r="X35" s="26"/>
      <c r="Y35" s="26"/>
      <c r="AB35" s="375"/>
      <c r="AC35" s="7"/>
      <c r="AD35" s="21"/>
      <c r="AE35" s="21"/>
      <c r="AF35" s="21"/>
      <c r="AG35" s="21"/>
      <c r="AH35" s="26"/>
      <c r="AJ35" s="17"/>
      <c r="AK35" s="6"/>
      <c r="AM35" s="6"/>
    </row>
    <row r="36" spans="1:39" x14ac:dyDescent="0.2">
      <c r="A36" s="1">
        <v>25</v>
      </c>
      <c r="B36" s="1"/>
      <c r="C36" s="13">
        <v>0.3</v>
      </c>
      <c r="E36" s="1">
        <f>C36*($A$36*730)</f>
        <v>5475</v>
      </c>
      <c r="F36" s="1"/>
      <c r="G36" s="21">
        <f t="shared" si="0"/>
        <v>1100.3777500000001</v>
      </c>
      <c r="H36" s="21">
        <f t="shared" si="1"/>
        <v>1153.8496250000001</v>
      </c>
      <c r="I36" s="30">
        <f>+H36-G36</f>
        <v>53.471874999999955</v>
      </c>
      <c r="J36" s="56">
        <f>ROUND(+I36/G36,4)</f>
        <v>4.8599999999999997E-2</v>
      </c>
      <c r="K36" s="30">
        <f>ROUND($T$10*$E36,2)</f>
        <v>-9.98</v>
      </c>
      <c r="L36" s="30">
        <f>ROUND($T$11*$E36,2)</f>
        <v>0.6</v>
      </c>
      <c r="M36" s="30">
        <f>ROUND($T$12*$E36,2)</f>
        <v>5.79</v>
      </c>
      <c r="N36" s="30">
        <f>+G36+K36+L36+M36</f>
        <v>1096.78775</v>
      </c>
      <c r="O36" s="30">
        <f>+H36+K36+L36+M36</f>
        <v>1150.2596249999999</v>
      </c>
      <c r="P36" s="56">
        <f>ROUND((O36-N36)/N36,4)</f>
        <v>4.8800000000000003E-2</v>
      </c>
      <c r="Q36" s="1"/>
      <c r="S36" s="7">
        <f>$S$20</f>
        <v>240</v>
      </c>
      <c r="T36" s="21">
        <f>$T$17*E36</f>
        <v>174.59775000000002</v>
      </c>
      <c r="U36" s="21">
        <f>ROUND((($A$36*$U$17)+($A$36*(5192/1491)*$U$18)),2)</f>
        <v>685.78</v>
      </c>
      <c r="V36" s="21"/>
      <c r="W36" s="21">
        <f>S36+T36+U36</f>
        <v>1100.3777500000001</v>
      </c>
      <c r="X36" s="26"/>
      <c r="Y36" s="26"/>
      <c r="Z36" s="21"/>
      <c r="AB36" s="375">
        <f>AB$20</f>
        <v>240.15187499999999</v>
      </c>
      <c r="AC36" s="7">
        <f>$AC$17*E36</f>
        <v>174.59775000000002</v>
      </c>
      <c r="AD36" s="21">
        <f>ROUND((($A$36*$AD$17)+($A$36*(5192/1491)*$AD$18)),2)</f>
        <v>739.1</v>
      </c>
      <c r="AE36" s="21"/>
      <c r="AF36" s="21">
        <f>AB36+AC36+AD36</f>
        <v>1153.8496250000001</v>
      </c>
      <c r="AG36" s="21"/>
      <c r="AH36" s="26"/>
      <c r="AI36" s="21">
        <f>AF36-W36</f>
        <v>53.471874999999955</v>
      </c>
      <c r="AJ36" s="17">
        <f>AF36/W36-1</f>
        <v>4.8594107796163577E-2</v>
      </c>
      <c r="AK36" s="7">
        <f>AH36-X36</f>
        <v>0</v>
      </c>
      <c r="AM36" s="18" t="e">
        <f>AH36/X36-1</f>
        <v>#DIV/0!</v>
      </c>
    </row>
    <row r="37" spans="1:39" x14ac:dyDescent="0.2">
      <c r="C37" s="13">
        <v>0.5</v>
      </c>
      <c r="E37" s="1">
        <f>C37*($A$36*730)</f>
        <v>9125</v>
      </c>
      <c r="F37" s="1"/>
      <c r="G37" s="21">
        <f t="shared" si="0"/>
        <v>1216.7762499999999</v>
      </c>
      <c r="H37" s="21">
        <f t="shared" si="1"/>
        <v>1270.2481250000001</v>
      </c>
      <c r="I37" s="30">
        <f>+H37-G37</f>
        <v>53.471875000000182</v>
      </c>
      <c r="J37" s="56">
        <f>ROUND(+I37/G37,4)</f>
        <v>4.3900000000000002E-2</v>
      </c>
      <c r="K37" s="30">
        <f>ROUND($T$10*$E37,2)</f>
        <v>-16.63</v>
      </c>
      <c r="L37" s="30">
        <f>ROUND($T$11*$E37,2)</f>
        <v>1</v>
      </c>
      <c r="M37" s="30">
        <f>ROUND($T$12*$E37,2)</f>
        <v>9.64</v>
      </c>
      <c r="N37" s="30">
        <f>+G37+K37+L37+M37</f>
        <v>1210.7862499999999</v>
      </c>
      <c r="O37" s="30">
        <f>+H37+K37+L37+M37</f>
        <v>1264.2581250000001</v>
      </c>
      <c r="P37" s="56">
        <f>ROUND((O37-N37)/N37,4)</f>
        <v>4.4200000000000003E-2</v>
      </c>
      <c r="Q37" s="1"/>
      <c r="S37" s="7">
        <f>$S$20</f>
        <v>240</v>
      </c>
      <c r="T37" s="21">
        <f>$T$17*E37</f>
        <v>290.99625000000003</v>
      </c>
      <c r="U37" s="21">
        <f t="shared" ref="U37:U38" si="10">ROUND((($A$36*$U$17)+($A$36*(5192/1491)*$U$18)),2)</f>
        <v>685.78</v>
      </c>
      <c r="V37" s="21"/>
      <c r="W37" s="21">
        <f>S37+T37+U37</f>
        <v>1216.7762499999999</v>
      </c>
      <c r="X37" s="26"/>
      <c r="Y37" s="26"/>
      <c r="Z37" s="21"/>
      <c r="AB37" s="375">
        <f>AB$20</f>
        <v>240.15187499999999</v>
      </c>
      <c r="AC37" s="7">
        <f>$AC$17*E37</f>
        <v>290.99625000000003</v>
      </c>
      <c r="AD37" s="21">
        <f t="shared" ref="AD37:AD38" si="11">ROUND((($A$36*$AD$17)+($A$36*(5192/1491)*$AD$18)),2)</f>
        <v>739.1</v>
      </c>
      <c r="AE37" s="21"/>
      <c r="AF37" s="21">
        <f>AB37+AC37+AD37</f>
        <v>1270.2481250000001</v>
      </c>
      <c r="AG37" s="21"/>
      <c r="AH37" s="26"/>
      <c r="AI37" s="21">
        <f>AF37-W37</f>
        <v>53.471875000000182</v>
      </c>
      <c r="AJ37" s="17">
        <f>AF37/W37-1</f>
        <v>4.3945528193864991E-2</v>
      </c>
      <c r="AK37" s="7">
        <f>AH37-X37</f>
        <v>0</v>
      </c>
      <c r="AM37" s="18" t="e">
        <f>AH37/X37-1</f>
        <v>#DIV/0!</v>
      </c>
    </row>
    <row r="38" spans="1:39" x14ac:dyDescent="0.2">
      <c r="C38" s="13">
        <v>0.7</v>
      </c>
      <c r="E38" s="1">
        <f>C38*($A$36*730)</f>
        <v>12775</v>
      </c>
      <c r="F38" s="1"/>
      <c r="G38" s="21">
        <f t="shared" si="0"/>
        <v>1333.1747500000001</v>
      </c>
      <c r="H38" s="21">
        <f t="shared" si="1"/>
        <v>1386.6466250000001</v>
      </c>
      <c r="I38" s="30">
        <f>+H38-G38</f>
        <v>53.471874999999955</v>
      </c>
      <c r="J38" s="56">
        <f>ROUND(+I38/G38,4)</f>
        <v>4.0099999999999997E-2</v>
      </c>
      <c r="K38" s="30">
        <f>ROUND($T$10*$E38,2)</f>
        <v>-23.29</v>
      </c>
      <c r="L38" s="30">
        <f>ROUND($T$11*$E38,2)</f>
        <v>1.4</v>
      </c>
      <c r="M38" s="30">
        <f>ROUND($T$12*$E38,2)</f>
        <v>13.5</v>
      </c>
      <c r="N38" s="30">
        <f>+G38+K38+L38+M38</f>
        <v>1324.7847500000003</v>
      </c>
      <c r="O38" s="30">
        <f>+H38+K38+L38+M38</f>
        <v>1378.2566250000002</v>
      </c>
      <c r="P38" s="56">
        <f>ROUND((O38-N38)/N38,4)</f>
        <v>4.0399999999999998E-2</v>
      </c>
      <c r="Q38" s="1"/>
      <c r="S38" s="7">
        <f>$S$20</f>
        <v>240</v>
      </c>
      <c r="T38" s="21">
        <f>$T$17*E38</f>
        <v>407.39475000000004</v>
      </c>
      <c r="U38" s="21">
        <f t="shared" si="10"/>
        <v>685.78</v>
      </c>
      <c r="V38" s="21"/>
      <c r="W38" s="21">
        <f>S38+T38+U38</f>
        <v>1333.1747500000001</v>
      </c>
      <c r="X38" s="26"/>
      <c r="Y38" s="26"/>
      <c r="Z38" s="21"/>
      <c r="AB38" s="375">
        <f>AB$20</f>
        <v>240.15187499999999</v>
      </c>
      <c r="AC38" s="7">
        <f>$AC$17*E38</f>
        <v>407.39475000000004</v>
      </c>
      <c r="AD38" s="21">
        <f t="shared" si="11"/>
        <v>739.1</v>
      </c>
      <c r="AE38" s="21"/>
      <c r="AF38" s="21">
        <f>AB38+AC38+AD38</f>
        <v>1386.6466250000001</v>
      </c>
      <c r="AG38" s="21"/>
      <c r="AH38" s="26"/>
      <c r="AI38" s="21">
        <f>AF38-W38</f>
        <v>53.471874999999955</v>
      </c>
      <c r="AJ38" s="17">
        <f>AF38/W38-1</f>
        <v>4.0108676675732147E-2</v>
      </c>
      <c r="AK38" s="7">
        <f>AH38-X38</f>
        <v>0</v>
      </c>
      <c r="AM38" s="18" t="e">
        <f>AH38/X38-1</f>
        <v>#DIV/0!</v>
      </c>
    </row>
    <row r="39" spans="1:39" x14ac:dyDescent="0.2">
      <c r="T39" s="21"/>
      <c r="U39" s="21"/>
      <c r="V39" s="21"/>
      <c r="W39" s="21"/>
      <c r="X39" s="21"/>
      <c r="Y39" s="21"/>
      <c r="AE39" s="21"/>
    </row>
    <row r="40" spans="1:39" x14ac:dyDescent="0.2">
      <c r="A40" s="17" t="s">
        <v>313</v>
      </c>
      <c r="M40" s="53"/>
      <c r="T40" s="21"/>
      <c r="U40" s="21"/>
      <c r="V40" s="21"/>
      <c r="W40" s="21"/>
      <c r="X40" s="21"/>
      <c r="Y40" s="21"/>
    </row>
    <row r="41" spans="1:39" x14ac:dyDescent="0.2">
      <c r="A41" s="179" t="str">
        <f>("Average usage = "&amp;TEXT(INPUT!$R19*1,"0")&amp;" kWh per month")</f>
        <v>Average usage = 0 kWh per month</v>
      </c>
      <c r="G41" s="31"/>
      <c r="H41" s="89" t="s">
        <v>507</v>
      </c>
      <c r="T41" s="21"/>
      <c r="U41" s="21"/>
      <c r="V41" s="21"/>
      <c r="W41" s="21"/>
      <c r="X41" s="21"/>
      <c r="Y41" s="21"/>
    </row>
    <row r="42" spans="1:39" x14ac:dyDescent="0.2">
      <c r="A42" s="180" t="s">
        <v>314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2"/>
      <c r="AF42" s="21"/>
      <c r="AG42" s="21"/>
      <c r="AH42" s="21"/>
      <c r="AI42" s="21"/>
      <c r="AJ42" s="21"/>
      <c r="AK42" s="6"/>
    </row>
    <row r="43" spans="1:39" x14ac:dyDescent="0.2">
      <c r="A43" s="181" t="s">
        <v>316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T43" s="12"/>
      <c r="AE43" s="9"/>
    </row>
    <row r="44" spans="1:39" x14ac:dyDescent="0.2">
      <c r="A44" s="180" t="str">
        <f>+'Rate Case Constants'!$C$26</f>
        <v>Calculations may vary from other schedules due to rounding</v>
      </c>
      <c r="AE44" s="9"/>
    </row>
    <row r="45" spans="1:39" x14ac:dyDescent="0.2">
      <c r="A45" s="183"/>
      <c r="S45" s="3"/>
      <c r="W45" s="3"/>
      <c r="AA45" s="3"/>
      <c r="AE45" s="9"/>
    </row>
    <row r="46" spans="1:39" x14ac:dyDescent="0.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2"/>
      <c r="AC46" s="3"/>
      <c r="AE46" s="3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3"/>
      <c r="U48" s="3"/>
      <c r="V48" s="3"/>
      <c r="W48" s="3"/>
      <c r="X48" s="3"/>
      <c r="Y48" s="3"/>
    </row>
    <row r="49" spans="2:31" x14ac:dyDescent="0.2">
      <c r="B49" s="18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7"/>
      <c r="T49" s="12"/>
      <c r="W49" s="12"/>
      <c r="X49" s="12"/>
      <c r="Y49" s="12"/>
      <c r="AA49" s="6"/>
      <c r="AC49" s="6"/>
      <c r="AE49" s="9"/>
    </row>
    <row r="50" spans="2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2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2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B52" s="10"/>
      <c r="AC52" s="6"/>
      <c r="AD52" s="10"/>
      <c r="AE52" s="9"/>
    </row>
    <row r="53" spans="2:31" ht="6.75" customHeight="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2:3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C54" s="6"/>
      <c r="AE54" s="9"/>
    </row>
    <row r="55" spans="2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2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2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2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2:31" ht="6.75" customHeight="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2:3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2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2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2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2:31" x14ac:dyDescent="0.2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T64" s="3"/>
      <c r="U64" s="3"/>
      <c r="V64" s="3"/>
      <c r="W64" s="3"/>
      <c r="X64" s="3"/>
      <c r="Y64" s="3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AE66" s="9"/>
    </row>
    <row r="67" spans="5:35" x14ac:dyDescent="0.2">
      <c r="AH67" s="4"/>
      <c r="AI67" s="4"/>
    </row>
  </sheetData>
  <mergeCells count="5">
    <mergeCell ref="A1:P1"/>
    <mergeCell ref="A2:P2"/>
    <mergeCell ref="A3:P3"/>
    <mergeCell ref="A4:P4"/>
    <mergeCell ref="K15:M15"/>
  </mergeCells>
  <printOptions horizontalCentered="1"/>
  <pageMargins left="0.75" right="0.75" top="1.5" bottom="0.5" header="1" footer="0.5"/>
  <pageSetup scale="7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42"/>
  <sheetViews>
    <sheetView view="pageBreakPreview" zoomScale="90" zoomScaleNormal="80" zoomScaleSheetLayoutView="90" workbookViewId="0">
      <selection sqref="A1:L1"/>
    </sheetView>
  </sheetViews>
  <sheetFormatPr defaultColWidth="9.140625" defaultRowHeight="12.75" x14ac:dyDescent="0.2"/>
  <cols>
    <col min="1" max="1" width="10" style="17" customWidth="1"/>
    <col min="2" max="2" width="3.5703125" style="17" customWidth="1"/>
    <col min="3" max="4" width="10.140625" style="17" bestFit="1" customWidth="1"/>
    <col min="5" max="6" width="9.28515625" style="17" bestFit="1" customWidth="1"/>
    <col min="7" max="7" width="10.7109375" style="17" bestFit="1" customWidth="1"/>
    <col min="8" max="8" width="10" style="17" bestFit="1" customWidth="1"/>
    <col min="9" max="9" width="10" style="17" customWidth="1"/>
    <col min="10" max="11" width="10.5703125" style="17" bestFit="1" customWidth="1"/>
    <col min="12" max="12" width="9.28515625" style="17" bestFit="1" customWidth="1"/>
    <col min="13" max="13" width="11" style="17" customWidth="1"/>
    <col min="14" max="14" width="10.140625" style="17" customWidth="1"/>
    <col min="15" max="16" width="3.5703125" style="17" customWidth="1"/>
    <col min="17" max="17" width="11.85546875" style="17" customWidth="1"/>
    <col min="18" max="18" width="9.85546875" style="17" customWidth="1"/>
    <col min="19" max="19" width="9.5703125" style="17" customWidth="1"/>
    <col min="20" max="20" width="7.140625" style="17" customWidth="1"/>
    <col min="21" max="21" width="11.5703125" style="17" customWidth="1"/>
    <col min="22" max="22" width="9.5703125" style="17" customWidth="1"/>
    <col min="23" max="23" width="9.140625" style="17"/>
    <col min="24" max="25" width="3" style="17" customWidth="1"/>
    <col min="26" max="26" width="9.140625" style="17"/>
    <col min="27" max="27" width="2.7109375" style="17" customWidth="1"/>
    <col min="28" max="16384" width="9.140625" style="17"/>
  </cols>
  <sheetData>
    <row r="1" spans="1:29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9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29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29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29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9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</row>
    <row r="7" spans="1:29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03" t="str">
        <f>+'Rate Case Constants'!C25</f>
        <v>SCHEDULE N</v>
      </c>
    </row>
    <row r="8" spans="1:29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02" t="str">
        <f>'Rate Case Constants'!L30</f>
        <v>PAGE 23 of 24</v>
      </c>
    </row>
    <row r="9" spans="1:2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8" t="str">
        <f>+'Rate Case Constants'!C36</f>
        <v>WITNESS:   R. M. CONROY</v>
      </c>
    </row>
    <row r="10" spans="1:29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206"/>
      <c r="Q10" s="85" t="s">
        <v>71</v>
      </c>
      <c r="R10" s="85">
        <f>+INPUT!$G$71</f>
        <v>-1.8748879036161088E-3</v>
      </c>
    </row>
    <row r="11" spans="1:29" x14ac:dyDescent="0.2">
      <c r="A11" s="209" t="s">
        <v>379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5" t="s">
        <v>73</v>
      </c>
      <c r="R11" s="85">
        <f>+INPUT!$H$71</f>
        <v>0</v>
      </c>
      <c r="S11" s="89"/>
      <c r="T11" s="89"/>
      <c r="U11" s="140"/>
      <c r="V11" s="89"/>
      <c r="W11" s="89"/>
    </row>
    <row r="12" spans="1:29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5" t="s">
        <v>72</v>
      </c>
      <c r="R12" s="85">
        <f>+INPUT!$I$71</f>
        <v>6.2079621697511161E-2</v>
      </c>
      <c r="S12" s="89"/>
      <c r="T12" s="89"/>
      <c r="U12" s="89"/>
      <c r="V12" s="89"/>
      <c r="W12" s="89"/>
    </row>
    <row r="13" spans="1:29" x14ac:dyDescent="0.2">
      <c r="A13" s="89"/>
      <c r="B13" s="89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 t="s">
        <v>312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9" x14ac:dyDescent="0.2">
      <c r="C14" s="200" t="s">
        <v>327</v>
      </c>
      <c r="D14" s="200" t="s">
        <v>327</v>
      </c>
      <c r="J14" s="87" t="s">
        <v>5</v>
      </c>
      <c r="K14" s="87" t="s">
        <v>5</v>
      </c>
      <c r="Q14" s="141" t="s">
        <v>59</v>
      </c>
      <c r="R14" s="141"/>
      <c r="S14" s="141"/>
      <c r="U14" s="141" t="s">
        <v>60</v>
      </c>
      <c r="V14" s="141"/>
      <c r="W14" s="141"/>
    </row>
    <row r="15" spans="1:29" x14ac:dyDescent="0.2">
      <c r="C15" s="87" t="s">
        <v>1</v>
      </c>
      <c r="D15" s="87" t="s">
        <v>74</v>
      </c>
      <c r="E15" s="87"/>
      <c r="F15" s="87"/>
      <c r="G15" s="392" t="s">
        <v>251</v>
      </c>
      <c r="H15" s="392"/>
      <c r="I15" s="393"/>
      <c r="J15" s="87" t="s">
        <v>1</v>
      </c>
      <c r="K15" s="87" t="s">
        <v>74</v>
      </c>
      <c r="L15" s="87"/>
      <c r="M15" s="87"/>
      <c r="N15" s="87"/>
      <c r="Q15" s="88" t="s">
        <v>62</v>
      </c>
      <c r="R15" s="87"/>
      <c r="S15" s="88"/>
      <c r="U15" s="88" t="s">
        <v>62</v>
      </c>
      <c r="V15" s="87"/>
      <c r="W15" s="88"/>
    </row>
    <row r="16" spans="1:29" x14ac:dyDescent="0.2">
      <c r="A16" s="87"/>
      <c r="B16" s="87"/>
      <c r="C16" s="87" t="s">
        <v>4</v>
      </c>
      <c r="D16" s="87" t="s">
        <v>4</v>
      </c>
      <c r="E16" s="87" t="s">
        <v>75</v>
      </c>
      <c r="F16" s="87" t="s">
        <v>75</v>
      </c>
      <c r="G16" s="87" t="s">
        <v>337</v>
      </c>
      <c r="H16" s="87" t="s">
        <v>73</v>
      </c>
      <c r="I16" s="87" t="s">
        <v>72</v>
      </c>
      <c r="J16" s="87" t="s">
        <v>4</v>
      </c>
      <c r="K16" s="87" t="s">
        <v>4</v>
      </c>
      <c r="L16" s="87" t="s">
        <v>75</v>
      </c>
      <c r="M16" s="87"/>
      <c r="N16" s="87"/>
      <c r="O16" s="87"/>
      <c r="P16" s="87"/>
      <c r="Q16" s="88" t="s">
        <v>61</v>
      </c>
      <c r="R16" s="87" t="s">
        <v>56</v>
      </c>
      <c r="S16" s="88" t="s">
        <v>5</v>
      </c>
      <c r="U16" s="88" t="s">
        <v>61</v>
      </c>
      <c r="V16" s="87" t="s">
        <v>56</v>
      </c>
      <c r="W16" s="88" t="s">
        <v>5</v>
      </c>
      <c r="Y16" s="85"/>
      <c r="Z16" s="87" t="s">
        <v>6</v>
      </c>
      <c r="AA16" s="87"/>
      <c r="AB16" s="87" t="s">
        <v>8</v>
      </c>
      <c r="AC16" s="87"/>
    </row>
    <row r="17" spans="1:29" x14ac:dyDescent="0.2">
      <c r="A17" s="87" t="s">
        <v>505</v>
      </c>
      <c r="B17" s="87"/>
      <c r="C17" s="87"/>
      <c r="D17" s="87"/>
      <c r="E17" s="87" t="s">
        <v>69</v>
      </c>
      <c r="F17" s="88" t="s">
        <v>70</v>
      </c>
      <c r="G17" s="90"/>
      <c r="H17" s="90"/>
      <c r="I17" s="91"/>
      <c r="J17" s="87" t="s">
        <v>69</v>
      </c>
      <c r="K17" s="87" t="s">
        <v>69</v>
      </c>
      <c r="L17" s="88" t="s">
        <v>70</v>
      </c>
      <c r="M17" s="87"/>
      <c r="N17" s="87"/>
      <c r="O17" s="87"/>
      <c r="P17" s="87"/>
      <c r="Q17" s="273" t="s">
        <v>3</v>
      </c>
      <c r="R17" s="274" t="s">
        <v>3</v>
      </c>
      <c r="S17" s="273" t="s">
        <v>4</v>
      </c>
      <c r="U17" s="273" t="s">
        <v>3</v>
      </c>
      <c r="V17" s="274" t="s">
        <v>3</v>
      </c>
      <c r="W17" s="273" t="s">
        <v>4</v>
      </c>
      <c r="Y17" s="85"/>
      <c r="Z17" s="87" t="s">
        <v>7</v>
      </c>
      <c r="AA17" s="87"/>
      <c r="AB17" s="87" t="s">
        <v>7</v>
      </c>
      <c r="AC17" s="87"/>
    </row>
    <row r="18" spans="1:29" x14ac:dyDescent="0.2">
      <c r="A18" s="274"/>
      <c r="B18" s="274"/>
      <c r="C18" s="274"/>
      <c r="D18" s="274"/>
      <c r="E18" s="204" t="str">
        <f>("[ "&amp;D13&amp;" - "&amp;C13&amp;" ]")</f>
        <v>[ B - A ]</v>
      </c>
      <c r="F18" s="204" t="str">
        <f>("[ "&amp;E13&amp;" / "&amp;C13&amp;" ]")</f>
        <v>[ C / A ]</v>
      </c>
      <c r="G18" s="205"/>
      <c r="H18" s="205"/>
      <c r="I18" s="205"/>
      <c r="J18" s="204" t="str">
        <f>("["&amp;C13&amp;"+"&amp;$G$13&amp;"+"&amp;$H$13&amp;"+"&amp;$I$13&amp;"]")</f>
        <v>[A+E+F+G]</v>
      </c>
      <c r="K18" s="204" t="str">
        <f>("["&amp;D13&amp;"+"&amp;$G$13&amp;"+"&amp;$H$13&amp;"+"&amp;$I$13&amp;"]")</f>
        <v>[B+E+F+G]</v>
      </c>
      <c r="L18" s="204" t="str">
        <f>("[("&amp;K13&amp;" - "&amp;J13&amp;")/"&amp;J13&amp;"]")</f>
        <v>[(I - H)/H]</v>
      </c>
      <c r="M18" s="87"/>
      <c r="N18" s="87"/>
      <c r="O18" s="87"/>
      <c r="P18" s="87"/>
      <c r="Q18" s="88"/>
      <c r="R18" s="142">
        <f>+INPUT!$T$6</f>
        <v>2.84</v>
      </c>
      <c r="S18" s="88"/>
      <c r="U18" s="88"/>
      <c r="V18" s="142">
        <f>INPUT!$T$27</f>
        <v>0.75</v>
      </c>
      <c r="W18" s="88"/>
      <c r="Y18" s="85"/>
      <c r="Z18" s="87"/>
      <c r="AA18" s="87"/>
      <c r="AB18" s="87"/>
      <c r="AC18" s="87"/>
    </row>
    <row r="19" spans="1:29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7" t="s">
        <v>506</v>
      </c>
      <c r="S19" s="88"/>
      <c r="U19" s="88"/>
      <c r="V19" s="142">
        <f>INPUT!$T$28</f>
        <v>1</v>
      </c>
      <c r="W19" s="88"/>
      <c r="Y19" s="85"/>
      <c r="Z19" s="87"/>
      <c r="AA19" s="87"/>
      <c r="AB19" s="87"/>
      <c r="AC19" s="87"/>
    </row>
    <row r="20" spans="1:29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R20" s="87"/>
      <c r="S20" s="87"/>
      <c r="V20" s="87" t="s">
        <v>506</v>
      </c>
      <c r="W20" s="87"/>
    </row>
    <row r="21" spans="1:29" x14ac:dyDescent="0.2">
      <c r="A21" s="84">
        <v>1</v>
      </c>
      <c r="C21" s="86">
        <f>+S21</f>
        <v>2.84</v>
      </c>
      <c r="D21" s="86">
        <f>+W21</f>
        <v>0.75</v>
      </c>
      <c r="E21" s="92">
        <f>+D21-C21</f>
        <v>-2.09</v>
      </c>
      <c r="F21" s="93">
        <f>ROUND(+E21/C21,4)</f>
        <v>-0.7359</v>
      </c>
      <c r="G21" s="92">
        <f>ROUND($R$10*$A21,2)</f>
        <v>0</v>
      </c>
      <c r="H21" s="92">
        <f>ROUND($R$11*$A21,2)</f>
        <v>0</v>
      </c>
      <c r="I21" s="92">
        <f>ROUND($R$12*$A21,2)</f>
        <v>0.06</v>
      </c>
      <c r="J21" s="92">
        <f>+C21+G21+H21+I21</f>
        <v>2.9</v>
      </c>
      <c r="K21" s="92">
        <f>+D21+G21+H21+I21</f>
        <v>0.81</v>
      </c>
      <c r="L21" s="93">
        <f>ROUND((K21-J21)/J21,4)</f>
        <v>-0.72070000000000001</v>
      </c>
      <c r="N21" s="143"/>
      <c r="Q21" s="40">
        <f>+INPUT!$T$4</f>
        <v>0</v>
      </c>
      <c r="R21" s="86">
        <f>A21*$R$18</f>
        <v>2.84</v>
      </c>
      <c r="S21" s="86">
        <f>Q21+R21</f>
        <v>2.84</v>
      </c>
      <c r="U21" s="40">
        <f>INPUT!$T$25</f>
        <v>0</v>
      </c>
      <c r="V21" s="86">
        <f>A21*$V$18</f>
        <v>0.75</v>
      </c>
      <c r="W21" s="86">
        <f>U21+V21</f>
        <v>0.75</v>
      </c>
      <c r="Z21" s="86">
        <f>W21-S21</f>
        <v>-2.09</v>
      </c>
      <c r="AB21" s="143">
        <f>W21/S21-1</f>
        <v>-0.7359154929577465</v>
      </c>
      <c r="AC21" s="143"/>
    </row>
    <row r="22" spans="1:29" x14ac:dyDescent="0.2">
      <c r="A22" s="84"/>
      <c r="Q22" s="40"/>
      <c r="R22" s="86"/>
      <c r="S22" s="86"/>
      <c r="U22" s="40"/>
      <c r="V22" s="86"/>
      <c r="W22" s="86"/>
      <c r="AB22" s="143"/>
      <c r="AC22" s="143"/>
    </row>
    <row r="23" spans="1:29" x14ac:dyDescent="0.2">
      <c r="A23" s="84">
        <v>2</v>
      </c>
      <c r="C23" s="86">
        <f>+S23</f>
        <v>5.68</v>
      </c>
      <c r="D23" s="86">
        <f>+W23</f>
        <v>1.5</v>
      </c>
      <c r="E23" s="92">
        <f>+D23-C23</f>
        <v>-4.18</v>
      </c>
      <c r="F23" s="93">
        <f>ROUND(+E23/C23,4)</f>
        <v>-0.7359</v>
      </c>
      <c r="G23" s="92">
        <f>ROUND($R$10*$A23,2)</f>
        <v>0</v>
      </c>
      <c r="H23" s="92">
        <f>ROUND($R$11*$A23,2)</f>
        <v>0</v>
      </c>
      <c r="I23" s="92">
        <f>ROUND($R$12*$A23,2)</f>
        <v>0.12</v>
      </c>
      <c r="J23" s="92">
        <f>+C23+G23+H23+I23</f>
        <v>5.8</v>
      </c>
      <c r="K23" s="92">
        <f>+D23+G23+H23+I23</f>
        <v>1.62</v>
      </c>
      <c r="L23" s="93">
        <f>ROUND((K23-J23)/J23,4)</f>
        <v>-0.72070000000000001</v>
      </c>
      <c r="Q23" s="40">
        <f>$Q$21</f>
        <v>0</v>
      </c>
      <c r="R23" s="86">
        <f>A23*$R$18</f>
        <v>5.68</v>
      </c>
      <c r="S23" s="86">
        <f>Q23+R23</f>
        <v>5.68</v>
      </c>
      <c r="U23" s="40">
        <f>U$21</f>
        <v>0</v>
      </c>
      <c r="V23" s="86">
        <f>A23*$V$18</f>
        <v>1.5</v>
      </c>
      <c r="W23" s="86">
        <f>U23+V23</f>
        <v>1.5</v>
      </c>
      <c r="Z23" s="86">
        <f>W23-S23</f>
        <v>-4.18</v>
      </c>
      <c r="AB23" s="143">
        <f>W23/S23-1</f>
        <v>-0.7359154929577465</v>
      </c>
      <c r="AC23" s="143"/>
    </row>
    <row r="24" spans="1:29" x14ac:dyDescent="0.2">
      <c r="A24" s="84"/>
      <c r="C24" s="86"/>
      <c r="D24" s="86"/>
      <c r="E24" s="92"/>
      <c r="F24" s="93"/>
      <c r="G24" s="92"/>
      <c r="H24" s="92"/>
      <c r="I24" s="92"/>
      <c r="J24" s="92"/>
      <c r="K24" s="92"/>
      <c r="L24" s="93"/>
      <c r="Q24" s="144"/>
      <c r="R24" s="86"/>
      <c r="S24" s="86"/>
      <c r="U24" s="40"/>
      <c r="V24" s="86"/>
      <c r="W24" s="86"/>
      <c r="AB24" s="145"/>
      <c r="AC24" s="145"/>
    </row>
    <row r="25" spans="1:29" s="146" customFormat="1" x14ac:dyDescent="0.2">
      <c r="A25" s="84">
        <v>3</v>
      </c>
      <c r="B25" s="17"/>
      <c r="C25" s="86">
        <f>+S25</f>
        <v>8.52</v>
      </c>
      <c r="D25" s="86">
        <f>+W25</f>
        <v>2.5</v>
      </c>
      <c r="E25" s="92">
        <f>+D25-C25</f>
        <v>-6.02</v>
      </c>
      <c r="F25" s="93">
        <f>ROUND(+E25/C25,4)</f>
        <v>-0.70660000000000001</v>
      </c>
      <c r="G25" s="92">
        <f>ROUND($R$10*$A25,2)</f>
        <v>-0.01</v>
      </c>
      <c r="H25" s="92">
        <f>ROUND($R$11*$A25,2)</f>
        <v>0</v>
      </c>
      <c r="I25" s="92">
        <f>ROUND($R$12*$A25,2)</f>
        <v>0.19</v>
      </c>
      <c r="J25" s="92">
        <f>+C25+G25+H25+I25</f>
        <v>8.6999999999999993</v>
      </c>
      <c r="K25" s="92">
        <f>+D25+G25+H25+I25</f>
        <v>2.68</v>
      </c>
      <c r="L25" s="93">
        <f>ROUND((K25-J25)/J25,4)</f>
        <v>-0.69199999999999995</v>
      </c>
      <c r="Q25" s="144">
        <f>$Q$21</f>
        <v>0</v>
      </c>
      <c r="R25" s="86">
        <f>A25*$R$18</f>
        <v>8.52</v>
      </c>
      <c r="S25" s="147">
        <f>Q25+R25</f>
        <v>8.52</v>
      </c>
      <c r="U25" s="40">
        <f>U$21</f>
        <v>0</v>
      </c>
      <c r="V25" s="86">
        <f>$A$23*$V$18+$V$19*A21</f>
        <v>2.5</v>
      </c>
      <c r="W25" s="147">
        <f>U25+V25</f>
        <v>2.5</v>
      </c>
      <c r="Z25" s="147">
        <f>W25-S25</f>
        <v>-6.02</v>
      </c>
      <c r="AB25" s="145">
        <f>W25/S25-1</f>
        <v>-0.70657276995305163</v>
      </c>
      <c r="AC25" s="145"/>
    </row>
    <row r="26" spans="1:29" x14ac:dyDescent="0.2">
      <c r="A26" s="84"/>
      <c r="Q26" s="40"/>
      <c r="R26" s="86"/>
      <c r="S26" s="86"/>
      <c r="U26" s="40"/>
      <c r="V26" s="86"/>
      <c r="W26" s="86"/>
      <c r="AB26" s="143"/>
      <c r="AC26" s="143"/>
    </row>
    <row r="27" spans="1:29" x14ac:dyDescent="0.2">
      <c r="A27" s="277">
        <v>4</v>
      </c>
      <c r="B27" s="146"/>
      <c r="C27" s="147">
        <f>+S27</f>
        <v>11.36</v>
      </c>
      <c r="D27" s="147">
        <f>+W27</f>
        <v>3.5</v>
      </c>
      <c r="E27" s="229">
        <f>+D27-C27</f>
        <v>-7.8599999999999994</v>
      </c>
      <c r="F27" s="278">
        <f>ROUND(+E27/C27,4)</f>
        <v>-0.69189999999999996</v>
      </c>
      <c r="G27" s="229">
        <f>ROUND($R$10*$A27,2)</f>
        <v>-0.01</v>
      </c>
      <c r="H27" s="229">
        <f>ROUND($R$11*$A27,2)</f>
        <v>0</v>
      </c>
      <c r="I27" s="229">
        <f>ROUND($R$12*$A27,2)</f>
        <v>0.25</v>
      </c>
      <c r="J27" s="229">
        <f>+C27+G27+H27+I27</f>
        <v>11.6</v>
      </c>
      <c r="K27" s="229">
        <f>+D27+G27+H27+I27</f>
        <v>3.74</v>
      </c>
      <c r="L27" s="278">
        <f>ROUND((K27-J27)/J27,4)</f>
        <v>-0.67759999999999998</v>
      </c>
      <c r="M27" s="189"/>
      <c r="N27" s="189"/>
      <c r="O27" s="146"/>
      <c r="P27" s="146"/>
      <c r="Q27" s="144">
        <f>$Q$21</f>
        <v>0</v>
      </c>
      <c r="R27" s="86">
        <f>A27*$R$18</f>
        <v>11.36</v>
      </c>
      <c r="S27" s="147">
        <f>Q27+R27</f>
        <v>11.36</v>
      </c>
      <c r="T27" s="146"/>
      <c r="U27" s="40">
        <f>U$21</f>
        <v>0</v>
      </c>
      <c r="V27" s="86">
        <f>$A$23*$V$18+$V$19*A23</f>
        <v>3.5</v>
      </c>
      <c r="W27" s="147">
        <f>U27+V27</f>
        <v>3.5</v>
      </c>
      <c r="X27" s="146"/>
      <c r="Y27" s="146"/>
      <c r="Z27" s="147">
        <f>W27-S27</f>
        <v>-7.8599999999999994</v>
      </c>
      <c r="AA27" s="146"/>
      <c r="AB27" s="145">
        <f>W27/S27-1</f>
        <v>-0.69190140845070425</v>
      </c>
      <c r="AC27" s="143"/>
    </row>
    <row r="28" spans="1:29" x14ac:dyDescent="0.2">
      <c r="A28" s="84"/>
      <c r="Q28" s="40"/>
      <c r="R28" s="86"/>
      <c r="S28" s="86"/>
      <c r="U28" s="40"/>
      <c r="V28" s="86"/>
      <c r="W28" s="86"/>
      <c r="AB28" s="143"/>
      <c r="AC28" s="143"/>
    </row>
    <row r="29" spans="1:29" x14ac:dyDescent="0.2">
      <c r="A29" s="84">
        <v>5</v>
      </c>
      <c r="C29" s="86">
        <f>+S29</f>
        <v>14.2</v>
      </c>
      <c r="D29" s="86">
        <f>+W29</f>
        <v>4.5</v>
      </c>
      <c r="E29" s="92">
        <f>+D29-C29</f>
        <v>-9.6999999999999993</v>
      </c>
      <c r="F29" s="93">
        <f>ROUND(+E29/C29,4)</f>
        <v>-0.68310000000000004</v>
      </c>
      <c r="G29" s="92">
        <f>ROUND($R$10*$A29,2)</f>
        <v>-0.01</v>
      </c>
      <c r="H29" s="92">
        <f>ROUND($R$11*$A29,2)</f>
        <v>0</v>
      </c>
      <c r="I29" s="92">
        <f>ROUND($R$12*$A29,2)</f>
        <v>0.31</v>
      </c>
      <c r="J29" s="92">
        <f>+C29+G29+H29+I29</f>
        <v>14.5</v>
      </c>
      <c r="K29" s="92">
        <f>+D29+G29+H29+I29</f>
        <v>4.8</v>
      </c>
      <c r="L29" s="93">
        <f>ROUND((K29-J29)/J29,4)</f>
        <v>-0.66900000000000004</v>
      </c>
      <c r="Q29" s="40">
        <f>$Q$21</f>
        <v>0</v>
      </c>
      <c r="R29" s="86">
        <f>A29*$R$18</f>
        <v>14.2</v>
      </c>
      <c r="S29" s="86">
        <f>Q29+R29</f>
        <v>14.2</v>
      </c>
      <c r="U29" s="40">
        <f>U$21</f>
        <v>0</v>
      </c>
      <c r="V29" s="86">
        <f>$A$23*$V$18+$V$19*A25</f>
        <v>4.5</v>
      </c>
      <c r="W29" s="86">
        <f>U29+V29</f>
        <v>4.5</v>
      </c>
      <c r="Z29" s="86">
        <f>W29-S29</f>
        <v>-9.6999999999999993</v>
      </c>
      <c r="AB29" s="143">
        <f>W29/S29-1</f>
        <v>-0.68309859154929575</v>
      </c>
      <c r="AC29" s="143"/>
    </row>
    <row r="30" spans="1:29" x14ac:dyDescent="0.2">
      <c r="Q30" s="40"/>
      <c r="R30" s="86"/>
      <c r="S30" s="86"/>
      <c r="U30" s="40"/>
      <c r="V30" s="86"/>
      <c r="W30" s="86"/>
      <c r="AB30" s="143"/>
      <c r="AC30" s="143"/>
    </row>
    <row r="31" spans="1:29" x14ac:dyDescent="0.2">
      <c r="A31" s="84">
        <v>6</v>
      </c>
      <c r="C31" s="86">
        <f>+S31</f>
        <v>17.04</v>
      </c>
      <c r="D31" s="86">
        <f>+W31</f>
        <v>5.5</v>
      </c>
      <c r="E31" s="92">
        <f>+D31-C31</f>
        <v>-11.54</v>
      </c>
      <c r="F31" s="93">
        <f>ROUND(+E31/C31,4)</f>
        <v>-0.67720000000000002</v>
      </c>
      <c r="G31" s="92">
        <f>ROUND($R$10*$A31,2)</f>
        <v>-0.01</v>
      </c>
      <c r="H31" s="92">
        <f>ROUND($R$11*$A31,2)</f>
        <v>0</v>
      </c>
      <c r="I31" s="92">
        <f>ROUND($R$12*$A31,2)</f>
        <v>0.37</v>
      </c>
      <c r="J31" s="92">
        <f>+C31+G31+H31+I31</f>
        <v>17.399999999999999</v>
      </c>
      <c r="K31" s="92">
        <f>+D31+G31+H31+I31</f>
        <v>5.86</v>
      </c>
      <c r="L31" s="93">
        <f>ROUND((K31-J31)/J31,4)</f>
        <v>-0.66320000000000001</v>
      </c>
      <c r="Q31" s="40">
        <f>$Q$21</f>
        <v>0</v>
      </c>
      <c r="R31" s="86">
        <f>A31*$R$18</f>
        <v>17.04</v>
      </c>
      <c r="S31" s="86">
        <f>Q31+R31</f>
        <v>17.04</v>
      </c>
      <c r="U31" s="40">
        <f>U$21</f>
        <v>0</v>
      </c>
      <c r="V31" s="86">
        <f>$A$23*$V$18+$V$19*A27</f>
        <v>5.5</v>
      </c>
      <c r="W31" s="86">
        <f>U31+V31</f>
        <v>5.5</v>
      </c>
      <c r="Z31" s="86">
        <f>W31-S31</f>
        <v>-11.54</v>
      </c>
      <c r="AB31" s="143">
        <f>W31/S31-1</f>
        <v>-0.67723004694835676</v>
      </c>
      <c r="AC31" s="143"/>
    </row>
    <row r="32" spans="1:29" x14ac:dyDescent="0.2">
      <c r="A32" s="84"/>
      <c r="Q32" s="40"/>
      <c r="R32" s="86"/>
      <c r="S32" s="86"/>
      <c r="U32" s="40"/>
      <c r="V32" s="86"/>
      <c r="W32" s="86"/>
      <c r="AB32" s="143"/>
      <c r="AC32" s="143"/>
    </row>
    <row r="33" spans="1:29" x14ac:dyDescent="0.2">
      <c r="A33" s="84">
        <v>7</v>
      </c>
      <c r="C33" s="86">
        <f>+S33</f>
        <v>19.88</v>
      </c>
      <c r="D33" s="86">
        <f>+W33</f>
        <v>6.5</v>
      </c>
      <c r="E33" s="92">
        <f>+D33-C33</f>
        <v>-13.379999999999999</v>
      </c>
      <c r="F33" s="93">
        <f>ROUND(+E33/C33,4)</f>
        <v>-0.67300000000000004</v>
      </c>
      <c r="G33" s="92">
        <f>ROUND($R$10*$A33,2)</f>
        <v>-0.01</v>
      </c>
      <c r="H33" s="92">
        <f>ROUND($R$11*$A33,2)</f>
        <v>0</v>
      </c>
      <c r="I33" s="92">
        <f>ROUND($R$12*$A33,2)</f>
        <v>0.43</v>
      </c>
      <c r="J33" s="92">
        <f>+C33+G33+H33+I33</f>
        <v>20.299999999999997</v>
      </c>
      <c r="K33" s="92">
        <f>+D33+G33+H33+I33</f>
        <v>6.92</v>
      </c>
      <c r="L33" s="93">
        <f>ROUND((K33-J33)/J33,4)</f>
        <v>-0.65910000000000002</v>
      </c>
      <c r="Q33" s="40">
        <f>$Q$21</f>
        <v>0</v>
      </c>
      <c r="R33" s="86">
        <f>A33*$R$18</f>
        <v>19.88</v>
      </c>
      <c r="S33" s="86">
        <f>Q33+R33</f>
        <v>19.88</v>
      </c>
      <c r="U33" s="40">
        <f>U$21</f>
        <v>0</v>
      </c>
      <c r="V33" s="86">
        <f>$A$23*$V$18+$V$19*A29</f>
        <v>6.5</v>
      </c>
      <c r="W33" s="86">
        <f>U33+V33</f>
        <v>6.5</v>
      </c>
      <c r="Z33" s="86">
        <f>W33-S33</f>
        <v>-13.379999999999999</v>
      </c>
      <c r="AB33" s="143">
        <f>W33/S33-1</f>
        <v>-0.67303822937625757</v>
      </c>
      <c r="AC33" s="143"/>
    </row>
    <row r="34" spans="1:29" x14ac:dyDescent="0.2">
      <c r="Q34" s="40"/>
      <c r="R34" s="86"/>
      <c r="S34" s="86"/>
      <c r="U34" s="40"/>
      <c r="V34" s="86"/>
      <c r="W34" s="86"/>
      <c r="AB34" s="143"/>
      <c r="AC34" s="143"/>
    </row>
    <row r="35" spans="1:29" x14ac:dyDescent="0.2">
      <c r="A35" s="84">
        <v>8</v>
      </c>
      <c r="C35" s="86">
        <f>+S35</f>
        <v>22.72</v>
      </c>
      <c r="D35" s="86">
        <f>+W35</f>
        <v>7.5</v>
      </c>
      <c r="E35" s="92">
        <f>+D35-C35</f>
        <v>-15.219999999999999</v>
      </c>
      <c r="F35" s="93">
        <f>ROUND(+E35/C35,4)</f>
        <v>-0.66990000000000005</v>
      </c>
      <c r="G35" s="92">
        <f>ROUND($R$10*$A35,2)</f>
        <v>-0.01</v>
      </c>
      <c r="H35" s="92">
        <f>ROUND($R$11*$A35,2)</f>
        <v>0</v>
      </c>
      <c r="I35" s="92">
        <f>ROUND($R$12*$A35,2)</f>
        <v>0.5</v>
      </c>
      <c r="J35" s="92">
        <f>+C35+G35+H35+I35</f>
        <v>23.209999999999997</v>
      </c>
      <c r="K35" s="92">
        <f>+D35+G35+H35+I35</f>
        <v>7.99</v>
      </c>
      <c r="L35" s="93">
        <f>ROUND((K35-J35)/J35,4)</f>
        <v>-0.65580000000000005</v>
      </c>
      <c r="Q35" s="40">
        <f>$Q$21</f>
        <v>0</v>
      </c>
      <c r="R35" s="86">
        <f>A35*$R$18</f>
        <v>22.72</v>
      </c>
      <c r="S35" s="86">
        <f>Q35+R35</f>
        <v>22.72</v>
      </c>
      <c r="U35" s="40">
        <f>U$21</f>
        <v>0</v>
      </c>
      <c r="V35" s="86">
        <f>$A$23*$V$18+$V$19*A31</f>
        <v>7.5</v>
      </c>
      <c r="W35" s="86">
        <f>U35+V35</f>
        <v>7.5</v>
      </c>
      <c r="Z35" s="86">
        <f>W35-S35</f>
        <v>-15.219999999999999</v>
      </c>
      <c r="AB35" s="143">
        <f>W35/S35-1</f>
        <v>-0.66989436619718301</v>
      </c>
      <c r="AC35" s="143"/>
    </row>
    <row r="37" spans="1:29" x14ac:dyDescent="0.2">
      <c r="A37" s="17" t="s">
        <v>313</v>
      </c>
      <c r="Q37" s="40"/>
    </row>
    <row r="38" spans="1:29" x14ac:dyDescent="0.2">
      <c r="A38" s="179" t="str">
        <f>("Average usage = "&amp;TEXT(INPUT!T19*1,"0")&amp;" kWh per month")</f>
        <v>Average usage = 5 kWh per month</v>
      </c>
    </row>
    <row r="39" spans="1:29" x14ac:dyDescent="0.2">
      <c r="A39" s="180" t="s">
        <v>314</v>
      </c>
    </row>
    <row r="40" spans="1:29" x14ac:dyDescent="0.2">
      <c r="A40" s="180" t="str">
        <f>+'Rate Case Constants'!$C$26</f>
        <v>Calculations may vary from other schedules due to rounding</v>
      </c>
    </row>
    <row r="42" spans="1:29" ht="12" customHeight="1" x14ac:dyDescent="0.2"/>
  </sheetData>
  <mergeCells count="5">
    <mergeCell ref="A1:L1"/>
    <mergeCell ref="A2:L2"/>
    <mergeCell ref="A3:L3"/>
    <mergeCell ref="A4:L4"/>
    <mergeCell ref="G15:I15"/>
  </mergeCells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1"/>
  <sheetViews>
    <sheetView view="pageBreakPreview" zoomScale="90" zoomScaleNormal="80" zoomScaleSheetLayoutView="90" workbookViewId="0">
      <selection sqref="A1:F1"/>
    </sheetView>
  </sheetViews>
  <sheetFormatPr defaultRowHeight="12.75" x14ac:dyDescent="0.2"/>
  <cols>
    <col min="1" max="1" width="23.5703125" customWidth="1"/>
    <col min="2" max="2" width="3.5703125" customWidth="1"/>
    <col min="3" max="4" width="20.28515625" customWidth="1"/>
    <col min="5" max="5" width="15.85546875" customWidth="1"/>
    <col min="6" max="6" width="16.28515625" customWidth="1"/>
    <col min="7" max="10" width="3.5703125" customWidth="1"/>
    <col min="11" max="11" width="11.85546875" customWidth="1"/>
    <col min="12" max="12" width="9.85546875" customWidth="1"/>
    <col min="13" max="13" width="11.140625" bestFit="1" customWidth="1"/>
    <col min="14" max="14" width="7.140625" customWidth="1"/>
    <col min="15" max="15" width="11.5703125" customWidth="1"/>
    <col min="16" max="16" width="9.5703125" customWidth="1"/>
    <col min="17" max="17" width="11.140625" bestFit="1" customWidth="1"/>
    <col min="18" max="19" width="3" customWidth="1"/>
    <col min="21" max="21" width="2.7109375" customWidth="1"/>
  </cols>
  <sheetData>
    <row r="1" spans="1:23" x14ac:dyDescent="0.2">
      <c r="A1" s="403" t="str">
        <f>+'Rate Case Constants'!C9</f>
        <v>KENTUCKY UTILITIES COMPANY</v>
      </c>
      <c r="B1" s="403"/>
      <c r="C1" s="403"/>
      <c r="D1" s="403"/>
      <c r="E1" s="403"/>
      <c r="F1" s="403"/>
    </row>
    <row r="2" spans="1:23" x14ac:dyDescent="0.2">
      <c r="A2" s="403" t="str">
        <f>+'Rate Case Constants'!C10</f>
        <v>CASE NO. 2018-00294</v>
      </c>
      <c r="B2" s="403"/>
      <c r="C2" s="403"/>
      <c r="D2" s="403"/>
      <c r="E2" s="403"/>
      <c r="F2" s="403"/>
    </row>
    <row r="3" spans="1:23" x14ac:dyDescent="0.2">
      <c r="A3" s="404" t="str">
        <f>+'Rate Case Constants'!C24</f>
        <v>Typical Bill Comparison under Present &amp; Proposed Rates</v>
      </c>
      <c r="B3" s="404"/>
      <c r="C3" s="404"/>
      <c r="D3" s="404"/>
      <c r="E3" s="404"/>
      <c r="F3" s="404"/>
    </row>
    <row r="4" spans="1:23" x14ac:dyDescent="0.2">
      <c r="A4" s="403" t="str">
        <f>+'Rate Case Constants'!C21</f>
        <v>FORECAST PERIOD FOR THE 12 MONTHS ENDED APRIL 30, 2020</v>
      </c>
      <c r="B4" s="403"/>
      <c r="C4" s="403"/>
      <c r="D4" s="403"/>
      <c r="E4" s="403"/>
      <c r="F4" s="403"/>
    </row>
    <row r="5" spans="1:23" x14ac:dyDescent="0.2">
      <c r="A5" s="227"/>
      <c r="B5" s="227"/>
      <c r="C5" s="227"/>
      <c r="D5" s="227"/>
      <c r="E5" s="227"/>
      <c r="F5" s="227"/>
    </row>
    <row r="6" spans="1:23" x14ac:dyDescent="0.2">
      <c r="A6" s="2"/>
      <c r="B6" s="2"/>
      <c r="C6" s="2"/>
      <c r="D6" s="2"/>
      <c r="E6" s="2"/>
      <c r="F6" s="2"/>
    </row>
    <row r="7" spans="1:23" x14ac:dyDescent="0.2">
      <c r="A7" s="2" t="str">
        <f>+'Rate Case Constants'!C33</f>
        <v>DATA: ____BASE PERIOD__X___FORECASTED PERIOD</v>
      </c>
      <c r="B7" s="2"/>
      <c r="C7" s="2"/>
      <c r="D7" s="2"/>
      <c r="E7" s="2"/>
      <c r="F7" s="217" t="str">
        <f>+'Rate Case Constants'!C25</f>
        <v>SCHEDULE N</v>
      </c>
    </row>
    <row r="8" spans="1:23" x14ac:dyDescent="0.2">
      <c r="A8" s="2" t="str">
        <f>+'Rate Case Constants'!C29</f>
        <v>TYPE OF FILING: __X__ ORIGINAL  _____ UPDATED  _____ REVISED</v>
      </c>
      <c r="B8" s="2"/>
      <c r="C8" s="2"/>
      <c r="D8" s="2"/>
      <c r="E8" s="2"/>
      <c r="F8" s="218" t="str">
        <f>'Rate Case Constants'!L31</f>
        <v>PAGE 24 of 24</v>
      </c>
    </row>
    <row r="9" spans="1:23" x14ac:dyDescent="0.2">
      <c r="A9" s="2" t="str">
        <f>+'Rate Case Constants'!C34</f>
        <v>WORKPAPER REFERENCE NO(S):________</v>
      </c>
      <c r="B9" s="2"/>
      <c r="C9" s="2"/>
      <c r="D9" s="2"/>
      <c r="E9" s="2"/>
      <c r="F9" s="218" t="str">
        <f>+'Rate Case Constants'!C36</f>
        <v>WITNESS:   R. M. CONROY</v>
      </c>
    </row>
    <row r="10" spans="1:23" x14ac:dyDescent="0.2">
      <c r="A10" s="210"/>
      <c r="B10" s="210"/>
      <c r="C10" s="210"/>
      <c r="D10" s="210"/>
      <c r="E10" s="210"/>
      <c r="F10" s="210"/>
    </row>
    <row r="11" spans="1:23" x14ac:dyDescent="0.2">
      <c r="A11" s="126" t="s">
        <v>391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/>
      <c r="P11" s="31"/>
      <c r="Q11" s="31"/>
    </row>
    <row r="12" spans="1:23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23" x14ac:dyDescent="0.2">
      <c r="A13" s="31"/>
      <c r="B13" s="31"/>
      <c r="C13" s="3" t="s">
        <v>303</v>
      </c>
      <c r="D13" s="3" t="s">
        <v>304</v>
      </c>
      <c r="E13" s="27" t="s">
        <v>305</v>
      </c>
      <c r="F13" s="3" t="s">
        <v>306</v>
      </c>
      <c r="G13" s="31"/>
      <c r="H13" s="31"/>
      <c r="I13" s="31"/>
      <c r="J13" s="31"/>
      <c r="K13" s="48" t="s">
        <v>59</v>
      </c>
      <c r="L13" s="48"/>
      <c r="M13" s="48"/>
      <c r="O13" s="48" t="s">
        <v>60</v>
      </c>
      <c r="P13" s="48"/>
      <c r="Q13" s="48"/>
    </row>
    <row r="14" spans="1:23" x14ac:dyDescent="0.2">
      <c r="C14" s="3" t="s">
        <v>1</v>
      </c>
      <c r="D14" s="3" t="s">
        <v>74</v>
      </c>
      <c r="E14" s="3"/>
      <c r="F14" s="3"/>
      <c r="K14" s="27" t="s">
        <v>62</v>
      </c>
      <c r="L14" s="3"/>
      <c r="M14" s="27"/>
      <c r="O14" s="27" t="s">
        <v>62</v>
      </c>
      <c r="P14" s="3"/>
      <c r="Q14" s="27"/>
    </row>
    <row r="15" spans="1:23" x14ac:dyDescent="0.2">
      <c r="A15" s="3"/>
      <c r="B15" s="3"/>
      <c r="C15" s="3" t="s">
        <v>4</v>
      </c>
      <c r="D15" s="3" t="s">
        <v>4</v>
      </c>
      <c r="E15" s="3" t="s">
        <v>75</v>
      </c>
      <c r="F15" s="3" t="s">
        <v>75</v>
      </c>
      <c r="G15" s="3"/>
      <c r="H15" s="3"/>
      <c r="I15" s="3"/>
      <c r="J15" s="3"/>
      <c r="K15" s="27" t="s">
        <v>61</v>
      </c>
      <c r="L15" s="3" t="s">
        <v>56</v>
      </c>
      <c r="M15" s="27" t="s">
        <v>5</v>
      </c>
      <c r="O15" s="27" t="s">
        <v>61</v>
      </c>
      <c r="P15" s="3" t="s">
        <v>56</v>
      </c>
      <c r="Q15" s="27" t="s">
        <v>5</v>
      </c>
      <c r="S15" s="2"/>
      <c r="T15" s="3" t="s">
        <v>6</v>
      </c>
      <c r="U15" s="3"/>
      <c r="V15" s="3" t="s">
        <v>8</v>
      </c>
      <c r="W15" s="3"/>
    </row>
    <row r="16" spans="1:23" x14ac:dyDescent="0.2">
      <c r="A16" s="3" t="s">
        <v>230</v>
      </c>
      <c r="B16" s="3"/>
      <c r="C16" s="3"/>
      <c r="D16" s="3"/>
      <c r="E16" s="3" t="s">
        <v>69</v>
      </c>
      <c r="F16" s="27" t="s">
        <v>70</v>
      </c>
      <c r="G16" s="3"/>
      <c r="H16" s="3"/>
      <c r="I16" s="3"/>
      <c r="J16" s="3"/>
      <c r="K16" s="81" t="s">
        <v>3</v>
      </c>
      <c r="L16" s="82" t="s">
        <v>3</v>
      </c>
      <c r="M16" s="81" t="s">
        <v>4</v>
      </c>
      <c r="O16" s="81" t="s">
        <v>3</v>
      </c>
      <c r="P16" s="82" t="s">
        <v>3</v>
      </c>
      <c r="Q16" s="81" t="s">
        <v>4</v>
      </c>
      <c r="S16" s="2"/>
      <c r="T16" s="3" t="s">
        <v>7</v>
      </c>
      <c r="U16" s="3"/>
      <c r="V16" s="3" t="s">
        <v>7</v>
      </c>
      <c r="W16" s="3"/>
    </row>
    <row r="17" spans="1:23" x14ac:dyDescent="0.2">
      <c r="A17" s="82" t="s">
        <v>231</v>
      </c>
      <c r="B17" s="82"/>
      <c r="C17" s="82"/>
      <c r="D17" s="82"/>
      <c r="E17" s="204" t="str">
        <f>("[ "&amp;D13&amp;" - "&amp;C13&amp;" ]")</f>
        <v>[ B - A ]</v>
      </c>
      <c r="F17" s="204" t="str">
        <f>("[ "&amp;E13&amp;" / "&amp;C13&amp;" ]")</f>
        <v>[ C / A ]</v>
      </c>
      <c r="G17" s="3"/>
      <c r="H17" s="3"/>
      <c r="I17" s="3"/>
      <c r="J17" s="3"/>
      <c r="K17" s="134">
        <f>+INPUT!$U$4</f>
        <v>7.25</v>
      </c>
      <c r="L17" s="33">
        <v>0</v>
      </c>
      <c r="M17" s="27"/>
      <c r="O17" s="134">
        <f>+INPUT!$U$4</f>
        <v>7.25</v>
      </c>
      <c r="P17" s="33">
        <v>0</v>
      </c>
      <c r="Q17" s="27"/>
      <c r="S17" s="2"/>
      <c r="T17" s="3"/>
      <c r="U17" s="3"/>
      <c r="V17" s="3"/>
      <c r="W17" s="3"/>
    </row>
    <row r="18" spans="1:2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27" t="s">
        <v>232</v>
      </c>
      <c r="L18" s="3" t="s">
        <v>14</v>
      </c>
      <c r="M18" s="27"/>
      <c r="O18" s="27" t="s">
        <v>232</v>
      </c>
      <c r="P18" s="3" t="s">
        <v>14</v>
      </c>
      <c r="Q18" s="27"/>
      <c r="S18" s="2"/>
      <c r="T18" s="3"/>
      <c r="U18" s="3"/>
      <c r="V18" s="3"/>
      <c r="W18" s="3"/>
    </row>
    <row r="19" spans="1:2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L19" s="3"/>
      <c r="M19" s="3"/>
      <c r="P19" s="3"/>
      <c r="Q19" s="3"/>
    </row>
    <row r="20" spans="1:23" x14ac:dyDescent="0.2">
      <c r="A20" s="133">
        <v>1000</v>
      </c>
      <c r="C20" s="30">
        <f>+M20</f>
        <v>7250</v>
      </c>
      <c r="D20" s="30">
        <f>+Q20</f>
        <v>7250</v>
      </c>
      <c r="E20" s="30">
        <f>+D20-C20</f>
        <v>0</v>
      </c>
      <c r="F20" s="56">
        <f>ROUND(+E20/C20,1)</f>
        <v>0</v>
      </c>
      <c r="K20" s="7">
        <f>+$K$17*$A20</f>
        <v>7250</v>
      </c>
      <c r="L20" s="6"/>
      <c r="M20" s="6">
        <f>K20+L20</f>
        <v>7250</v>
      </c>
      <c r="O20" s="7">
        <f>+$O$17*$A20</f>
        <v>7250</v>
      </c>
      <c r="P20" s="6"/>
      <c r="Q20" s="6">
        <f>O20+P20</f>
        <v>7250</v>
      </c>
      <c r="T20" s="6">
        <f>Q20-M20</f>
        <v>0</v>
      </c>
      <c r="V20" s="8">
        <f>Q20/M20-1</f>
        <v>0</v>
      </c>
      <c r="W20" s="8"/>
    </row>
    <row r="21" spans="1:23" x14ac:dyDescent="0.2">
      <c r="A21" s="133"/>
      <c r="C21" s="30"/>
      <c r="D21" s="30"/>
      <c r="E21" s="30"/>
      <c r="K21" s="7"/>
      <c r="L21" s="6"/>
      <c r="M21" s="6"/>
      <c r="O21" s="7"/>
      <c r="P21" s="6"/>
      <c r="Q21" s="6"/>
      <c r="V21" s="8"/>
      <c r="W21" s="8"/>
    </row>
    <row r="22" spans="1:23" x14ac:dyDescent="0.2">
      <c r="A22" s="133">
        <v>5000</v>
      </c>
      <c r="C22" s="30">
        <f>+M22</f>
        <v>36250</v>
      </c>
      <c r="D22" s="30">
        <f>+Q22</f>
        <v>36250</v>
      </c>
      <c r="E22" s="30">
        <f>+D22-C22</f>
        <v>0</v>
      </c>
      <c r="F22" s="56">
        <f>ROUND(+E22/C22,1)</f>
        <v>0</v>
      </c>
      <c r="K22" s="7">
        <f>+$K$17*$A22</f>
        <v>36250</v>
      </c>
      <c r="L22" s="6"/>
      <c r="M22" s="6">
        <f>K22+L22</f>
        <v>36250</v>
      </c>
      <c r="O22" s="7">
        <f>+$O$17*$A22</f>
        <v>36250</v>
      </c>
      <c r="P22" s="6"/>
      <c r="Q22" s="6">
        <f>O22+P22</f>
        <v>36250</v>
      </c>
      <c r="T22" s="6">
        <f>Q22-M22</f>
        <v>0</v>
      </c>
      <c r="V22" s="8">
        <f>Q22/M22-1</f>
        <v>0</v>
      </c>
      <c r="W22" s="8"/>
    </row>
    <row r="23" spans="1:23" x14ac:dyDescent="0.2">
      <c r="A23" s="133"/>
      <c r="C23" s="30"/>
      <c r="D23" s="30"/>
      <c r="E23" s="30"/>
      <c r="F23" s="56"/>
      <c r="K23" s="57"/>
      <c r="L23" s="6"/>
      <c r="M23" s="6"/>
      <c r="O23" s="7"/>
      <c r="P23" s="6"/>
      <c r="Q23" s="6"/>
      <c r="V23" s="28"/>
      <c r="W23" s="28"/>
    </row>
    <row r="24" spans="1:23" s="10" customFormat="1" x14ac:dyDescent="0.2">
      <c r="A24" s="133">
        <v>10000</v>
      </c>
      <c r="B24"/>
      <c r="C24" s="30">
        <f>+M24</f>
        <v>72500</v>
      </c>
      <c r="D24" s="30">
        <f>+Q24</f>
        <v>72500</v>
      </c>
      <c r="E24" s="30">
        <f>+D24-C24</f>
        <v>0</v>
      </c>
      <c r="F24" s="56">
        <f>ROUND(+E24/C24,1)</f>
        <v>0</v>
      </c>
      <c r="K24" s="7">
        <f>+$K$17*$A24</f>
        <v>72500</v>
      </c>
      <c r="L24" s="6"/>
      <c r="M24" s="11">
        <f>K24+L24</f>
        <v>72500</v>
      </c>
      <c r="O24" s="7">
        <f>+$O$17*$A24</f>
        <v>72500</v>
      </c>
      <c r="P24" s="6"/>
      <c r="Q24" s="11">
        <f>O24+P24</f>
        <v>72500</v>
      </c>
      <c r="T24" s="11">
        <f>Q24-M24</f>
        <v>0</v>
      </c>
      <c r="V24" s="28">
        <f>Q24/M24-1</f>
        <v>0</v>
      </c>
      <c r="W24" s="28"/>
    </row>
    <row r="25" spans="1:23" x14ac:dyDescent="0.2">
      <c r="A25" s="133"/>
      <c r="C25" s="30"/>
      <c r="D25" s="30"/>
      <c r="E25" s="30"/>
      <c r="K25" s="7"/>
      <c r="L25" s="6"/>
      <c r="M25" s="6"/>
      <c r="O25" s="7"/>
      <c r="P25" s="6"/>
      <c r="Q25" s="6"/>
      <c r="V25" s="8"/>
      <c r="W25" s="8"/>
    </row>
    <row r="26" spans="1:23" s="10" customFormat="1" x14ac:dyDescent="0.2">
      <c r="A26" s="133">
        <v>20000</v>
      </c>
      <c r="B26"/>
      <c r="C26" s="30">
        <f>+M26</f>
        <v>145000</v>
      </c>
      <c r="D26" s="30">
        <f>+Q26</f>
        <v>145000</v>
      </c>
      <c r="E26" s="30">
        <f>+D26-C26</f>
        <v>0</v>
      </c>
      <c r="F26" s="56">
        <f>ROUND(+E26/C26,1)</f>
        <v>0</v>
      </c>
      <c r="K26" s="7">
        <f>+$K$17*$A26</f>
        <v>145000</v>
      </c>
      <c r="L26" s="6"/>
      <c r="M26" s="11">
        <f>K26+L26</f>
        <v>145000</v>
      </c>
      <c r="O26" s="7">
        <f>+$O$17*$A26</f>
        <v>145000</v>
      </c>
      <c r="P26" s="6"/>
      <c r="Q26" s="11">
        <f>O26+P26</f>
        <v>145000</v>
      </c>
      <c r="T26" s="11">
        <f>Q26-M26</f>
        <v>0</v>
      </c>
      <c r="V26" s="28">
        <f>Q26/M26-1</f>
        <v>0</v>
      </c>
      <c r="W26" s="28"/>
    </row>
    <row r="27" spans="1:23" x14ac:dyDescent="0.2">
      <c r="A27" s="133"/>
      <c r="C27" s="30"/>
      <c r="D27" s="30"/>
      <c r="E27" s="30"/>
      <c r="K27" s="7"/>
      <c r="L27" s="6"/>
      <c r="M27" s="6"/>
      <c r="O27" s="7"/>
      <c r="P27" s="6"/>
      <c r="Q27" s="6"/>
      <c r="V27" s="8"/>
      <c r="W27" s="8"/>
    </row>
    <row r="28" spans="1:23" x14ac:dyDescent="0.2">
      <c r="A28" s="133">
        <v>30000</v>
      </c>
      <c r="C28" s="30">
        <f>+M28</f>
        <v>217500</v>
      </c>
      <c r="D28" s="30">
        <f>+Q28</f>
        <v>217500</v>
      </c>
      <c r="E28" s="30">
        <f>+D28-C28</f>
        <v>0</v>
      </c>
      <c r="F28" s="56">
        <f>ROUND(+E28/C28,1)</f>
        <v>0</v>
      </c>
      <c r="K28" s="7">
        <f>+$K$17*$A28</f>
        <v>217500</v>
      </c>
      <c r="L28" s="6"/>
      <c r="M28" s="6">
        <f>K28+L28</f>
        <v>217500</v>
      </c>
      <c r="O28" s="7">
        <f>+$O$17*$A28</f>
        <v>217500</v>
      </c>
      <c r="P28" s="6"/>
      <c r="Q28" s="6">
        <f>O28+P28</f>
        <v>217500</v>
      </c>
      <c r="T28" s="6">
        <f>Q28-M28</f>
        <v>0</v>
      </c>
      <c r="V28" s="8">
        <f>Q28/M28-1</f>
        <v>0</v>
      </c>
      <c r="W28" s="8"/>
    </row>
    <row r="29" spans="1:23" x14ac:dyDescent="0.2">
      <c r="A29" s="5"/>
      <c r="C29" s="30"/>
      <c r="D29" s="30"/>
      <c r="E29" s="30"/>
      <c r="K29" s="7"/>
      <c r="L29" s="6"/>
      <c r="M29" s="6"/>
      <c r="O29" s="7"/>
      <c r="P29" s="6"/>
      <c r="Q29" s="6"/>
      <c r="V29" s="8"/>
      <c r="W29" s="8"/>
    </row>
    <row r="30" spans="1:23" x14ac:dyDescent="0.2">
      <c r="A30" s="133">
        <v>40000</v>
      </c>
      <c r="C30" s="30">
        <f>+M30</f>
        <v>290000</v>
      </c>
      <c r="D30" s="30">
        <f>+Q30</f>
        <v>290000</v>
      </c>
      <c r="E30" s="30">
        <f>+D30-C30</f>
        <v>0</v>
      </c>
      <c r="F30" s="56">
        <f>ROUND(+E30/C30,1)</f>
        <v>0</v>
      </c>
      <c r="K30" s="7">
        <f>+$K$17*$A30</f>
        <v>290000</v>
      </c>
      <c r="L30" s="6"/>
      <c r="M30" s="6">
        <f>K30+L30</f>
        <v>290000</v>
      </c>
      <c r="O30" s="7">
        <f>+$O$17*$A30</f>
        <v>290000</v>
      </c>
      <c r="P30" s="6"/>
      <c r="Q30" s="6">
        <f>O30+P30</f>
        <v>290000</v>
      </c>
      <c r="T30" s="6">
        <f>Q30-M30</f>
        <v>0</v>
      </c>
      <c r="V30" s="8">
        <f>Q30/M30-1</f>
        <v>0</v>
      </c>
      <c r="W30" s="8"/>
    </row>
    <row r="31" spans="1:23" x14ac:dyDescent="0.2">
      <c r="A31" s="133"/>
      <c r="C31" s="30"/>
      <c r="D31" s="30"/>
      <c r="E31" s="30"/>
      <c r="K31" s="7"/>
      <c r="L31" s="6"/>
      <c r="M31" s="6"/>
      <c r="O31" s="7"/>
      <c r="P31" s="6"/>
      <c r="Q31" s="6"/>
      <c r="V31" s="8"/>
      <c r="W31" s="8"/>
    </row>
    <row r="32" spans="1:23" x14ac:dyDescent="0.2">
      <c r="A32" s="133">
        <v>50000</v>
      </c>
      <c r="C32" s="30">
        <f>+M32</f>
        <v>362500</v>
      </c>
      <c r="D32" s="30">
        <f>+Q32</f>
        <v>362500</v>
      </c>
      <c r="E32" s="30">
        <f>+D32-C32</f>
        <v>0</v>
      </c>
      <c r="F32" s="56">
        <f>ROUND(+E32/C32,1)</f>
        <v>0</v>
      </c>
      <c r="K32" s="7">
        <f>+$K$17*$A32</f>
        <v>362500</v>
      </c>
      <c r="L32" s="6"/>
      <c r="M32" s="6">
        <f>K32+L32</f>
        <v>362500</v>
      </c>
      <c r="O32" s="7">
        <f>+$O$17*$A32</f>
        <v>362500</v>
      </c>
      <c r="P32" s="6"/>
      <c r="Q32" s="6">
        <f>O32+P32</f>
        <v>362500</v>
      </c>
      <c r="T32" s="6">
        <f>Q32-M32</f>
        <v>0</v>
      </c>
      <c r="V32" s="8">
        <f>Q32/M32-1</f>
        <v>0</v>
      </c>
      <c r="W32" s="8"/>
    </row>
    <row r="33" spans="1:23" x14ac:dyDescent="0.2">
      <c r="A33" s="5"/>
      <c r="C33" s="30"/>
      <c r="D33" s="30"/>
      <c r="E33" s="30"/>
      <c r="K33" s="7"/>
      <c r="L33" s="6"/>
      <c r="M33" s="6"/>
      <c r="O33" s="7"/>
      <c r="P33" s="6"/>
      <c r="Q33" s="6"/>
      <c r="V33" s="8"/>
      <c r="W33" s="8"/>
    </row>
    <row r="34" spans="1:23" x14ac:dyDescent="0.2">
      <c r="A34" s="133">
        <v>100000</v>
      </c>
      <c r="C34" s="30">
        <f>+M34</f>
        <v>725000</v>
      </c>
      <c r="D34" s="30">
        <f>+Q34</f>
        <v>725000</v>
      </c>
      <c r="E34" s="30">
        <f>+D34-C34</f>
        <v>0</v>
      </c>
      <c r="F34" s="56">
        <f>ROUND(+E34/C34,1)</f>
        <v>0</v>
      </c>
      <c r="K34" s="7">
        <f>+$K$17*$A34</f>
        <v>725000</v>
      </c>
      <c r="L34" s="6"/>
      <c r="M34" s="6">
        <f>K34+L34</f>
        <v>725000</v>
      </c>
      <c r="O34" s="7">
        <f>+$O$17*$A34</f>
        <v>725000</v>
      </c>
      <c r="P34" s="6"/>
      <c r="Q34" s="6">
        <f>O34+P34</f>
        <v>725000</v>
      </c>
      <c r="T34" s="6">
        <f>Q34-M34</f>
        <v>0</v>
      </c>
      <c r="V34" s="8">
        <f>Q34/M34-1</f>
        <v>0</v>
      </c>
      <c r="W34" s="8"/>
    </row>
    <row r="35" spans="1:23" x14ac:dyDescent="0.2">
      <c r="A35" s="5"/>
      <c r="K35" s="7"/>
      <c r="L35" s="6"/>
      <c r="M35" s="6"/>
      <c r="O35" s="7"/>
      <c r="P35" s="6"/>
      <c r="Q35" s="6"/>
      <c r="V35" s="8"/>
      <c r="W35" s="8"/>
    </row>
    <row r="36" spans="1:23" x14ac:dyDescent="0.2">
      <c r="A36" t="s">
        <v>360</v>
      </c>
      <c r="B36" t="s">
        <v>361</v>
      </c>
      <c r="K36" s="7"/>
    </row>
    <row r="37" spans="1:23" x14ac:dyDescent="0.2">
      <c r="B37" t="s">
        <v>508</v>
      </c>
    </row>
    <row r="38" spans="1:23" s="17" customFormat="1" x14ac:dyDescent="0.2">
      <c r="A38" s="83"/>
    </row>
    <row r="39" spans="1:23" s="17" customFormat="1" x14ac:dyDescent="0.2"/>
    <row r="41" spans="1:23" ht="12" customHeight="1" x14ac:dyDescent="0.2"/>
  </sheetData>
  <mergeCells count="4">
    <mergeCell ref="A1:F1"/>
    <mergeCell ref="A2:F2"/>
    <mergeCell ref="A3:F3"/>
    <mergeCell ref="A4:F4"/>
  </mergeCells>
  <printOptions horizontalCentered="1"/>
  <pageMargins left="0.75" right="0.75" top="1.5" bottom="0.5" header="1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42"/>
  <sheetViews>
    <sheetView tabSelected="1" view="pageBreakPreview" zoomScaleNormal="80" zoomScaleSheetLayoutView="100" workbookViewId="0">
      <selection sqref="A1:L1"/>
    </sheetView>
  </sheetViews>
  <sheetFormatPr defaultColWidth="9.140625" defaultRowHeight="12.75" x14ac:dyDescent="0.2"/>
  <cols>
    <col min="1" max="1" width="10" style="17" customWidth="1"/>
    <col min="2" max="2" width="3.5703125" style="17" customWidth="1"/>
    <col min="3" max="4" width="10.140625" style="17" bestFit="1" customWidth="1"/>
    <col min="5" max="6" width="9.28515625" style="17" bestFit="1" customWidth="1"/>
    <col min="7" max="7" width="10.7109375" style="17" bestFit="1" customWidth="1"/>
    <col min="8" max="8" width="10" style="17" bestFit="1" customWidth="1"/>
    <col min="9" max="9" width="10" style="17" customWidth="1"/>
    <col min="10" max="11" width="10.5703125" style="17" bestFit="1" customWidth="1"/>
    <col min="12" max="12" width="9.28515625" style="17" bestFit="1" customWidth="1"/>
    <col min="13" max="13" width="11" style="17" customWidth="1"/>
    <col min="14" max="14" width="10.140625" style="17" customWidth="1"/>
    <col min="15" max="16" width="3.5703125" style="17" customWidth="1"/>
    <col min="17" max="17" width="11.85546875" style="17" customWidth="1"/>
    <col min="18" max="18" width="9.85546875" style="17" customWidth="1"/>
    <col min="19" max="19" width="9.5703125" style="17" customWidth="1"/>
    <col min="20" max="20" width="7.140625" style="17" customWidth="1"/>
    <col min="21" max="21" width="11.5703125" style="17" customWidth="1"/>
    <col min="22" max="22" width="9.5703125" style="17" customWidth="1"/>
    <col min="23" max="23" width="9.140625" style="17"/>
    <col min="24" max="25" width="3" style="17" customWidth="1"/>
    <col min="26" max="26" width="9.140625" style="17"/>
    <col min="27" max="27" width="2.7109375" style="17" customWidth="1"/>
    <col min="28" max="16384" width="9.140625" style="17"/>
  </cols>
  <sheetData>
    <row r="1" spans="1:29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9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29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29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29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9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</row>
    <row r="7" spans="1:29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03" t="str">
        <f>+'Rate Case Constants'!C25</f>
        <v>SCHEDULE N</v>
      </c>
    </row>
    <row r="8" spans="1:29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02" t="str">
        <f>+'Rate Case Constants'!L8</f>
        <v>PAGE 1 of 24</v>
      </c>
    </row>
    <row r="9" spans="1:2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8" t="str">
        <f>+'Rate Case Constants'!C36</f>
        <v>WITNESS:   R. M. CONROY</v>
      </c>
      <c r="R9" s="17" t="s">
        <v>504</v>
      </c>
    </row>
    <row r="10" spans="1:29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206"/>
      <c r="Q10" s="85" t="s">
        <v>71</v>
      </c>
      <c r="R10" s="85">
        <f>INPUT!K54</f>
        <v>-1.8104925406989172E-3</v>
      </c>
    </row>
    <row r="11" spans="1:29" x14ac:dyDescent="0.2">
      <c r="A11" s="209" t="s">
        <v>225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5" t="s">
        <v>73</v>
      </c>
      <c r="R11" s="85">
        <f>INPUT!L54</f>
        <v>1.3808918023313487E-3</v>
      </c>
      <c r="S11" s="89"/>
      <c r="T11" s="89"/>
      <c r="U11" s="140"/>
      <c r="V11" s="89"/>
      <c r="W11" s="89"/>
    </row>
    <row r="12" spans="1:29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5" t="s">
        <v>72</v>
      </c>
      <c r="R12" s="85">
        <f>INPUT!M54</f>
        <v>3.5500713871402462E-3</v>
      </c>
      <c r="S12" s="89"/>
      <c r="T12" s="89"/>
      <c r="U12" s="89"/>
      <c r="V12" s="89"/>
      <c r="W12" s="89"/>
    </row>
    <row r="13" spans="1:29" x14ac:dyDescent="0.2">
      <c r="A13" s="89"/>
      <c r="B13" s="89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 t="s">
        <v>312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9" x14ac:dyDescent="0.2">
      <c r="C14" s="200" t="s">
        <v>327</v>
      </c>
      <c r="D14" s="200" t="s">
        <v>327</v>
      </c>
      <c r="J14" s="87" t="s">
        <v>5</v>
      </c>
      <c r="K14" s="87" t="s">
        <v>5</v>
      </c>
      <c r="Q14" s="141" t="s">
        <v>59</v>
      </c>
      <c r="R14" s="141"/>
      <c r="S14" s="141"/>
      <c r="U14" s="141" t="s">
        <v>60</v>
      </c>
      <c r="V14" s="141"/>
      <c r="W14" s="141"/>
    </row>
    <row r="15" spans="1:29" x14ac:dyDescent="0.2">
      <c r="C15" s="87" t="s">
        <v>1</v>
      </c>
      <c r="D15" s="87" t="s">
        <v>74</v>
      </c>
      <c r="E15" s="87"/>
      <c r="F15" s="87"/>
      <c r="G15" s="392" t="s">
        <v>251</v>
      </c>
      <c r="H15" s="392"/>
      <c r="I15" s="393"/>
      <c r="J15" s="87" t="s">
        <v>1</v>
      </c>
      <c r="K15" s="87" t="s">
        <v>74</v>
      </c>
      <c r="L15" s="87"/>
      <c r="M15" s="87" t="s">
        <v>1</v>
      </c>
      <c r="N15" s="87" t="s">
        <v>74</v>
      </c>
      <c r="Q15" s="88" t="s">
        <v>62</v>
      </c>
      <c r="R15" s="87"/>
      <c r="S15" s="88"/>
      <c r="U15" s="88" t="s">
        <v>62</v>
      </c>
      <c r="V15" s="87"/>
      <c r="W15" s="88"/>
    </row>
    <row r="16" spans="1:29" x14ac:dyDescent="0.2">
      <c r="A16" s="87"/>
      <c r="B16" s="87"/>
      <c r="C16" s="87" t="s">
        <v>4</v>
      </c>
      <c r="D16" s="87" t="s">
        <v>4</v>
      </c>
      <c r="E16" s="87" t="s">
        <v>75</v>
      </c>
      <c r="F16" s="87" t="s">
        <v>75</v>
      </c>
      <c r="G16" s="87" t="s">
        <v>337</v>
      </c>
      <c r="H16" s="87" t="s">
        <v>73</v>
      </c>
      <c r="I16" s="87" t="s">
        <v>72</v>
      </c>
      <c r="J16" s="87" t="s">
        <v>4</v>
      </c>
      <c r="K16" s="87" t="s">
        <v>4</v>
      </c>
      <c r="L16" s="87" t="s">
        <v>75</v>
      </c>
      <c r="M16" s="87" t="s">
        <v>4</v>
      </c>
      <c r="N16" s="87" t="s">
        <v>4</v>
      </c>
      <c r="O16" s="87"/>
      <c r="P16" s="87"/>
      <c r="Q16" s="88" t="s">
        <v>61</v>
      </c>
      <c r="R16" s="87" t="s">
        <v>56</v>
      </c>
      <c r="S16" s="88" t="s">
        <v>5</v>
      </c>
      <c r="U16" s="88" t="s">
        <v>61</v>
      </c>
      <c r="V16" s="87" t="s">
        <v>56</v>
      </c>
      <c r="W16" s="88" t="s">
        <v>5</v>
      </c>
      <c r="Y16" s="85"/>
      <c r="Z16" s="87" t="s">
        <v>6</v>
      </c>
      <c r="AA16" s="87"/>
      <c r="AB16" s="87" t="s">
        <v>8</v>
      </c>
      <c r="AC16" s="87"/>
    </row>
    <row r="17" spans="1:29" x14ac:dyDescent="0.2">
      <c r="A17" s="87" t="s">
        <v>49</v>
      </c>
      <c r="B17" s="87"/>
      <c r="C17" s="87"/>
      <c r="D17" s="87"/>
      <c r="E17" s="87" t="s">
        <v>69</v>
      </c>
      <c r="F17" s="88" t="s">
        <v>70</v>
      </c>
      <c r="G17" s="90"/>
      <c r="H17" s="90"/>
      <c r="I17" s="91"/>
      <c r="J17" s="87" t="s">
        <v>69</v>
      </c>
      <c r="K17" s="87" t="s">
        <v>69</v>
      </c>
      <c r="L17" s="88" t="s">
        <v>70</v>
      </c>
      <c r="M17" s="87" t="s">
        <v>320</v>
      </c>
      <c r="N17" s="87" t="s">
        <v>320</v>
      </c>
      <c r="O17" s="87"/>
      <c r="P17" s="87"/>
      <c r="Q17" s="135" t="s">
        <v>3</v>
      </c>
      <c r="R17" s="136" t="s">
        <v>3</v>
      </c>
      <c r="S17" s="135" t="s">
        <v>4</v>
      </c>
      <c r="U17" s="135" t="s">
        <v>3</v>
      </c>
      <c r="V17" s="136" t="s">
        <v>3</v>
      </c>
      <c r="W17" s="135" t="s">
        <v>4</v>
      </c>
      <c r="Y17" s="85"/>
      <c r="Z17" s="87" t="s">
        <v>7</v>
      </c>
      <c r="AA17" s="87"/>
      <c r="AB17" s="87" t="s">
        <v>7</v>
      </c>
      <c r="AC17" s="87"/>
    </row>
    <row r="18" spans="1:29" x14ac:dyDescent="0.2">
      <c r="A18" s="201"/>
      <c r="B18" s="201"/>
      <c r="C18" s="201"/>
      <c r="D18" s="201"/>
      <c r="E18" s="204" t="str">
        <f>("[ "&amp;D13&amp;" - "&amp;C13&amp;" ]")</f>
        <v>[ B - A ]</v>
      </c>
      <c r="F18" s="204" t="str">
        <f>("[ "&amp;E13&amp;" / "&amp;C13&amp;" ]")</f>
        <v>[ C / A ]</v>
      </c>
      <c r="G18" s="205"/>
      <c r="H18" s="205"/>
      <c r="I18" s="205"/>
      <c r="J18" s="204" t="str">
        <f>("["&amp;C13&amp;"+"&amp;$G$13&amp;"+"&amp;$H$13&amp;"+"&amp;$I$13&amp;"]")</f>
        <v>[A+E+F+G]</v>
      </c>
      <c r="K18" s="204" t="str">
        <f>("["&amp;D13&amp;"+"&amp;$G$13&amp;"+"&amp;$H$13&amp;"+"&amp;$I$13&amp;"]")</f>
        <v>[B+E+F+G]</v>
      </c>
      <c r="L18" s="204" t="str">
        <f>("[("&amp;K13&amp;" - "&amp;J13&amp;")/"&amp;J13&amp;"]")</f>
        <v>[(I - H)/H]</v>
      </c>
      <c r="M18" s="87"/>
      <c r="N18" s="87"/>
      <c r="O18" s="87"/>
      <c r="P18" s="87"/>
      <c r="Q18" s="88"/>
      <c r="R18" s="142">
        <f>+INPUT!$B$6</f>
        <v>9.0469999999999995E-2</v>
      </c>
      <c r="S18" s="88"/>
      <c r="U18" s="88"/>
      <c r="V18" s="142">
        <f>INPUT!$B$27</f>
        <v>9.5519999999999994E-2</v>
      </c>
      <c r="W18" s="88"/>
      <c r="Y18" s="85"/>
      <c r="Z18" s="87"/>
      <c r="AA18" s="87"/>
      <c r="AB18" s="87"/>
      <c r="AC18" s="87"/>
    </row>
    <row r="19" spans="1:29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7" t="s">
        <v>14</v>
      </c>
      <c r="S19" s="88"/>
      <c r="U19" s="88"/>
      <c r="V19" s="87" t="s">
        <v>14</v>
      </c>
      <c r="W19" s="88"/>
      <c r="Y19" s="85"/>
      <c r="Z19" s="87"/>
      <c r="AA19" s="87"/>
      <c r="AB19" s="87"/>
      <c r="AC19" s="87"/>
    </row>
    <row r="20" spans="1:29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R20" s="87"/>
      <c r="S20" s="87"/>
      <c r="V20" s="87"/>
      <c r="W20" s="87"/>
    </row>
    <row r="21" spans="1:29" x14ac:dyDescent="0.2">
      <c r="A21" s="84">
        <v>500</v>
      </c>
      <c r="C21" s="86">
        <f>+S21</f>
        <v>57.484999999999999</v>
      </c>
      <c r="D21" s="86">
        <f>+W21</f>
        <v>63.891874999999999</v>
      </c>
      <c r="E21" s="92">
        <f>+D21-C21</f>
        <v>6.4068749999999994</v>
      </c>
      <c r="F21" s="93">
        <f>ROUND(+E21/C21,4)</f>
        <v>0.1115</v>
      </c>
      <c r="G21" s="92">
        <f>ROUND($R$10*$A21,2)</f>
        <v>-0.91</v>
      </c>
      <c r="H21" s="92">
        <f>ROUND($R$11*$A21,2)</f>
        <v>0.69</v>
      </c>
      <c r="I21" s="92">
        <f>ROUND($R$12*$A21,2)</f>
        <v>1.78</v>
      </c>
      <c r="J21" s="92">
        <f>+C21+G21+H21+I21</f>
        <v>59.045000000000002</v>
      </c>
      <c r="K21" s="92">
        <f>+D21+G21+H21+I21</f>
        <v>65.451875000000001</v>
      </c>
      <c r="L21" s="93">
        <f>ROUND((K21-J21)/J21,4)</f>
        <v>0.1085</v>
      </c>
      <c r="N21" s="143"/>
      <c r="Q21" s="40">
        <f>+INPUT!$B$4</f>
        <v>12.25</v>
      </c>
      <c r="R21" s="86">
        <f>A21*$R$18</f>
        <v>45.234999999999999</v>
      </c>
      <c r="S21" s="86">
        <f>Q21+R21</f>
        <v>57.484999999999999</v>
      </c>
      <c r="U21" s="40">
        <f>INPUT!$B$25</f>
        <v>16.131875000000001</v>
      </c>
      <c r="V21" s="86">
        <f>A21*$V$18</f>
        <v>47.76</v>
      </c>
      <c r="W21" s="86">
        <f>U21+V21</f>
        <v>63.891874999999999</v>
      </c>
      <c r="Z21" s="86">
        <f>W21-S21</f>
        <v>6.4068749999999994</v>
      </c>
      <c r="AB21" s="143">
        <f>W21/S21-1</f>
        <v>0.11145298773593115</v>
      </c>
      <c r="AC21" s="143"/>
    </row>
    <row r="22" spans="1:29" x14ac:dyDescent="0.2">
      <c r="A22" s="84"/>
      <c r="Q22" s="40"/>
      <c r="R22" s="86"/>
      <c r="S22" s="86"/>
      <c r="U22" s="40"/>
      <c r="V22" s="86"/>
      <c r="W22" s="86"/>
      <c r="AB22" s="143"/>
      <c r="AC22" s="143"/>
    </row>
    <row r="23" spans="1:29" x14ac:dyDescent="0.2">
      <c r="A23" s="84">
        <v>750</v>
      </c>
      <c r="C23" s="86">
        <f>+S23</f>
        <v>80.102499999999992</v>
      </c>
      <c r="D23" s="86">
        <f>+W23</f>
        <v>87.771874999999994</v>
      </c>
      <c r="E23" s="92">
        <f>+D23-C23</f>
        <v>7.6693750000000023</v>
      </c>
      <c r="F23" s="93">
        <f>ROUND(+E23/C23,4)</f>
        <v>9.5699999999999993E-2</v>
      </c>
      <c r="G23" s="92">
        <f>ROUND($R$10*$A23,2)</f>
        <v>-1.36</v>
      </c>
      <c r="H23" s="92">
        <f>ROUND($R$11*$A23,2)</f>
        <v>1.04</v>
      </c>
      <c r="I23" s="92">
        <f>ROUND($R$12*$A23,2)</f>
        <v>2.66</v>
      </c>
      <c r="J23" s="92">
        <f>+C23+G23+H23+I23</f>
        <v>82.442499999999995</v>
      </c>
      <c r="K23" s="92">
        <f>+D23+G23+H23+I23</f>
        <v>90.111874999999998</v>
      </c>
      <c r="L23" s="93">
        <f>ROUND((K23-J23)/J23,4)</f>
        <v>9.2999999999999999E-2</v>
      </c>
      <c r="Q23" s="40">
        <f>$Q$21</f>
        <v>12.25</v>
      </c>
      <c r="R23" s="86">
        <f>A23*$R$18</f>
        <v>67.852499999999992</v>
      </c>
      <c r="S23" s="86">
        <f>Q23+R23</f>
        <v>80.102499999999992</v>
      </c>
      <c r="U23" s="40">
        <f>INPUT!$B$25</f>
        <v>16.131875000000001</v>
      </c>
      <c r="V23" s="86">
        <f>A23*$V$18</f>
        <v>71.64</v>
      </c>
      <c r="W23" s="86">
        <f>U23+V23</f>
        <v>87.771874999999994</v>
      </c>
      <c r="Z23" s="86">
        <f>W23-S23</f>
        <v>7.6693750000000023</v>
      </c>
      <c r="AB23" s="143">
        <f>W23/S23-1</f>
        <v>9.5744514840360839E-2</v>
      </c>
      <c r="AC23" s="143"/>
    </row>
    <row r="24" spans="1:29" x14ac:dyDescent="0.2">
      <c r="A24" s="84"/>
      <c r="C24" s="86"/>
      <c r="D24" s="86"/>
      <c r="E24" s="92"/>
      <c r="F24" s="93"/>
      <c r="G24" s="92"/>
      <c r="H24" s="92"/>
      <c r="I24" s="92"/>
      <c r="J24" s="92"/>
      <c r="K24" s="92"/>
      <c r="L24" s="93"/>
      <c r="Q24" s="144"/>
      <c r="R24" s="86"/>
      <c r="S24" s="86"/>
      <c r="U24" s="40"/>
      <c r="V24" s="86"/>
      <c r="W24" s="86"/>
      <c r="AB24" s="145"/>
      <c r="AC24" s="145"/>
    </row>
    <row r="25" spans="1:29" s="146" customFormat="1" x14ac:dyDescent="0.2">
      <c r="A25" s="84">
        <v>1000</v>
      </c>
      <c r="B25" s="17"/>
      <c r="C25" s="86">
        <f>+S25</f>
        <v>102.72</v>
      </c>
      <c r="D25" s="86">
        <f>+W25</f>
        <v>111.65187499999999</v>
      </c>
      <c r="E25" s="92">
        <f>+D25-C25</f>
        <v>8.9318749999999909</v>
      </c>
      <c r="F25" s="93">
        <f>ROUND(+E25/C25,4)</f>
        <v>8.6999999999999994E-2</v>
      </c>
      <c r="G25" s="92">
        <f>ROUND($R$10*$A25,2)</f>
        <v>-1.81</v>
      </c>
      <c r="H25" s="92">
        <f>ROUND($R$11*$A25,2)</f>
        <v>1.38</v>
      </c>
      <c r="I25" s="92">
        <f>ROUND($R$12*$A25,2)</f>
        <v>3.55</v>
      </c>
      <c r="J25" s="92">
        <f>+C25+G25+H25+I25</f>
        <v>105.83999999999999</v>
      </c>
      <c r="K25" s="92">
        <f>+D25+G25+H25+I25</f>
        <v>114.77187499999998</v>
      </c>
      <c r="L25" s="93">
        <f>ROUND((K25-J25)/J25,4)</f>
        <v>8.4400000000000003E-2</v>
      </c>
      <c r="Q25" s="144">
        <f>$Q$21</f>
        <v>12.25</v>
      </c>
      <c r="R25" s="86">
        <f>A25*$R$18</f>
        <v>90.47</v>
      </c>
      <c r="S25" s="147">
        <f>Q25+R25</f>
        <v>102.72</v>
      </c>
      <c r="U25" s="144">
        <f>INPUT!$B$25</f>
        <v>16.131875000000001</v>
      </c>
      <c r="V25" s="86">
        <f>A25*$V$18</f>
        <v>95.52</v>
      </c>
      <c r="W25" s="147">
        <f>U25+V25</f>
        <v>111.65187499999999</v>
      </c>
      <c r="Z25" s="147">
        <f>W25-S25</f>
        <v>8.9318749999999909</v>
      </c>
      <c r="AB25" s="145">
        <f>W25/S25-1</f>
        <v>8.6953611760124616E-2</v>
      </c>
      <c r="AC25" s="145"/>
    </row>
    <row r="26" spans="1:29" x14ac:dyDescent="0.2">
      <c r="A26" s="84"/>
      <c r="Q26" s="40"/>
      <c r="R26" s="86"/>
      <c r="S26" s="86"/>
      <c r="U26" s="40"/>
      <c r="V26" s="86"/>
      <c r="W26" s="86"/>
      <c r="AB26" s="143"/>
      <c r="AC26" s="143"/>
    </row>
    <row r="27" spans="1:29" x14ac:dyDescent="0.2">
      <c r="A27" s="148">
        <f>INPUT!B19</f>
        <v>1139</v>
      </c>
      <c r="B27" s="149"/>
      <c r="C27" s="150">
        <f>+S27</f>
        <v>115.29532999999999</v>
      </c>
      <c r="D27" s="150">
        <f>+W27</f>
        <v>124.92915499999998</v>
      </c>
      <c r="E27" s="151">
        <f>+D27-C27</f>
        <v>9.6338249999999874</v>
      </c>
      <c r="F27" s="152">
        <f>ROUND(+E27/C27,4)</f>
        <v>8.3599999999999994E-2</v>
      </c>
      <c r="G27" s="151">
        <f>ROUND($R$10*$A27,2)</f>
        <v>-2.06</v>
      </c>
      <c r="H27" s="151">
        <f>ROUND($R$11*$A27,2)</f>
        <v>1.57</v>
      </c>
      <c r="I27" s="151">
        <f>ROUND($R$12*$A27,2)</f>
        <v>4.04</v>
      </c>
      <c r="J27" s="151">
        <f>+C27+G27+H27+I27</f>
        <v>118.84532999999999</v>
      </c>
      <c r="K27" s="151">
        <f>+D27+G27+H27+I27</f>
        <v>128.47915499999996</v>
      </c>
      <c r="L27" s="153">
        <f>ROUND((K27-J27)/J27,4)</f>
        <v>8.1100000000000005E-2</v>
      </c>
      <c r="M27" s="189">
        <f>+J27/A27</f>
        <v>0.10434181738366988</v>
      </c>
      <c r="N27" s="189">
        <f>+K27/A27</f>
        <v>0.11279996049165932</v>
      </c>
      <c r="O27" s="146"/>
      <c r="P27" s="146"/>
      <c r="Q27" s="144">
        <f>$Q$21</f>
        <v>12.25</v>
      </c>
      <c r="R27" s="86">
        <f>A27*$R$18</f>
        <v>103.04532999999999</v>
      </c>
      <c r="S27" s="147">
        <f>Q27+R27</f>
        <v>115.29532999999999</v>
      </c>
      <c r="T27" s="146"/>
      <c r="U27" s="144">
        <f>INPUT!$B$25</f>
        <v>16.131875000000001</v>
      </c>
      <c r="V27" s="86">
        <f>A27*$V$18</f>
        <v>108.79727999999999</v>
      </c>
      <c r="W27" s="147">
        <f>U27+V27</f>
        <v>124.92915499999998</v>
      </c>
      <c r="X27" s="146"/>
      <c r="Y27" s="146"/>
      <c r="Z27" s="147">
        <f>W27-S27</f>
        <v>9.6338249999999874</v>
      </c>
      <c r="AA27" s="146"/>
      <c r="AB27" s="145">
        <f>W27/S27-1</f>
        <v>8.3557807588563904E-2</v>
      </c>
      <c r="AC27" s="143"/>
    </row>
    <row r="28" spans="1:29" x14ac:dyDescent="0.2">
      <c r="A28" s="84"/>
      <c r="Q28" s="40"/>
      <c r="R28" s="86"/>
      <c r="S28" s="86"/>
      <c r="U28" s="40"/>
      <c r="V28" s="86"/>
      <c r="W28" s="86"/>
      <c r="AB28" s="143"/>
      <c r="AC28" s="143"/>
    </row>
    <row r="29" spans="1:29" x14ac:dyDescent="0.2">
      <c r="A29" s="84">
        <v>1500</v>
      </c>
      <c r="C29" s="86">
        <f>+S29</f>
        <v>147.95499999999998</v>
      </c>
      <c r="D29" s="86">
        <f>+W29</f>
        <v>159.41187500000001</v>
      </c>
      <c r="E29" s="92">
        <f>+D29-C29</f>
        <v>11.456875000000025</v>
      </c>
      <c r="F29" s="93">
        <f>ROUND(+E29/C29,4)</f>
        <v>7.7399999999999997E-2</v>
      </c>
      <c r="G29" s="92">
        <f>ROUND($R$10*$A29,2)</f>
        <v>-2.72</v>
      </c>
      <c r="H29" s="92">
        <f>ROUND($R$11*$A29,2)</f>
        <v>2.0699999999999998</v>
      </c>
      <c r="I29" s="92">
        <f>ROUND($R$12*$A29,2)</f>
        <v>5.33</v>
      </c>
      <c r="J29" s="92">
        <f>+C29+G29+H29+I29</f>
        <v>152.63499999999999</v>
      </c>
      <c r="K29" s="92">
        <f>+D29+G29+H29+I29</f>
        <v>164.09187500000002</v>
      </c>
      <c r="L29" s="93">
        <f>ROUND((K29-J29)/J29,4)</f>
        <v>7.51E-2</v>
      </c>
      <c r="Q29" s="40">
        <f>$Q$21</f>
        <v>12.25</v>
      </c>
      <c r="R29" s="86">
        <f>A29*$R$18</f>
        <v>135.70499999999998</v>
      </c>
      <c r="S29" s="86">
        <f>Q29+R29</f>
        <v>147.95499999999998</v>
      </c>
      <c r="U29" s="40">
        <f>INPUT!$B$25</f>
        <v>16.131875000000001</v>
      </c>
      <c r="V29" s="86">
        <f>A29*$V$18</f>
        <v>143.28</v>
      </c>
      <c r="W29" s="86">
        <f>U29+V29</f>
        <v>159.41187500000001</v>
      </c>
      <c r="Z29" s="86">
        <f>W29-S29</f>
        <v>11.456875000000025</v>
      </c>
      <c r="AB29" s="143">
        <f>W29/S29-1</f>
        <v>7.7434861951269252E-2</v>
      </c>
      <c r="AC29" s="143"/>
    </row>
    <row r="30" spans="1:29" x14ac:dyDescent="0.2">
      <c r="Q30" s="40"/>
      <c r="R30" s="86"/>
      <c r="S30" s="86"/>
      <c r="U30" s="40"/>
      <c r="V30" s="86"/>
      <c r="W30" s="86"/>
      <c r="AB30" s="143"/>
      <c r="AC30" s="143"/>
    </row>
    <row r="31" spans="1:29" x14ac:dyDescent="0.2">
      <c r="A31" s="84">
        <v>2000</v>
      </c>
      <c r="C31" s="86">
        <f>+S31</f>
        <v>193.19</v>
      </c>
      <c r="D31" s="86">
        <f>+W31</f>
        <v>207.171875</v>
      </c>
      <c r="E31" s="92">
        <f>+D31-C31</f>
        <v>13.981875000000002</v>
      </c>
      <c r="F31" s="93">
        <f>ROUND(+E31/C31,4)</f>
        <v>7.2400000000000006E-2</v>
      </c>
      <c r="G31" s="92">
        <f>ROUND($R$10*$A31,2)</f>
        <v>-3.62</v>
      </c>
      <c r="H31" s="92">
        <f>ROUND($R$11*$A31,2)</f>
        <v>2.76</v>
      </c>
      <c r="I31" s="92">
        <f>ROUND($R$12*$A31,2)</f>
        <v>7.1</v>
      </c>
      <c r="J31" s="92">
        <f>+C31+G31+H31+I31</f>
        <v>199.42999999999998</v>
      </c>
      <c r="K31" s="92">
        <f>+D31+G31+H31+I31</f>
        <v>213.41187499999998</v>
      </c>
      <c r="L31" s="93">
        <f>ROUND((K31-J31)/J31,4)</f>
        <v>7.0099999999999996E-2</v>
      </c>
      <c r="Q31" s="40">
        <f>$Q$21</f>
        <v>12.25</v>
      </c>
      <c r="R31" s="86">
        <f>A31*$R$18</f>
        <v>180.94</v>
      </c>
      <c r="S31" s="86">
        <f>Q31+R31</f>
        <v>193.19</v>
      </c>
      <c r="U31" s="40">
        <f>INPUT!$B$25</f>
        <v>16.131875000000001</v>
      </c>
      <c r="V31" s="86">
        <f>A31*$V$18</f>
        <v>191.04</v>
      </c>
      <c r="W31" s="86">
        <f>U31+V31</f>
        <v>207.171875</v>
      </c>
      <c r="Z31" s="86">
        <f>W31-S31</f>
        <v>13.981875000000002</v>
      </c>
      <c r="AB31" s="143">
        <f>W31/S31-1</f>
        <v>7.237369946684602E-2</v>
      </c>
      <c r="AC31" s="143"/>
    </row>
    <row r="32" spans="1:29" x14ac:dyDescent="0.2">
      <c r="A32" s="84"/>
      <c r="Q32" s="40"/>
      <c r="R32" s="86"/>
      <c r="S32" s="86"/>
      <c r="U32" s="40"/>
      <c r="V32" s="86"/>
      <c r="W32" s="86"/>
      <c r="AB32" s="143"/>
      <c r="AC32" s="143"/>
    </row>
    <row r="33" spans="1:29" x14ac:dyDescent="0.2">
      <c r="A33" s="84">
        <v>2500</v>
      </c>
      <c r="C33" s="86">
        <f>+S33</f>
        <v>238.42499999999998</v>
      </c>
      <c r="D33" s="86">
        <f>+W33</f>
        <v>254.93187499999999</v>
      </c>
      <c r="E33" s="92">
        <f>+D33-C33</f>
        <v>16.506875000000008</v>
      </c>
      <c r="F33" s="93">
        <f>ROUND(+E33/C33,4)</f>
        <v>6.9199999999999998E-2</v>
      </c>
      <c r="G33" s="92">
        <f>ROUND($R$10*$A33,2)</f>
        <v>-4.53</v>
      </c>
      <c r="H33" s="92">
        <f>ROUND($R$11*$A33,2)</f>
        <v>3.45</v>
      </c>
      <c r="I33" s="92">
        <f>ROUND($R$12*$A33,2)</f>
        <v>8.8800000000000008</v>
      </c>
      <c r="J33" s="92">
        <f>+C33+G33+H33+I33</f>
        <v>246.22499999999997</v>
      </c>
      <c r="K33" s="92">
        <f>+D33+G33+H33+I33</f>
        <v>262.731875</v>
      </c>
      <c r="L33" s="93">
        <f>ROUND((K33-J33)/J33,4)</f>
        <v>6.7000000000000004E-2</v>
      </c>
      <c r="Q33" s="40">
        <f>$Q$21</f>
        <v>12.25</v>
      </c>
      <c r="R33" s="86">
        <f>A33*$R$18</f>
        <v>226.17499999999998</v>
      </c>
      <c r="S33" s="86">
        <f>Q33+R33</f>
        <v>238.42499999999998</v>
      </c>
      <c r="U33" s="40">
        <f>INPUT!$B$25</f>
        <v>16.131875000000001</v>
      </c>
      <c r="V33" s="86">
        <f>A33*$V$18</f>
        <v>238.79999999999998</v>
      </c>
      <c r="W33" s="86">
        <f>U33+V33</f>
        <v>254.93187499999999</v>
      </c>
      <c r="Z33" s="86">
        <f>W33-S33</f>
        <v>16.506875000000008</v>
      </c>
      <c r="AB33" s="143">
        <f>W33/S33-1</f>
        <v>6.9232987312572103E-2</v>
      </c>
      <c r="AC33" s="143"/>
    </row>
    <row r="34" spans="1:29" x14ac:dyDescent="0.2">
      <c r="Q34" s="40"/>
      <c r="R34" s="86"/>
      <c r="S34" s="86"/>
      <c r="U34" s="40"/>
      <c r="V34" s="86"/>
      <c r="W34" s="86"/>
      <c r="AB34" s="143"/>
      <c r="AC34" s="143"/>
    </row>
    <row r="35" spans="1:29" x14ac:dyDescent="0.2">
      <c r="A35" s="84">
        <v>3000</v>
      </c>
      <c r="C35" s="86">
        <f>+S35</f>
        <v>283.65999999999997</v>
      </c>
      <c r="D35" s="86">
        <f>+W35</f>
        <v>302.69187499999998</v>
      </c>
      <c r="E35" s="92">
        <f>+D35-C35</f>
        <v>19.031875000000014</v>
      </c>
      <c r="F35" s="93">
        <f>ROUND(+E35/C35,4)</f>
        <v>6.7100000000000007E-2</v>
      </c>
      <c r="G35" s="92">
        <f>ROUND($R$10*$A35,2)</f>
        <v>-5.43</v>
      </c>
      <c r="H35" s="92">
        <f>ROUND($R$11*$A35,2)</f>
        <v>4.1399999999999997</v>
      </c>
      <c r="I35" s="92">
        <f>ROUND($R$12*$A35,2)</f>
        <v>10.65</v>
      </c>
      <c r="J35" s="92">
        <f>+C35+G35+H35+I35</f>
        <v>293.01999999999992</v>
      </c>
      <c r="K35" s="92">
        <f>+D35+G35+H35+I35</f>
        <v>312.05187499999994</v>
      </c>
      <c r="L35" s="93">
        <f>ROUND((K35-J35)/J35,4)</f>
        <v>6.5000000000000002E-2</v>
      </c>
      <c r="Q35" s="40">
        <f>$Q$21</f>
        <v>12.25</v>
      </c>
      <c r="R35" s="86">
        <f>A35*$R$18</f>
        <v>271.40999999999997</v>
      </c>
      <c r="S35" s="86">
        <f>Q35+R35</f>
        <v>283.65999999999997</v>
      </c>
      <c r="U35" s="40">
        <f>INPUT!$B$25</f>
        <v>16.131875000000001</v>
      </c>
      <c r="V35" s="86">
        <f>A35*$V$18</f>
        <v>286.56</v>
      </c>
      <c r="W35" s="86">
        <f>U35+V35</f>
        <v>302.69187499999998</v>
      </c>
      <c r="Z35" s="86">
        <f>W35-S35</f>
        <v>19.031875000000014</v>
      </c>
      <c r="AB35" s="143">
        <f>W35/S35-1</f>
        <v>6.7093968130860882E-2</v>
      </c>
      <c r="AC35" s="143"/>
    </row>
    <row r="37" spans="1:29" x14ac:dyDescent="0.2">
      <c r="A37" s="17" t="s">
        <v>313</v>
      </c>
      <c r="Q37" s="40"/>
    </row>
    <row r="38" spans="1:29" x14ac:dyDescent="0.2">
      <c r="A38" s="179" t="str">
        <f>("Average usage = "&amp;TEXT(INPUT!B19*1,"0,000")&amp;" kWh per month")</f>
        <v>Average usage = 1,139 kWh per month</v>
      </c>
    </row>
    <row r="39" spans="1:29" x14ac:dyDescent="0.2">
      <c r="A39" s="180" t="s">
        <v>314</v>
      </c>
    </row>
    <row r="40" spans="1:29" x14ac:dyDescent="0.2">
      <c r="A40" s="180" t="str">
        <f>+'Rate Case Constants'!$C$26</f>
        <v>Calculations may vary from other schedules due to rounding</v>
      </c>
    </row>
    <row r="42" spans="1:29" ht="12" customHeight="1" x14ac:dyDescent="0.2"/>
  </sheetData>
  <mergeCells count="5">
    <mergeCell ref="G15:I15"/>
    <mergeCell ref="A1:L1"/>
    <mergeCell ref="A2:L2"/>
    <mergeCell ref="A3:L3"/>
    <mergeCell ref="A4:L4"/>
  </mergeCells>
  <phoneticPr fontId="6" type="noConversion"/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H43"/>
  <sheetViews>
    <sheetView view="pageBreakPreview" zoomScaleNormal="80" zoomScaleSheetLayoutView="100" workbookViewId="0">
      <selection sqref="A1:L1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0.5703125" bestFit="1" customWidth="1"/>
    <col min="12" max="12" width="9.28515625" bestFit="1" customWidth="1"/>
    <col min="13" max="13" width="10.140625" customWidth="1"/>
    <col min="14" max="16" width="3.5703125" customWidth="1"/>
    <col min="17" max="18" width="11.85546875" customWidth="1"/>
    <col min="19" max="19" width="9.85546875" customWidth="1"/>
    <col min="20" max="21" width="9.5703125" customWidth="1"/>
    <col min="22" max="22" width="7.140625" customWidth="1"/>
    <col min="23" max="23" width="11.5703125" customWidth="1"/>
    <col min="24" max="25" width="9.5703125" customWidth="1"/>
    <col min="29" max="30" width="3" customWidth="1"/>
    <col min="32" max="32" width="2.7109375" customWidth="1"/>
  </cols>
  <sheetData>
    <row r="1" spans="1:34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34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34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34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34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34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</row>
    <row r="7" spans="1:34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03" t="str">
        <f>+'Rate Case Constants'!C25</f>
        <v>SCHEDULE N</v>
      </c>
    </row>
    <row r="8" spans="1:34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02" t="str">
        <f>+'Rate Case Constants'!L9</f>
        <v>PAGE 2 of 24</v>
      </c>
    </row>
    <row r="9" spans="1:34" x14ac:dyDescent="0.2">
      <c r="A9" s="85" t="str">
        <f>+'Rate Case Constants'!C34</f>
        <v>WORKPAPER REFERENCE NO(S):________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202" t="str">
        <f>+'Rate Case Constants'!C36</f>
        <v>WITNESS:   R. M. CONROY</v>
      </c>
      <c r="R9" s="17" t="s">
        <v>504</v>
      </c>
    </row>
    <row r="10" spans="1:34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Q10" s="85" t="s">
        <v>71</v>
      </c>
      <c r="R10" s="85">
        <f>INPUT!K54</f>
        <v>-1.8104925406989172E-3</v>
      </c>
    </row>
    <row r="11" spans="1:34" x14ac:dyDescent="0.2">
      <c r="A11" s="126" t="s">
        <v>363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85" t="s">
        <v>73</v>
      </c>
      <c r="R11" s="85">
        <f>INPUT!L54</f>
        <v>1.3808918023313487E-3</v>
      </c>
      <c r="S11" s="31"/>
      <c r="T11" s="31"/>
      <c r="U11" s="31"/>
      <c r="V11" s="31"/>
      <c r="W11" s="34"/>
      <c r="X11" s="31"/>
      <c r="Y11" s="31"/>
      <c r="Z11" s="31"/>
      <c r="AA11" s="31"/>
      <c r="AB11" s="31"/>
    </row>
    <row r="12" spans="1:34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85" t="s">
        <v>72</v>
      </c>
      <c r="R12" s="85">
        <f>INPUT!M54</f>
        <v>3.5500713871402462E-3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4" x14ac:dyDescent="0.2">
      <c r="A13" s="31"/>
      <c r="B13" s="31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 t="s">
        <v>312</v>
      </c>
      <c r="M13" s="31"/>
      <c r="N13" s="31"/>
      <c r="O13" s="31"/>
      <c r="P13" s="31"/>
      <c r="Q13" s="31"/>
      <c r="R13" s="31"/>
      <c r="S13" s="31"/>
      <c r="T13" s="31"/>
      <c r="V13" s="31"/>
      <c r="W13" s="31"/>
      <c r="X13" s="31"/>
      <c r="Y13" s="31"/>
      <c r="Z13" s="31"/>
      <c r="AA13" s="31"/>
      <c r="AB13" s="31"/>
    </row>
    <row r="14" spans="1:34" x14ac:dyDescent="0.2">
      <c r="C14" s="200" t="s">
        <v>327</v>
      </c>
      <c r="D14" s="200" t="s">
        <v>327</v>
      </c>
      <c r="G14" s="17"/>
      <c r="H14" s="17"/>
      <c r="I14" s="17"/>
      <c r="J14" s="3" t="s">
        <v>5</v>
      </c>
      <c r="K14" s="3" t="s">
        <v>5</v>
      </c>
      <c r="Q14" s="138" t="s">
        <v>262</v>
      </c>
      <c r="R14" s="48"/>
      <c r="S14" s="48"/>
      <c r="T14" s="48"/>
      <c r="U14" s="3"/>
      <c r="W14" s="48" t="s">
        <v>60</v>
      </c>
      <c r="X14" s="48"/>
      <c r="Y14" s="48"/>
      <c r="Z14" s="48"/>
      <c r="AA14" s="3"/>
      <c r="AB14" s="58"/>
    </row>
    <row r="15" spans="1:34" x14ac:dyDescent="0.2">
      <c r="C15" s="3" t="s">
        <v>1</v>
      </c>
      <c r="D15" s="3" t="s">
        <v>74</v>
      </c>
      <c r="E15" s="3"/>
      <c r="F15" s="3"/>
      <c r="G15" s="392" t="s">
        <v>251</v>
      </c>
      <c r="H15" s="392"/>
      <c r="I15" s="393"/>
      <c r="J15" s="3" t="s">
        <v>1</v>
      </c>
      <c r="K15" s="3" t="s">
        <v>74</v>
      </c>
      <c r="L15" s="131"/>
      <c r="M15" s="131"/>
      <c r="Q15" s="27" t="s">
        <v>62</v>
      </c>
      <c r="R15" s="27" t="s">
        <v>56</v>
      </c>
      <c r="S15" s="27" t="s">
        <v>56</v>
      </c>
      <c r="T15" s="27"/>
      <c r="U15" s="3"/>
      <c r="W15" s="27" t="s">
        <v>62</v>
      </c>
      <c r="X15" s="27" t="s">
        <v>56</v>
      </c>
      <c r="Y15" s="27" t="s">
        <v>56</v>
      </c>
      <c r="Z15" s="27"/>
      <c r="AA15" s="3"/>
      <c r="AB15" s="27"/>
    </row>
    <row r="16" spans="1:34" x14ac:dyDescent="0.2">
      <c r="A16" s="3"/>
      <c r="B16" s="3"/>
      <c r="C16" s="27" t="s">
        <v>4</v>
      </c>
      <c r="D16" s="27" t="s">
        <v>4</v>
      </c>
      <c r="E16" s="3" t="s">
        <v>75</v>
      </c>
      <c r="F16" s="3" t="s">
        <v>75</v>
      </c>
      <c r="G16" s="87" t="s">
        <v>337</v>
      </c>
      <c r="H16" s="87" t="s">
        <v>73</v>
      </c>
      <c r="I16" s="87" t="s">
        <v>72</v>
      </c>
      <c r="J16" s="27" t="s">
        <v>4</v>
      </c>
      <c r="K16" s="27" t="s">
        <v>4</v>
      </c>
      <c r="L16" s="3" t="s">
        <v>75</v>
      </c>
      <c r="M16" s="3"/>
      <c r="N16" s="3"/>
      <c r="O16" s="3"/>
      <c r="P16" s="3"/>
      <c r="Q16" s="27" t="s">
        <v>61</v>
      </c>
      <c r="R16" s="27" t="s">
        <v>22</v>
      </c>
      <c r="S16" s="27" t="s">
        <v>34</v>
      </c>
      <c r="T16" s="27" t="s">
        <v>5</v>
      </c>
      <c r="U16" s="3"/>
      <c r="W16" s="27" t="s">
        <v>61</v>
      </c>
      <c r="X16" s="27" t="s">
        <v>22</v>
      </c>
      <c r="Y16" s="27" t="s">
        <v>34</v>
      </c>
      <c r="Z16" s="27" t="s">
        <v>5</v>
      </c>
      <c r="AA16" s="3"/>
      <c r="AB16" s="27"/>
      <c r="AD16" s="2"/>
      <c r="AE16" s="3" t="s">
        <v>6</v>
      </c>
      <c r="AF16" s="3"/>
      <c r="AG16" s="3" t="s">
        <v>8</v>
      </c>
      <c r="AH16" s="3"/>
    </row>
    <row r="17" spans="1:34" x14ac:dyDescent="0.2">
      <c r="A17" s="3" t="s">
        <v>49</v>
      </c>
      <c r="B17" s="3"/>
      <c r="C17" s="27" t="s">
        <v>329</v>
      </c>
      <c r="D17" s="3"/>
      <c r="E17" s="3" t="s">
        <v>69</v>
      </c>
      <c r="F17" s="27" t="s">
        <v>70</v>
      </c>
      <c r="G17" s="90"/>
      <c r="H17" s="90"/>
      <c r="I17" s="91"/>
      <c r="J17" s="3" t="s">
        <v>69</v>
      </c>
      <c r="K17" s="3" t="s">
        <v>69</v>
      </c>
      <c r="L17" s="27" t="s">
        <v>70</v>
      </c>
      <c r="M17" s="3"/>
      <c r="N17" s="3"/>
      <c r="O17" s="3"/>
      <c r="P17" s="3"/>
      <c r="Q17" s="55" t="s">
        <v>3</v>
      </c>
      <c r="R17" s="82" t="s">
        <v>3</v>
      </c>
      <c r="S17" s="82" t="s">
        <v>3</v>
      </c>
      <c r="T17" s="55" t="s">
        <v>4</v>
      </c>
      <c r="U17" s="35"/>
      <c r="W17" s="55" t="s">
        <v>3</v>
      </c>
      <c r="X17" s="35" t="s">
        <v>3</v>
      </c>
      <c r="Y17" s="35" t="s">
        <v>3</v>
      </c>
      <c r="Z17" s="55" t="s">
        <v>4</v>
      </c>
      <c r="AA17" s="35"/>
      <c r="AB17" s="59"/>
      <c r="AD17" s="2"/>
      <c r="AE17" s="3" t="s">
        <v>7</v>
      </c>
      <c r="AF17" s="3"/>
      <c r="AG17" s="3" t="s">
        <v>7</v>
      </c>
      <c r="AH17" s="3"/>
    </row>
    <row r="18" spans="1:34" x14ac:dyDescent="0.2">
      <c r="A18" s="82"/>
      <c r="B18" s="82"/>
      <c r="C18" s="82"/>
      <c r="D18" s="82"/>
      <c r="E18" s="204" t="str">
        <f>("[ "&amp;D13&amp;" - "&amp;C13&amp;" ]")</f>
        <v>[ B - A ]</v>
      </c>
      <c r="F18" s="204" t="str">
        <f>("[ "&amp;E13&amp;" / "&amp;C13&amp;" ]")</f>
        <v>[ C / A ]</v>
      </c>
      <c r="G18" s="205"/>
      <c r="H18" s="205"/>
      <c r="I18" s="205"/>
      <c r="J18" s="204" t="str">
        <f>("["&amp;C13&amp;"+"&amp;$G$13&amp;"+"&amp;$H$13&amp;"+"&amp;$I$13&amp;"]")</f>
        <v>[A+E+F+G]</v>
      </c>
      <c r="K18" s="204" t="str">
        <f>("["&amp;D13&amp;"+"&amp;$G$13&amp;"+"&amp;$H$13&amp;"+"&amp;$I$13&amp;"]")</f>
        <v>[B+E+F+G]</v>
      </c>
      <c r="L18" s="204" t="str">
        <f>("[("&amp;K13&amp;" - "&amp;J13&amp;")/"&amp;J13&amp;"]")</f>
        <v>[(I - H)/H]</v>
      </c>
      <c r="M18" s="3"/>
      <c r="N18" s="3"/>
      <c r="O18" s="3"/>
      <c r="P18" s="3"/>
      <c r="Q18" s="27"/>
      <c r="R18" s="33">
        <f>+INPUT!$C$8</f>
        <v>5.892E-2</v>
      </c>
      <c r="S18" s="33">
        <f>+INPUT!$C$7</f>
        <v>0.27615000000000001</v>
      </c>
      <c r="T18" s="27"/>
      <c r="U18" s="42"/>
      <c r="W18" s="27"/>
      <c r="X18" s="33">
        <f>INPUT!$C$29</f>
        <v>5.892E-2</v>
      </c>
      <c r="Y18" s="33">
        <f>INPUT!$C$28</f>
        <v>0.31816999999999995</v>
      </c>
      <c r="Z18" s="27"/>
      <c r="AA18" s="42"/>
      <c r="AB18" s="27"/>
      <c r="AD18" s="2"/>
      <c r="AE18" s="3"/>
      <c r="AF18" s="3"/>
      <c r="AG18" s="3"/>
      <c r="AH18" s="3"/>
    </row>
    <row r="19" spans="1:3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7"/>
      <c r="R19" s="3" t="s">
        <v>14</v>
      </c>
      <c r="S19" s="3" t="s">
        <v>14</v>
      </c>
      <c r="T19" s="27"/>
      <c r="U19" s="3"/>
      <c r="W19" s="27"/>
      <c r="X19" s="3" t="s">
        <v>14</v>
      </c>
      <c r="Y19" s="3" t="s">
        <v>14</v>
      </c>
      <c r="Z19" s="27"/>
      <c r="AA19" s="3"/>
      <c r="AB19" s="27"/>
      <c r="AD19" s="2"/>
      <c r="AE19" s="3"/>
      <c r="AF19" s="3"/>
      <c r="AG19" s="3"/>
      <c r="AH19" s="3"/>
    </row>
    <row r="20" spans="1:3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S20" s="3"/>
      <c r="T20" s="3"/>
      <c r="U20" s="3"/>
      <c r="X20" s="3"/>
      <c r="Y20" s="3"/>
      <c r="Z20" s="3"/>
      <c r="AA20" s="3"/>
      <c r="AB20" s="3"/>
    </row>
    <row r="21" spans="1:34" x14ac:dyDescent="0.2">
      <c r="A21" s="1">
        <v>500</v>
      </c>
      <c r="C21" s="6">
        <f>+T21</f>
        <v>52.571499999999993</v>
      </c>
      <c r="D21" s="6">
        <f>+Z21</f>
        <v>58.554374999999993</v>
      </c>
      <c r="E21" s="30">
        <f>+D21-C21</f>
        <v>5.9828749999999999</v>
      </c>
      <c r="F21" s="56">
        <f>ROUND(+E21/C21,4)</f>
        <v>0.1138</v>
      </c>
      <c r="G21" s="92">
        <f>ROUND($R$10*$A21,2)</f>
        <v>-0.91</v>
      </c>
      <c r="H21" s="92">
        <f>ROUND($R$11*$A21,2)</f>
        <v>0.69</v>
      </c>
      <c r="I21" s="92">
        <f>ROUND($R$12*$A21,2)</f>
        <v>1.78</v>
      </c>
      <c r="J21" s="30">
        <f>+C21+G21+H21+I21</f>
        <v>54.131499999999996</v>
      </c>
      <c r="K21" s="30">
        <f>+D21+G21+H21+I21</f>
        <v>60.114374999999995</v>
      </c>
      <c r="L21" s="56">
        <f>ROUND((K21-J21)/J21,4)</f>
        <v>0.1105</v>
      </c>
      <c r="Q21" s="7">
        <f>+INPUT!$C$4</f>
        <v>12.25</v>
      </c>
      <c r="R21" s="6">
        <f>(+$A21*$R$39)*R$18</f>
        <v>26.513999999999999</v>
      </c>
      <c r="S21" s="6">
        <f>(+$A21*$S$39)*S$18</f>
        <v>13.807499999999996</v>
      </c>
      <c r="T21" s="6">
        <f>SUM(Q21:S21)</f>
        <v>52.571499999999993</v>
      </c>
      <c r="U21" s="6"/>
      <c r="W21" s="7">
        <f>INPUT!$C25</f>
        <v>16.131875000000001</v>
      </c>
      <c r="X21" s="6">
        <f>(+$A21*$X$39)*X$18</f>
        <v>26.513999999999999</v>
      </c>
      <c r="Y21" s="6">
        <f>(+$A21*$Y$39)*Y$18</f>
        <v>15.908499999999993</v>
      </c>
      <c r="Z21" s="6">
        <f>SUM(W21:Y21)</f>
        <v>58.554374999999993</v>
      </c>
      <c r="AA21" s="6"/>
      <c r="AB21" s="6"/>
      <c r="AE21" s="6">
        <f>Z21-T21</f>
        <v>5.9828749999999999</v>
      </c>
      <c r="AG21" s="8">
        <f>Z21/T21-1</f>
        <v>0.11380453287427605</v>
      </c>
      <c r="AH21" s="8"/>
    </row>
    <row r="22" spans="1:34" x14ac:dyDescent="0.2">
      <c r="A22" s="1"/>
      <c r="Q22" s="7"/>
      <c r="R22" s="7"/>
      <c r="S22" s="7"/>
      <c r="T22" s="6"/>
      <c r="U22" s="6"/>
      <c r="W22" s="7"/>
      <c r="X22" s="7"/>
      <c r="Y22" s="7"/>
      <c r="Z22" s="6"/>
      <c r="AA22" s="6"/>
      <c r="AB22" s="6"/>
      <c r="AG22" s="8"/>
      <c r="AH22" s="8"/>
    </row>
    <row r="23" spans="1:34" x14ac:dyDescent="0.2">
      <c r="A23" s="1">
        <v>750</v>
      </c>
      <c r="C23" s="6">
        <f>+T23</f>
        <v>72.732249999999993</v>
      </c>
      <c r="D23" s="6">
        <f>+Z23</f>
        <v>79.765625</v>
      </c>
      <c r="E23" s="30">
        <f>+D23-C23</f>
        <v>7.0333750000000066</v>
      </c>
      <c r="F23" s="56">
        <f>ROUND(+E23/C23,4)</f>
        <v>9.6699999999999994E-2</v>
      </c>
      <c r="G23" s="92">
        <f>ROUND($R$10*$A23,2)</f>
        <v>-1.36</v>
      </c>
      <c r="H23" s="92">
        <f>ROUND($R$11*$A23,2)</f>
        <v>1.04</v>
      </c>
      <c r="I23" s="92">
        <f>ROUND($R$12*$A23,2)</f>
        <v>2.66</v>
      </c>
      <c r="J23" s="30">
        <f>+C23+G23+H23+I23</f>
        <v>75.072249999999997</v>
      </c>
      <c r="K23" s="30">
        <f>+D23+G23+H23+I23</f>
        <v>82.105625000000003</v>
      </c>
      <c r="L23" s="56">
        <f>ROUND((K23-J23)/J23,4)</f>
        <v>9.3700000000000006E-2</v>
      </c>
      <c r="Q23" s="7">
        <f>$Q$21</f>
        <v>12.25</v>
      </c>
      <c r="R23" s="6">
        <f>(+$A23*$R$39)*R$18</f>
        <v>39.771000000000001</v>
      </c>
      <c r="S23" s="6">
        <f>(+$A23*$S$39)*S$18</f>
        <v>20.711249999999996</v>
      </c>
      <c r="T23" s="6">
        <f>SUM(Q23:S23)</f>
        <v>72.732249999999993</v>
      </c>
      <c r="U23" s="6"/>
      <c r="W23" s="7">
        <f>+$W$21</f>
        <v>16.131875000000001</v>
      </c>
      <c r="X23" s="6">
        <f>(+$A23*$X$39)*X$18</f>
        <v>39.771000000000001</v>
      </c>
      <c r="Y23" s="6">
        <f>(+$A23*$Y$39)*Y$18</f>
        <v>23.862749999999991</v>
      </c>
      <c r="Z23" s="6">
        <f>SUM(W23:Y23)</f>
        <v>79.765625</v>
      </c>
      <c r="AA23" s="6"/>
      <c r="AB23" s="6"/>
      <c r="AE23" s="6">
        <f>Z23-T23</f>
        <v>7.0333750000000066</v>
      </c>
      <c r="AG23" s="8">
        <f>Z23/T23-1</f>
        <v>9.6702288187152208E-2</v>
      </c>
      <c r="AH23" s="8"/>
    </row>
    <row r="24" spans="1:34" x14ac:dyDescent="0.2">
      <c r="A24" s="1"/>
      <c r="C24" s="6"/>
      <c r="D24" s="6"/>
      <c r="E24" s="30"/>
      <c r="F24" s="56"/>
      <c r="G24" s="30"/>
      <c r="H24" s="30"/>
      <c r="I24" s="30"/>
      <c r="J24" s="30"/>
      <c r="K24" s="30"/>
      <c r="L24" s="56"/>
      <c r="Q24" s="57"/>
      <c r="R24" s="57"/>
      <c r="S24" s="57"/>
      <c r="T24" s="6"/>
      <c r="U24" s="6"/>
      <c r="W24" s="7"/>
      <c r="X24" s="57"/>
      <c r="Y24" s="57"/>
      <c r="Z24" s="6"/>
      <c r="AA24" s="6"/>
      <c r="AB24" s="6"/>
      <c r="AG24" s="28"/>
      <c r="AH24" s="28"/>
    </row>
    <row r="25" spans="1:34" s="10" customFormat="1" x14ac:dyDescent="0.2">
      <c r="A25" s="14">
        <v>1000</v>
      </c>
      <c r="C25" s="11">
        <f>+T25</f>
        <v>92.892999999999986</v>
      </c>
      <c r="D25" s="11">
        <f>+Z25</f>
        <v>100.97687499999998</v>
      </c>
      <c r="E25" s="192">
        <f>+D25-C25</f>
        <v>8.0838749999999919</v>
      </c>
      <c r="F25" s="228">
        <f>ROUND(+E25/C25,4)</f>
        <v>8.6999999999999994E-2</v>
      </c>
      <c r="G25" s="229">
        <f>ROUND($R$10*$A25,2)</f>
        <v>-1.81</v>
      </c>
      <c r="H25" s="229">
        <f>ROUND($R$11*$A25,2)</f>
        <v>1.38</v>
      </c>
      <c r="I25" s="229">
        <f>ROUND($R$12*$A25,2)</f>
        <v>3.55</v>
      </c>
      <c r="J25" s="192">
        <f>+C25+G25+H25+I25</f>
        <v>96.012999999999977</v>
      </c>
      <c r="K25" s="192">
        <f>+D25+G25+H25+I25</f>
        <v>104.09687499999997</v>
      </c>
      <c r="L25" s="228">
        <f>ROUND((K25-J25)/J25,4)</f>
        <v>8.4199999999999997E-2</v>
      </c>
      <c r="M25" s="192"/>
      <c r="Q25" s="57">
        <f>$Q$21</f>
        <v>12.25</v>
      </c>
      <c r="R25" s="6">
        <f>(+$A25*$R$39)*R$18</f>
        <v>53.027999999999999</v>
      </c>
      <c r="S25" s="6">
        <f>(+$A25*$S$39)*S$18</f>
        <v>27.614999999999991</v>
      </c>
      <c r="T25" s="6">
        <f>SUM(Q25:S25)</f>
        <v>92.892999999999986</v>
      </c>
      <c r="U25" s="6"/>
      <c r="W25" s="7">
        <f>+$W$21</f>
        <v>16.131875000000001</v>
      </c>
      <c r="X25" s="6">
        <f>(+$A25*$X$39)*X$18</f>
        <v>53.027999999999999</v>
      </c>
      <c r="Y25" s="6">
        <f>(+$A25*$Y$39)*Y$18</f>
        <v>31.816999999999986</v>
      </c>
      <c r="Z25" s="6">
        <f>SUM(W25:Y25)</f>
        <v>100.97687499999998</v>
      </c>
      <c r="AA25" s="6"/>
      <c r="AB25" s="11"/>
      <c r="AE25" s="11">
        <f>Z25-T25</f>
        <v>8.0838749999999919</v>
      </c>
      <c r="AG25" s="28">
        <f>Z25/T25-1</f>
        <v>8.7023510921167224E-2</v>
      </c>
      <c r="AH25" s="28"/>
    </row>
    <row r="26" spans="1:34" x14ac:dyDescent="0.2">
      <c r="A26" s="1"/>
      <c r="K26" s="30"/>
      <c r="Q26" s="7"/>
      <c r="R26" s="7"/>
      <c r="S26" s="7"/>
      <c r="T26" s="6"/>
      <c r="U26" s="6"/>
      <c r="W26" s="7"/>
      <c r="X26" s="7"/>
      <c r="Y26" s="7"/>
      <c r="Z26" s="6"/>
      <c r="AA26" s="6"/>
      <c r="AB26" s="6"/>
      <c r="AG26" s="8"/>
      <c r="AH26" s="8"/>
    </row>
    <row r="27" spans="1:34" x14ac:dyDescent="0.2">
      <c r="A27" s="1">
        <v>1500</v>
      </c>
      <c r="C27" s="6">
        <f>+T27</f>
        <v>133.21449999999999</v>
      </c>
      <c r="D27" s="6">
        <f>+Z27</f>
        <v>143.39937499999999</v>
      </c>
      <c r="E27" s="30">
        <f>+D27-C27</f>
        <v>10.184875000000005</v>
      </c>
      <c r="F27" s="56">
        <f>ROUND(+E27/C27,4)</f>
        <v>7.6499999999999999E-2</v>
      </c>
      <c r="G27" s="92">
        <f>ROUND($R$10*$A27,2)</f>
        <v>-2.72</v>
      </c>
      <c r="H27" s="92">
        <f>ROUND($R$11*$A27,2)</f>
        <v>2.0699999999999998</v>
      </c>
      <c r="I27" s="92">
        <f>ROUND($R$12*$A27,2)</f>
        <v>5.33</v>
      </c>
      <c r="J27" s="30">
        <f>+C27+G27+H27+I27</f>
        <v>137.89449999999999</v>
      </c>
      <c r="K27" s="30">
        <f>+D27+G27+H27+I27</f>
        <v>148.079375</v>
      </c>
      <c r="L27" s="56">
        <f>ROUND((K27-J27)/J27,4)</f>
        <v>7.3899999999999993E-2</v>
      </c>
      <c r="Q27" s="7">
        <f>$Q$21</f>
        <v>12.25</v>
      </c>
      <c r="R27" s="6">
        <f>(+$A27*$R$39)*R$18</f>
        <v>79.542000000000002</v>
      </c>
      <c r="S27" s="6">
        <f>(+$A27*$S$39)*S$18</f>
        <v>41.422499999999992</v>
      </c>
      <c r="T27" s="6">
        <f>SUM(Q27:S27)</f>
        <v>133.21449999999999</v>
      </c>
      <c r="U27" s="6"/>
      <c r="W27" s="7">
        <f>+$W$21</f>
        <v>16.131875000000001</v>
      </c>
      <c r="X27" s="6">
        <f>(+$A27*$X$39)*X$18</f>
        <v>79.542000000000002</v>
      </c>
      <c r="Y27" s="6">
        <f>(+$A27*$Y$39)*Y$18</f>
        <v>47.725499999999982</v>
      </c>
      <c r="Z27" s="6">
        <f>SUM(W27:Y27)</f>
        <v>143.39937499999999</v>
      </c>
      <c r="AA27" s="6"/>
      <c r="AB27" s="6"/>
      <c r="AE27" s="6">
        <f>Z27-T27</f>
        <v>10.184875000000005</v>
      </c>
      <c r="AG27" s="8">
        <f>Z27/T27-1</f>
        <v>7.6454702753829373E-2</v>
      </c>
      <c r="AH27" s="8"/>
    </row>
    <row r="28" spans="1:34" x14ac:dyDescent="0.2">
      <c r="Q28" s="7"/>
      <c r="R28" s="7"/>
      <c r="S28" s="7"/>
      <c r="T28" s="6"/>
      <c r="U28" s="6"/>
      <c r="W28" s="7"/>
      <c r="X28" s="7"/>
      <c r="Y28" s="7"/>
      <c r="Z28" s="6"/>
      <c r="AA28" s="6"/>
      <c r="AB28" s="6"/>
      <c r="AG28" s="8"/>
      <c r="AH28" s="8"/>
    </row>
    <row r="29" spans="1:34" x14ac:dyDescent="0.2">
      <c r="A29" s="1">
        <v>2000</v>
      </c>
      <c r="C29" s="6">
        <f>+T29</f>
        <v>173.53599999999997</v>
      </c>
      <c r="D29" s="6">
        <f>+Z29</f>
        <v>185.82187499999998</v>
      </c>
      <c r="E29" s="30">
        <f>+D29-C29</f>
        <v>12.285875000000004</v>
      </c>
      <c r="F29" s="56">
        <f>ROUND(+E29/C29,4)</f>
        <v>7.0800000000000002E-2</v>
      </c>
      <c r="G29" s="92">
        <f>ROUND($R$10*$A29,2)</f>
        <v>-3.62</v>
      </c>
      <c r="H29" s="92">
        <f>ROUND($R$11*$A29,2)</f>
        <v>2.76</v>
      </c>
      <c r="I29" s="92">
        <f>ROUND($R$12*$A29,2)</f>
        <v>7.1</v>
      </c>
      <c r="J29" s="30">
        <f>+C29+G29+H29+I29</f>
        <v>179.77599999999995</v>
      </c>
      <c r="K29" s="30">
        <f>+D29+G29+H29+I29</f>
        <v>192.06187499999996</v>
      </c>
      <c r="L29" s="56">
        <f>ROUND((K29-J29)/J29,4)</f>
        <v>6.83E-2</v>
      </c>
      <c r="Q29" s="7">
        <f>$Q$21</f>
        <v>12.25</v>
      </c>
      <c r="R29" s="6">
        <f>(+$A29*$R$39)*R$18</f>
        <v>106.056</v>
      </c>
      <c r="S29" s="6">
        <f>(+$A29*$S$39)*S$18</f>
        <v>55.229999999999983</v>
      </c>
      <c r="T29" s="6">
        <f>SUM(Q29:S29)</f>
        <v>173.53599999999997</v>
      </c>
      <c r="U29" s="6"/>
      <c r="W29" s="7">
        <f>+$W$21</f>
        <v>16.131875000000001</v>
      </c>
      <c r="X29" s="6">
        <f>(+$A29*$X$39)*X$18</f>
        <v>106.056</v>
      </c>
      <c r="Y29" s="6">
        <f>(+$A29*$Y$39)*Y$18</f>
        <v>63.633999999999972</v>
      </c>
      <c r="Z29" s="6">
        <f>SUM(W29:Y29)</f>
        <v>185.82187499999998</v>
      </c>
      <c r="AA29" s="6"/>
      <c r="AB29" s="6"/>
      <c r="AE29" s="6">
        <f>Z29-T29</f>
        <v>12.285875000000004</v>
      </c>
      <c r="AG29" s="8">
        <f>Z29/T29-1</f>
        <v>7.079726973077638E-2</v>
      </c>
      <c r="AH29" s="8"/>
    </row>
    <row r="30" spans="1:34" x14ac:dyDescent="0.2">
      <c r="A30" s="1"/>
      <c r="Q30" s="7"/>
      <c r="R30" s="7"/>
      <c r="S30" s="7"/>
      <c r="T30" s="6"/>
      <c r="U30" s="6"/>
      <c r="W30" s="7"/>
      <c r="X30" s="7"/>
      <c r="Y30" s="7"/>
      <c r="Z30" s="6"/>
      <c r="AA30" s="6"/>
      <c r="AB30" s="6"/>
      <c r="AG30" s="8"/>
      <c r="AH30" s="8"/>
    </row>
    <row r="31" spans="1:34" x14ac:dyDescent="0.2">
      <c r="A31" s="1">
        <v>2500</v>
      </c>
      <c r="C31" s="6">
        <f>+T31</f>
        <v>213.85749999999996</v>
      </c>
      <c r="D31" s="6">
        <f>+Z31</f>
        <v>228.24437499999999</v>
      </c>
      <c r="E31" s="30">
        <f>+D31-C31</f>
        <v>14.386875000000032</v>
      </c>
      <c r="F31" s="56">
        <f>ROUND(+E31/C31,4)</f>
        <v>6.7299999999999999E-2</v>
      </c>
      <c r="G31" s="92">
        <f>ROUND($R$10*$A31,2)</f>
        <v>-4.53</v>
      </c>
      <c r="H31" s="92">
        <f>ROUND($R$11*$A31,2)</f>
        <v>3.45</v>
      </c>
      <c r="I31" s="92">
        <f>ROUND($R$12*$A31,2)</f>
        <v>8.8800000000000008</v>
      </c>
      <c r="J31" s="30">
        <f>+C31+G31+H31+I31</f>
        <v>221.65749999999994</v>
      </c>
      <c r="K31" s="30">
        <f>+D31+G31+H31+I31</f>
        <v>236.04437499999997</v>
      </c>
      <c r="L31" s="56">
        <f>ROUND((K31-J31)/J31,4)</f>
        <v>6.4899999999999999E-2</v>
      </c>
      <c r="Q31" s="7">
        <f>$Q$21</f>
        <v>12.25</v>
      </c>
      <c r="R31" s="6">
        <f>(+$A31*$R$39)*R$18</f>
        <v>132.57</v>
      </c>
      <c r="S31" s="6">
        <f>(+$A31*$S$39)*S$18</f>
        <v>69.03749999999998</v>
      </c>
      <c r="T31" s="6">
        <f>SUM(Q31:S31)</f>
        <v>213.85749999999996</v>
      </c>
      <c r="U31" s="6"/>
      <c r="W31" s="7">
        <f>+$W$21</f>
        <v>16.131875000000001</v>
      </c>
      <c r="X31" s="6">
        <f>(+$A31*$X$39)*X$18</f>
        <v>132.57</v>
      </c>
      <c r="Y31" s="6">
        <f>(+$A31*$Y$39)*Y$18</f>
        <v>79.542499999999976</v>
      </c>
      <c r="Z31" s="6">
        <f>SUM(W31:Y31)</f>
        <v>228.24437499999999</v>
      </c>
      <c r="AA31" s="6"/>
      <c r="AB31" s="6"/>
      <c r="AE31" s="6">
        <f>Z31-T31</f>
        <v>14.386875000000032</v>
      </c>
      <c r="AG31" s="8">
        <f>Z31/T31-1</f>
        <v>6.7273184246519513E-2</v>
      </c>
      <c r="AH31" s="8"/>
    </row>
    <row r="32" spans="1:34" x14ac:dyDescent="0.2">
      <c r="Q32" s="7"/>
      <c r="R32" s="7"/>
      <c r="S32" s="7"/>
      <c r="T32" s="6"/>
      <c r="U32" s="6"/>
      <c r="W32" s="7"/>
      <c r="X32" s="7"/>
      <c r="Y32" s="7"/>
      <c r="Z32" s="6"/>
      <c r="AA32" s="6"/>
      <c r="AB32" s="6"/>
      <c r="AG32" s="8"/>
      <c r="AH32" s="8"/>
    </row>
    <row r="33" spans="1:34" x14ac:dyDescent="0.2">
      <c r="A33" s="1">
        <v>3000</v>
      </c>
      <c r="C33" s="6">
        <f>+T33</f>
        <v>254.17899999999997</v>
      </c>
      <c r="D33" s="6">
        <f>+Z33</f>
        <v>270.666875</v>
      </c>
      <c r="E33" s="30">
        <f>+D33-C33</f>
        <v>16.487875000000031</v>
      </c>
      <c r="F33" s="56">
        <f>ROUND(+E33/C33,4)</f>
        <v>6.4899999999999999E-2</v>
      </c>
      <c r="G33" s="92">
        <f>ROUND($R$10*$A33,2)</f>
        <v>-5.43</v>
      </c>
      <c r="H33" s="92">
        <f>ROUND($R$11*$A33,2)</f>
        <v>4.1399999999999997</v>
      </c>
      <c r="I33" s="92">
        <f>ROUND($R$12*$A33,2)</f>
        <v>10.65</v>
      </c>
      <c r="J33" s="30">
        <f>+C33+G33+H33+I33</f>
        <v>263.53899999999993</v>
      </c>
      <c r="K33" s="30">
        <f>+D33+G33+H33+I33</f>
        <v>280.02687499999996</v>
      </c>
      <c r="L33" s="56">
        <f>ROUND((K33-J33)/J33,4)</f>
        <v>6.2600000000000003E-2</v>
      </c>
      <c r="Q33" s="7">
        <f>$Q$21</f>
        <v>12.25</v>
      </c>
      <c r="R33" s="6">
        <f>(+$A33*$R$39)*R$18</f>
        <v>159.084</v>
      </c>
      <c r="S33" s="6">
        <f>(+$A33*$S$39)*S$18</f>
        <v>82.844999999999985</v>
      </c>
      <c r="T33" s="6">
        <f>SUM(Q33:S33)</f>
        <v>254.17899999999997</v>
      </c>
      <c r="U33" s="6"/>
      <c r="W33" s="7">
        <f>+$W$21</f>
        <v>16.131875000000001</v>
      </c>
      <c r="X33" s="6">
        <f>(+$A33*$X$39)*X$18</f>
        <v>159.084</v>
      </c>
      <c r="Y33" s="6">
        <f>(+$A33*$Y$39)*Y$18</f>
        <v>95.450999999999965</v>
      </c>
      <c r="Z33" s="6">
        <f>SUM(W33:Y33)</f>
        <v>270.666875</v>
      </c>
      <c r="AA33" s="6"/>
      <c r="AB33" s="6"/>
      <c r="AG33" s="8"/>
      <c r="AH33" s="8"/>
    </row>
    <row r="34" spans="1:34" x14ac:dyDescent="0.2">
      <c r="Q34" s="7"/>
      <c r="R34" s="7"/>
      <c r="S34" s="7"/>
      <c r="T34" s="6"/>
      <c r="U34" s="6"/>
      <c r="W34" s="7"/>
      <c r="X34" s="7"/>
      <c r="Y34" s="7"/>
      <c r="Z34" s="6"/>
      <c r="AA34" s="6"/>
      <c r="AB34" s="6"/>
      <c r="AG34" s="8"/>
      <c r="AH34" s="8"/>
    </row>
    <row r="35" spans="1:34" x14ac:dyDescent="0.2">
      <c r="A35" s="1">
        <v>5000</v>
      </c>
      <c r="C35" s="6">
        <f>+T35</f>
        <v>415.46499999999992</v>
      </c>
      <c r="D35" s="6">
        <f>+Z35</f>
        <v>440.35687499999995</v>
      </c>
      <c r="E35" s="30">
        <f>+D35-C35</f>
        <v>24.891875000000027</v>
      </c>
      <c r="F35" s="56">
        <f>ROUND(+E35/C35,4)</f>
        <v>5.9900000000000002E-2</v>
      </c>
      <c r="G35" s="92">
        <f>ROUND($R$10*$A35,2)</f>
        <v>-9.0500000000000007</v>
      </c>
      <c r="H35" s="92">
        <f>ROUND($R$11*$A35,2)</f>
        <v>6.9</v>
      </c>
      <c r="I35" s="92">
        <f>ROUND($R$12*$A35,2)</f>
        <v>17.75</v>
      </c>
      <c r="J35" s="30">
        <f>+C35+G35+H35+I35</f>
        <v>431.06499999999988</v>
      </c>
      <c r="K35" s="30">
        <f>+D35+G35+H35+I35</f>
        <v>455.95687499999991</v>
      </c>
      <c r="L35" s="56">
        <f>ROUND((K35-J35)/J35,4)</f>
        <v>5.7700000000000001E-2</v>
      </c>
      <c r="Q35" s="7">
        <f>$Q$21</f>
        <v>12.25</v>
      </c>
      <c r="R35" s="6">
        <f>(+$A35*$R$39)*R$18</f>
        <v>265.14</v>
      </c>
      <c r="S35" s="6">
        <f>(+$A35*$S$39)*S$18</f>
        <v>138.07499999999996</v>
      </c>
      <c r="T35" s="6">
        <f>SUM(Q35:S35)</f>
        <v>415.46499999999992</v>
      </c>
      <c r="U35" s="6"/>
      <c r="W35" s="7">
        <f>+$W$21</f>
        <v>16.131875000000001</v>
      </c>
      <c r="X35" s="6">
        <f>(+$A35*$X$39)*X$18</f>
        <v>265.14</v>
      </c>
      <c r="Y35" s="6">
        <f>(+$A35*$Y$39)*Y$18</f>
        <v>159.08499999999995</v>
      </c>
      <c r="Z35" s="6">
        <f>SUM(W35:Y35)</f>
        <v>440.35687499999995</v>
      </c>
      <c r="AA35" s="6"/>
      <c r="AB35" s="6"/>
      <c r="AE35" s="6">
        <f>Z35-T35</f>
        <v>24.891875000000027</v>
      </c>
      <c r="AG35" s="8">
        <f>Z35/T35-1</f>
        <v>5.9913289928152924E-2</v>
      </c>
      <c r="AH35" s="8"/>
    </row>
    <row r="37" spans="1:34" x14ac:dyDescent="0.2">
      <c r="A37" s="17" t="s">
        <v>313</v>
      </c>
      <c r="Q37" s="7"/>
      <c r="R37" s="7"/>
    </row>
    <row r="38" spans="1:34" x14ac:dyDescent="0.2">
      <c r="A38" s="179" t="str">
        <f>("Average usage = "&amp;TEXT(INPUT!C19*1,"0,000")&amp;" kWh per month")</f>
        <v>Average usage = 1,142 kWh per month</v>
      </c>
    </row>
    <row r="39" spans="1:34" x14ac:dyDescent="0.2">
      <c r="A39" s="180" t="s">
        <v>314</v>
      </c>
      <c r="Q39" s="31" t="s">
        <v>271</v>
      </c>
      <c r="R39" s="53">
        <f>X39</f>
        <v>0.9</v>
      </c>
      <c r="S39" s="53">
        <f>Y39</f>
        <v>9.9999999999999978E-2</v>
      </c>
      <c r="W39" s="31" t="s">
        <v>271</v>
      </c>
      <c r="X39" s="167">
        <f>758466/(758466+84274)</f>
        <v>0.9</v>
      </c>
      <c r="Y39" s="53">
        <f>1-X39</f>
        <v>9.9999999999999978E-2</v>
      </c>
    </row>
    <row r="40" spans="1:34" x14ac:dyDescent="0.2">
      <c r="A40" s="180" t="str">
        <f>+'Rate Case Constants'!$C$26</f>
        <v>Calculations may vary from other schedules due to rounding</v>
      </c>
      <c r="X40" s="166"/>
    </row>
    <row r="42" spans="1:34" x14ac:dyDescent="0.2">
      <c r="A42" s="181"/>
    </row>
    <row r="43" spans="1:34" ht="12" customHeight="1" x14ac:dyDescent="0.2"/>
  </sheetData>
  <mergeCells count="5">
    <mergeCell ref="G15:I15"/>
    <mergeCell ref="A1:L1"/>
    <mergeCell ref="A2:L2"/>
    <mergeCell ref="A3:L3"/>
    <mergeCell ref="A4:L4"/>
  </mergeCells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M67"/>
  <sheetViews>
    <sheetView view="pageBreakPreview" zoomScaleNormal="100" zoomScaleSheetLayoutView="100" workbookViewId="0">
      <selection sqref="A1:P1"/>
    </sheetView>
  </sheetViews>
  <sheetFormatPr defaultRowHeight="12.75" x14ac:dyDescent="0.2"/>
  <cols>
    <col min="1" max="1" width="7.140625" customWidth="1"/>
    <col min="2" max="2" width="3.7109375" customWidth="1"/>
    <col min="3" max="3" width="6.5703125" customWidth="1"/>
    <col min="4" max="4" width="1.85546875" customWidth="1"/>
    <col min="5" max="5" width="9.5703125" customWidth="1"/>
    <col min="6" max="6" width="2" customWidth="1"/>
    <col min="7" max="7" width="13.42578125" bestFit="1" customWidth="1"/>
    <col min="8" max="8" width="14.7109375" customWidth="1"/>
    <col min="9" max="10" width="9.85546875" customWidth="1"/>
    <col min="11" max="11" width="10.7109375" bestFit="1" customWidth="1"/>
    <col min="12" max="12" width="11.28515625" bestFit="1" customWidth="1"/>
    <col min="13" max="13" width="12.42578125" customWidth="1"/>
    <col min="14" max="15" width="13.42578125" bestFit="1" customWidth="1"/>
    <col min="16" max="18" width="9.85546875" customWidth="1"/>
    <col min="19" max="19" width="10" customWidth="1"/>
    <col min="20" max="20" width="13.5703125" customWidth="1"/>
    <col min="21" max="21" width="12.5703125" bestFit="1" customWidth="1"/>
    <col min="22" max="22" width="12.7109375" bestFit="1" customWidth="1"/>
    <col min="23" max="23" width="12" bestFit="1" customWidth="1"/>
    <col min="24" max="24" width="13" bestFit="1" customWidth="1"/>
    <col min="25" max="25" width="3.140625" customWidth="1"/>
    <col min="26" max="26" width="14.42578125" customWidth="1"/>
    <col min="27" max="27" width="3.85546875" customWidth="1"/>
    <col min="28" max="28" width="2.42578125" customWidth="1"/>
    <col min="29" max="29" width="14.42578125" bestFit="1" customWidth="1"/>
    <col min="30" max="30" width="12.7109375" bestFit="1" customWidth="1"/>
    <col min="31" max="31" width="11.5703125" bestFit="1" customWidth="1"/>
    <col min="32" max="32" width="13.85546875" bestFit="1" customWidth="1"/>
    <col min="33" max="33" width="11.5703125" bestFit="1" customWidth="1"/>
    <col min="34" max="34" width="12.7109375" bestFit="1" customWidth="1"/>
    <col min="35" max="35" width="12.7109375" customWidth="1"/>
    <col min="36" max="36" width="11.140625" customWidth="1"/>
    <col min="37" max="37" width="11.42578125" bestFit="1" customWidth="1"/>
    <col min="38" max="38" width="10.7109375" customWidth="1"/>
    <col min="39" max="39" width="11.42578125" bestFit="1" customWidth="1"/>
  </cols>
  <sheetData>
    <row r="1" spans="1:39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39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39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</row>
    <row r="4" spans="1:39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</row>
    <row r="5" spans="1:39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2"/>
      <c r="N5" s="2"/>
      <c r="O5" s="2"/>
      <c r="P5" s="2"/>
    </row>
    <row r="6" spans="1:39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  <c r="M6" s="2"/>
      <c r="N6" s="2"/>
      <c r="O6" s="2"/>
      <c r="P6" s="2"/>
    </row>
    <row r="7" spans="1:39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"/>
      <c r="M7" s="2"/>
      <c r="N7" s="2"/>
      <c r="O7" s="2"/>
      <c r="P7" s="203" t="str">
        <f>+'Rate Case Constants'!C25</f>
        <v>SCHEDULE N</v>
      </c>
    </row>
    <row r="8" spans="1:39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"/>
      <c r="M8" s="2"/>
      <c r="N8" s="2"/>
      <c r="O8" s="2"/>
      <c r="P8" s="202" t="str">
        <f>+'Rate Case Constants'!L10</f>
        <v>PAGE 3 of 24</v>
      </c>
    </row>
    <row r="9" spans="1:39" x14ac:dyDescent="0.2">
      <c r="A9" s="207" t="str">
        <f>+'Rate Case Constants'!C34</f>
        <v>WORKPAPER REFERENCE NO(S):________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10"/>
      <c r="M9" s="210"/>
      <c r="N9" s="210"/>
      <c r="O9" s="210"/>
      <c r="P9" s="208" t="str">
        <f>+'Rate Case Constants'!C36</f>
        <v>WITNESS:   R. M. CONROY</v>
      </c>
      <c r="T9" s="17" t="s">
        <v>504</v>
      </c>
    </row>
    <row r="10" spans="1:39" x14ac:dyDescent="0.2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S10" s="85" t="s">
        <v>71</v>
      </c>
      <c r="T10" s="85">
        <f>INPUT!K54</f>
        <v>-1.8104925406989172E-3</v>
      </c>
    </row>
    <row r="11" spans="1:39" x14ac:dyDescent="0.2">
      <c r="A11" s="126" t="s">
        <v>338</v>
      </c>
      <c r="S11" s="85" t="s">
        <v>73</v>
      </c>
      <c r="T11" s="85">
        <f>INPUT!L54</f>
        <v>1.3808918023313487E-3</v>
      </c>
    </row>
    <row r="12" spans="1:39" x14ac:dyDescent="0.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5" t="s">
        <v>72</v>
      </c>
      <c r="T12" s="85">
        <f>INPUT!M54</f>
        <v>3.5500713871402462E-3</v>
      </c>
    </row>
    <row r="13" spans="1:39" x14ac:dyDescent="0.2">
      <c r="A13" s="44" t="s">
        <v>66</v>
      </c>
      <c r="G13" s="87" t="s">
        <v>303</v>
      </c>
      <c r="H13" s="88" t="s">
        <v>304</v>
      </c>
      <c r="I13" s="88" t="s">
        <v>305</v>
      </c>
      <c r="J13" s="87" t="s">
        <v>306</v>
      </c>
      <c r="K13" s="87" t="s">
        <v>307</v>
      </c>
      <c r="L13" s="87" t="s">
        <v>308</v>
      </c>
      <c r="M13" s="87" t="s">
        <v>309</v>
      </c>
      <c r="N13" s="87" t="s">
        <v>310</v>
      </c>
      <c r="O13" s="87" t="s">
        <v>311</v>
      </c>
      <c r="P13" s="87" t="s">
        <v>312</v>
      </c>
      <c r="U13" s="3" t="s">
        <v>1</v>
      </c>
      <c r="V13" s="3" t="s">
        <v>1</v>
      </c>
      <c r="W13" s="3" t="s">
        <v>1</v>
      </c>
      <c r="Z13" s="3" t="s">
        <v>72</v>
      </c>
      <c r="AD13" s="21"/>
      <c r="AE13" s="22" t="s">
        <v>9</v>
      </c>
      <c r="AF13" s="22" t="s">
        <v>9</v>
      </c>
      <c r="AG13" s="22" t="s">
        <v>9</v>
      </c>
      <c r="AH13" s="21"/>
      <c r="AI13" s="3" t="s">
        <v>72</v>
      </c>
    </row>
    <row r="14" spans="1:39" x14ac:dyDescent="0.2">
      <c r="G14" s="200" t="s">
        <v>327</v>
      </c>
      <c r="H14" s="200" t="s">
        <v>327</v>
      </c>
      <c r="K14" s="17"/>
      <c r="L14" s="17"/>
      <c r="M14" s="17"/>
      <c r="N14" s="3" t="s">
        <v>5</v>
      </c>
      <c r="O14" s="3" t="s">
        <v>5</v>
      </c>
      <c r="S14" s="3" t="s">
        <v>1</v>
      </c>
      <c r="T14" s="3" t="s">
        <v>1</v>
      </c>
      <c r="U14" s="23" t="s">
        <v>85</v>
      </c>
      <c r="V14" s="22" t="s">
        <v>30</v>
      </c>
      <c r="W14" s="22" t="s">
        <v>86</v>
      </c>
      <c r="X14" s="3" t="s">
        <v>1</v>
      </c>
      <c r="Y14" s="3"/>
      <c r="Z14" s="3" t="s">
        <v>1</v>
      </c>
      <c r="AC14" s="3" t="s">
        <v>9</v>
      </c>
      <c r="AD14" s="3" t="s">
        <v>9</v>
      </c>
      <c r="AE14" s="23" t="s">
        <v>85</v>
      </c>
      <c r="AF14" s="22" t="s">
        <v>30</v>
      </c>
      <c r="AG14" s="22" t="s">
        <v>86</v>
      </c>
      <c r="AH14" s="22" t="s">
        <v>9</v>
      </c>
      <c r="AI14" s="3" t="s">
        <v>1</v>
      </c>
      <c r="AK14" s="3"/>
    </row>
    <row r="15" spans="1:39" x14ac:dyDescent="0.2">
      <c r="C15" s="3" t="s">
        <v>23</v>
      </c>
      <c r="E15" s="3"/>
      <c r="F15" s="3"/>
      <c r="G15" s="3" t="s">
        <v>1</v>
      </c>
      <c r="H15" s="3" t="s">
        <v>74</v>
      </c>
      <c r="I15" s="3"/>
      <c r="J15" s="3"/>
      <c r="K15" s="392" t="s">
        <v>251</v>
      </c>
      <c r="L15" s="392"/>
      <c r="M15" s="393"/>
      <c r="N15" s="3" t="s">
        <v>1</v>
      </c>
      <c r="O15" s="3" t="s">
        <v>74</v>
      </c>
      <c r="P15" s="3"/>
      <c r="Q15" s="3"/>
      <c r="R15" s="3"/>
      <c r="S15" s="3" t="s">
        <v>2</v>
      </c>
      <c r="T15" s="3" t="s">
        <v>56</v>
      </c>
      <c r="U15" s="22" t="s">
        <v>25</v>
      </c>
      <c r="V15" s="22" t="s">
        <v>25</v>
      </c>
      <c r="W15" s="22" t="s">
        <v>18</v>
      </c>
      <c r="X15" s="3" t="s">
        <v>5</v>
      </c>
      <c r="Y15" s="3"/>
      <c r="Z15" s="3" t="s">
        <v>76</v>
      </c>
      <c r="AC15" s="27" t="s">
        <v>55</v>
      </c>
      <c r="AD15" s="3" t="s">
        <v>56</v>
      </c>
      <c r="AE15" s="22" t="s">
        <v>25</v>
      </c>
      <c r="AF15" s="22" t="s">
        <v>25</v>
      </c>
      <c r="AG15" s="22" t="s">
        <v>18</v>
      </c>
      <c r="AH15" s="22" t="s">
        <v>5</v>
      </c>
      <c r="AI15" s="3" t="s">
        <v>76</v>
      </c>
      <c r="AK15" s="3" t="s">
        <v>6</v>
      </c>
      <c r="AL15" s="3"/>
      <c r="AM15" s="3" t="s">
        <v>8</v>
      </c>
    </row>
    <row r="16" spans="1:39" x14ac:dyDescent="0.2">
      <c r="A16" s="3" t="s">
        <v>20</v>
      </c>
      <c r="C16" s="3" t="s">
        <v>24</v>
      </c>
      <c r="E16" s="3" t="s">
        <v>0</v>
      </c>
      <c r="F16" s="3"/>
      <c r="G16" s="3" t="s">
        <v>4</v>
      </c>
      <c r="H16" s="3" t="s">
        <v>4</v>
      </c>
      <c r="I16" s="3" t="s">
        <v>75</v>
      </c>
      <c r="J16" s="3" t="s">
        <v>75</v>
      </c>
      <c r="K16" s="87" t="s">
        <v>337</v>
      </c>
      <c r="L16" s="87" t="s">
        <v>73</v>
      </c>
      <c r="M16" s="87" t="s">
        <v>72</v>
      </c>
      <c r="N16" s="3" t="s">
        <v>4</v>
      </c>
      <c r="O16" s="3" t="s">
        <v>4</v>
      </c>
      <c r="P16" s="3" t="s">
        <v>75</v>
      </c>
      <c r="Q16" s="3"/>
      <c r="R16" s="3"/>
      <c r="S16" s="27" t="s">
        <v>3</v>
      </c>
      <c r="T16" s="3" t="s">
        <v>3</v>
      </c>
      <c r="U16" s="22" t="s">
        <v>3</v>
      </c>
      <c r="V16" s="22" t="s">
        <v>3</v>
      </c>
      <c r="W16" s="22" t="s">
        <v>3</v>
      </c>
      <c r="X16" s="3" t="s">
        <v>4</v>
      </c>
      <c r="Y16" s="3"/>
      <c r="Z16" s="3" t="s">
        <v>3</v>
      </c>
      <c r="AC16" s="27" t="s">
        <v>3</v>
      </c>
      <c r="AD16" s="3" t="s">
        <v>3</v>
      </c>
      <c r="AE16" s="22" t="s">
        <v>3</v>
      </c>
      <c r="AF16" s="22" t="s">
        <v>3</v>
      </c>
      <c r="AG16" s="22" t="s">
        <v>3</v>
      </c>
      <c r="AH16" s="22" t="s">
        <v>4</v>
      </c>
      <c r="AI16" s="3" t="s">
        <v>3</v>
      </c>
      <c r="AK16" s="3" t="s">
        <v>7</v>
      </c>
      <c r="AL16" s="3"/>
      <c r="AM16" s="3" t="s">
        <v>7</v>
      </c>
    </row>
    <row r="17" spans="1:39" x14ac:dyDescent="0.2">
      <c r="A17" s="3"/>
      <c r="C17" s="3"/>
      <c r="E17" s="3"/>
      <c r="F17" s="3"/>
      <c r="G17" s="3" t="s">
        <v>84</v>
      </c>
      <c r="H17" s="3"/>
      <c r="I17" s="3" t="s">
        <v>69</v>
      </c>
      <c r="J17" s="27" t="s">
        <v>70</v>
      </c>
      <c r="K17" s="90"/>
      <c r="L17" s="90"/>
      <c r="M17" s="91"/>
      <c r="N17" s="3" t="s">
        <v>69</v>
      </c>
      <c r="O17" s="3" t="s">
        <v>69</v>
      </c>
      <c r="P17" s="27" t="s">
        <v>70</v>
      </c>
      <c r="Q17" s="3"/>
      <c r="R17" s="3"/>
      <c r="S17" s="27"/>
      <c r="T17" s="42">
        <f>+INPUT!$D$6</f>
        <v>4.478E-2</v>
      </c>
      <c r="U17" s="43">
        <f>+INPUT!$D$13</f>
        <v>7.87</v>
      </c>
      <c r="V17" s="43">
        <v>0</v>
      </c>
      <c r="W17" s="43">
        <f>+INPUT!$D$15</f>
        <v>3.44</v>
      </c>
      <c r="X17" s="3"/>
      <c r="Y17" s="3"/>
      <c r="Z17" s="42"/>
      <c r="AC17" s="27"/>
      <c r="AD17" s="42">
        <f>+INPUT!$D$27</f>
        <v>4.478E-2</v>
      </c>
      <c r="AE17" s="43">
        <f>+INPUT!$D$34</f>
        <v>8.9</v>
      </c>
      <c r="AF17" s="43">
        <v>0</v>
      </c>
      <c r="AG17" s="43">
        <f>+INPUT!$D$36</f>
        <v>3.44</v>
      </c>
      <c r="AH17" s="22"/>
      <c r="AI17" s="42"/>
      <c r="AK17" s="3"/>
      <c r="AL17" s="3"/>
      <c r="AM17" s="3"/>
    </row>
    <row r="18" spans="1:39" x14ac:dyDescent="0.2">
      <c r="A18" s="16"/>
      <c r="B18" s="16"/>
      <c r="C18" s="82"/>
      <c r="D18" s="16"/>
      <c r="E18" s="82"/>
      <c r="F18" s="82"/>
      <c r="G18" s="82"/>
      <c r="H18" s="82"/>
      <c r="I18" s="204" t="str">
        <f>("[ "&amp;H13&amp;" - "&amp;G13&amp;" ]")</f>
        <v>[ B - A ]</v>
      </c>
      <c r="J18" s="204" t="str">
        <f>("[ "&amp;I13&amp;" / "&amp;G13&amp;" ]")</f>
        <v>[ C / A ]</v>
      </c>
      <c r="K18" s="205"/>
      <c r="L18" s="205"/>
      <c r="M18" s="205"/>
      <c r="N18" s="204" t="str">
        <f>("["&amp;G13&amp;"+"&amp;$K$13&amp;"+"&amp;$L$13&amp;"+"&amp;$M$13&amp;"]")</f>
        <v>[A+E+F+G]</v>
      </c>
      <c r="O18" s="204" t="str">
        <f>("["&amp;H13&amp;"+"&amp;$K$13&amp;"+"&amp;$L$13&amp;"+"&amp;$M$13&amp;"]")</f>
        <v>[B+E+F+G]</v>
      </c>
      <c r="P18" s="204" t="str">
        <f>("[("&amp;O13&amp;" - "&amp;N13&amp;")/"&amp;N13&amp;"]")</f>
        <v>[(I - H)/H]</v>
      </c>
      <c r="Q18" s="3"/>
      <c r="R18" s="3"/>
      <c r="T18" s="27" t="s">
        <v>14</v>
      </c>
      <c r="U18" s="27" t="s">
        <v>19</v>
      </c>
      <c r="V18" s="27" t="s">
        <v>19</v>
      </c>
      <c r="W18" s="27" t="s">
        <v>19</v>
      </c>
      <c r="X18" s="3"/>
      <c r="Y18" s="3"/>
      <c r="Z18" s="27"/>
      <c r="AC18" s="27"/>
      <c r="AD18" s="27" t="s">
        <v>14</v>
      </c>
      <c r="AE18" s="27" t="s">
        <v>19</v>
      </c>
      <c r="AF18" s="27" t="s">
        <v>19</v>
      </c>
      <c r="AG18" s="27" t="s">
        <v>19</v>
      </c>
      <c r="AH18" s="22"/>
      <c r="AI18" s="27"/>
      <c r="AK18" s="3"/>
      <c r="AL18" s="3"/>
      <c r="AM18" s="3"/>
    </row>
    <row r="19" spans="1:39" x14ac:dyDescent="0.2"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3"/>
      <c r="V19" s="3"/>
      <c r="W19" s="3"/>
      <c r="X19" s="3"/>
      <c r="Y19" s="3"/>
      <c r="AC19" s="27"/>
      <c r="AD19" s="3"/>
      <c r="AE19" s="22"/>
      <c r="AF19" s="22"/>
      <c r="AG19" s="22"/>
      <c r="AH19" s="22"/>
      <c r="AK19" s="3"/>
      <c r="AL19" s="3"/>
      <c r="AM19" s="3"/>
    </row>
    <row r="20" spans="1:39" x14ac:dyDescent="0.2">
      <c r="A20" s="1">
        <v>2</v>
      </c>
      <c r="B20" s="1"/>
      <c r="C20" s="13">
        <v>0.3</v>
      </c>
      <c r="E20" s="1">
        <f>C20*($A$20*730)</f>
        <v>438</v>
      </c>
      <c r="F20" s="1"/>
      <c r="G20" s="30">
        <f>+X20</f>
        <v>54.483640000000001</v>
      </c>
      <c r="H20" s="30">
        <f>+AH20</f>
        <v>60.425514999999997</v>
      </c>
      <c r="I20" s="30">
        <f>+H20-G20</f>
        <v>5.941874999999996</v>
      </c>
      <c r="J20" s="56">
        <f>ROUND(+I20/G20,4)</f>
        <v>0.1091</v>
      </c>
      <c r="K20" s="92">
        <f>ROUND($T$10*$E20,2)</f>
        <v>-0.79</v>
      </c>
      <c r="L20" s="92">
        <f>ROUND($T$11*$E20,2)</f>
        <v>0.6</v>
      </c>
      <c r="M20" s="92">
        <f>ROUND($T$12*$E20,2)</f>
        <v>1.55</v>
      </c>
      <c r="N20" s="30">
        <f>+G20+K20+L20+M20</f>
        <v>55.843640000000001</v>
      </c>
      <c r="O20" s="30">
        <f>+H20+K20+L20+M20</f>
        <v>61.785514999999997</v>
      </c>
      <c r="P20" s="56">
        <f>ROUND((O20-N20)/N20,4)</f>
        <v>0.10639999999999999</v>
      </c>
      <c r="Q20" s="1"/>
      <c r="S20" s="7">
        <f>+INPUT!$D$4</f>
        <v>12.25</v>
      </c>
      <c r="T20" s="21">
        <f>$T$17*E20</f>
        <v>19.61364</v>
      </c>
      <c r="U20" s="21">
        <f>$U$17*$A$20</f>
        <v>15.74</v>
      </c>
      <c r="V20" s="21">
        <f>$V$17*$A$20</f>
        <v>0</v>
      </c>
      <c r="W20" s="21">
        <f>$W$17*$A$20</f>
        <v>6.88</v>
      </c>
      <c r="X20" s="26">
        <f>S20+T20+U20+V20+W20</f>
        <v>54.483640000000001</v>
      </c>
      <c r="Y20" s="26"/>
      <c r="Z20" s="21"/>
      <c r="AC20" s="7">
        <f>INPUT!$D$25</f>
        <v>16.131875000000001</v>
      </c>
      <c r="AD20" s="21">
        <f>$AD$17*E20</f>
        <v>19.61364</v>
      </c>
      <c r="AE20" s="21">
        <f>$A$20*$AE$17</f>
        <v>17.8</v>
      </c>
      <c r="AF20" s="21">
        <f>$A$20*$AF$17</f>
        <v>0</v>
      </c>
      <c r="AG20" s="21">
        <f>$A$20*$AG$17</f>
        <v>6.88</v>
      </c>
      <c r="AH20" s="26">
        <f>AC20+AD20+AE20+AF20+AG20</f>
        <v>60.425514999999997</v>
      </c>
      <c r="AI20" s="21"/>
      <c r="AJ20" s="17"/>
      <c r="AK20" s="7">
        <f>AH20-X20</f>
        <v>5.941874999999996</v>
      </c>
      <c r="AM20" s="18">
        <f>AH20/X20-1</f>
        <v>0.10905796675846169</v>
      </c>
    </row>
    <row r="21" spans="1:39" x14ac:dyDescent="0.2">
      <c r="C21" s="13">
        <v>0.5</v>
      </c>
      <c r="E21" s="1">
        <f>C21*($A$20*730)</f>
        <v>730</v>
      </c>
      <c r="F21" s="1"/>
      <c r="G21" s="30">
        <f t="shared" ref="G21:G38" si="0">+X21</f>
        <v>67.559399999999997</v>
      </c>
      <c r="H21" s="30">
        <f>+AH21</f>
        <v>73.501274999999993</v>
      </c>
      <c r="I21" s="30">
        <f>+H21-G21</f>
        <v>5.941874999999996</v>
      </c>
      <c r="J21" s="56">
        <f>ROUND(+I21/G21,4)</f>
        <v>8.7999999999999995E-2</v>
      </c>
      <c r="K21" s="92">
        <f>ROUND($T$10*$E21,2)</f>
        <v>-1.32</v>
      </c>
      <c r="L21" s="92">
        <f>ROUND($T$11*$E21,2)</f>
        <v>1.01</v>
      </c>
      <c r="M21" s="92">
        <f>ROUND($T$12*$E21,2)</f>
        <v>2.59</v>
      </c>
      <c r="N21" s="30">
        <f>+G21+K21+L21+M21</f>
        <v>69.839400000000012</v>
      </c>
      <c r="O21" s="30">
        <f>+H21+K21+L21+M21</f>
        <v>75.781275000000008</v>
      </c>
      <c r="P21" s="56">
        <f>ROUND((O21-N21)/N21,4)</f>
        <v>8.5099999999999995E-2</v>
      </c>
      <c r="Q21" s="1"/>
      <c r="S21" s="7">
        <f>$S$20</f>
        <v>12.25</v>
      </c>
      <c r="T21" s="21">
        <f>$T$17*E21</f>
        <v>32.689399999999999</v>
      </c>
      <c r="U21" s="21">
        <f>$U$17*$A$20</f>
        <v>15.74</v>
      </c>
      <c r="V21" s="21">
        <f>$V$17*$A$20</f>
        <v>0</v>
      </c>
      <c r="W21" s="21">
        <f>$W$17*$A$20</f>
        <v>6.88</v>
      </c>
      <c r="X21" s="26">
        <f>S21+T21+U21+V21+W21</f>
        <v>67.559399999999997</v>
      </c>
      <c r="Y21" s="26"/>
      <c r="Z21" s="21"/>
      <c r="AC21" s="7">
        <f>$AC$20</f>
        <v>16.131875000000001</v>
      </c>
      <c r="AD21" s="21">
        <f>$AD$17*E21</f>
        <v>32.689399999999999</v>
      </c>
      <c r="AE21" s="21">
        <f>$A$20*$AE$17</f>
        <v>17.8</v>
      </c>
      <c r="AF21" s="21">
        <f>$A$20*$AF$17</f>
        <v>0</v>
      </c>
      <c r="AG21" s="21">
        <f>$A$20*$AG$17</f>
        <v>6.88</v>
      </c>
      <c r="AH21" s="26">
        <f>AC21+AD21+AE21+AF21+AG21</f>
        <v>73.501274999999993</v>
      </c>
      <c r="AI21" s="21"/>
      <c r="AJ21" s="17"/>
      <c r="AK21" s="7">
        <f>AH21-X21</f>
        <v>5.941874999999996</v>
      </c>
      <c r="AM21" s="18">
        <f>AH21/X21-1</f>
        <v>8.795038144210876E-2</v>
      </c>
    </row>
    <row r="22" spans="1:39" x14ac:dyDescent="0.2">
      <c r="C22" s="13">
        <v>0.7</v>
      </c>
      <c r="E22" s="1">
        <f>C22*($A$20*730)</f>
        <v>1021.9999999999999</v>
      </c>
      <c r="F22" s="1"/>
      <c r="G22" s="30">
        <f t="shared" si="0"/>
        <v>80.635159999999985</v>
      </c>
      <c r="H22" s="30">
        <f>+AH22</f>
        <v>86.577034999999995</v>
      </c>
      <c r="I22" s="30">
        <f>+H22-G22</f>
        <v>5.9418750000000102</v>
      </c>
      <c r="J22" s="56">
        <f>ROUND(+I22/G22,4)</f>
        <v>7.3700000000000002E-2</v>
      </c>
      <c r="K22" s="92">
        <f>ROUND($T$10*$E22,2)</f>
        <v>-1.85</v>
      </c>
      <c r="L22" s="92">
        <f>ROUND($T$11*$E22,2)</f>
        <v>1.41</v>
      </c>
      <c r="M22" s="92">
        <f>ROUND($T$12*$E22,2)</f>
        <v>3.63</v>
      </c>
      <c r="N22" s="30">
        <f>+G22+K22+L22+M22</f>
        <v>83.825159999999983</v>
      </c>
      <c r="O22" s="30">
        <f>+H22+K22+L22+M22</f>
        <v>89.767034999999993</v>
      </c>
      <c r="P22" s="56">
        <f>ROUND((O22-N22)/N22,4)</f>
        <v>7.0900000000000005E-2</v>
      </c>
      <c r="Q22" s="1"/>
      <c r="S22" s="7">
        <f>$S$20</f>
        <v>12.25</v>
      </c>
      <c r="T22" s="21">
        <f>$T$17*E22</f>
        <v>45.765159999999995</v>
      </c>
      <c r="U22" s="21">
        <f>$U$17*$A$20</f>
        <v>15.74</v>
      </c>
      <c r="V22" s="21">
        <f>$V$17*$A$20</f>
        <v>0</v>
      </c>
      <c r="W22" s="21">
        <f>$W$17*$A$20</f>
        <v>6.88</v>
      </c>
      <c r="X22" s="26">
        <f>S22+T22+U22+V22+W22</f>
        <v>80.635159999999985</v>
      </c>
      <c r="Y22" s="26"/>
      <c r="Z22" s="21"/>
      <c r="AC22" s="7">
        <f>$AC$20</f>
        <v>16.131875000000001</v>
      </c>
      <c r="AD22" s="21">
        <f>$AD$17*E22</f>
        <v>45.765159999999995</v>
      </c>
      <c r="AE22" s="21">
        <f>$A$20*$AE$17</f>
        <v>17.8</v>
      </c>
      <c r="AF22" s="21">
        <f>$A$20*$AF$17</f>
        <v>0</v>
      </c>
      <c r="AG22" s="21">
        <f>$A$20*$AG$17</f>
        <v>6.88</v>
      </c>
      <c r="AH22" s="26">
        <f>AC22+AD22+AE22+AF22+AG22</f>
        <v>86.577034999999995</v>
      </c>
      <c r="AI22" s="21"/>
      <c r="AJ22" s="17"/>
      <c r="AK22" s="7">
        <f>AH22-X22</f>
        <v>5.9418750000000102</v>
      </c>
      <c r="AM22" s="18">
        <f>AH22/X22-1</f>
        <v>7.3688388539193239E-2</v>
      </c>
    </row>
    <row r="23" spans="1:39" x14ac:dyDescent="0.2">
      <c r="C23" s="13"/>
      <c r="E23" s="1"/>
      <c r="F23" s="1"/>
      <c r="G23" s="30"/>
      <c r="H23" s="30"/>
      <c r="J23" s="5"/>
      <c r="K23" s="1"/>
      <c r="L23" s="1"/>
      <c r="M23" s="1"/>
      <c r="P23" s="56"/>
      <c r="Q23" s="1"/>
      <c r="S23" s="7"/>
      <c r="T23" s="21"/>
      <c r="U23" s="21"/>
      <c r="V23" s="21"/>
      <c r="W23" s="21"/>
      <c r="X23" s="26"/>
      <c r="Y23" s="26"/>
      <c r="AC23" s="7"/>
      <c r="AD23" s="21"/>
      <c r="AE23" s="21"/>
      <c r="AF23" s="21"/>
      <c r="AG23" s="21"/>
      <c r="AH23" s="26"/>
      <c r="AJ23" s="17"/>
      <c r="AK23" s="6"/>
      <c r="AM23" s="6"/>
    </row>
    <row r="24" spans="1:39" x14ac:dyDescent="0.2">
      <c r="A24" s="1">
        <v>5</v>
      </c>
      <c r="B24" s="1"/>
      <c r="C24" s="13">
        <v>0.3</v>
      </c>
      <c r="E24" s="1">
        <f>C24*($A$24*730)</f>
        <v>1095</v>
      </c>
      <c r="F24" s="1"/>
      <c r="G24" s="30">
        <f t="shared" si="0"/>
        <v>117.83410000000001</v>
      </c>
      <c r="H24" s="30">
        <f>+AH24</f>
        <v>126.86597500000001</v>
      </c>
      <c r="I24" s="30">
        <f>+H24-G24</f>
        <v>9.0318749999999994</v>
      </c>
      <c r="J24" s="56">
        <f>ROUND(+I24/G24,4)</f>
        <v>7.6600000000000001E-2</v>
      </c>
      <c r="K24" s="92">
        <f>ROUND($T$10*$E24,2)</f>
        <v>-1.98</v>
      </c>
      <c r="L24" s="92">
        <f>ROUND($T$11*$E24,2)</f>
        <v>1.51</v>
      </c>
      <c r="M24" s="92">
        <f>ROUND($T$12*$E24,2)</f>
        <v>3.89</v>
      </c>
      <c r="N24" s="30">
        <f>+G24+K24+L24+M24</f>
        <v>121.25410000000001</v>
      </c>
      <c r="O24" s="30">
        <f>+H24+K24+L24+M24</f>
        <v>130.28597500000001</v>
      </c>
      <c r="P24" s="56">
        <f>ROUND((O24-N24)/N24,4)</f>
        <v>7.4499999999999997E-2</v>
      </c>
      <c r="Q24" s="1"/>
      <c r="S24" s="7">
        <f>$S$20</f>
        <v>12.25</v>
      </c>
      <c r="T24" s="21">
        <f>$T$17*E24</f>
        <v>49.034100000000002</v>
      </c>
      <c r="U24" s="21">
        <f>$U$17*$A$24</f>
        <v>39.35</v>
      </c>
      <c r="V24" s="21">
        <f>$V$17*$A$24</f>
        <v>0</v>
      </c>
      <c r="W24" s="21">
        <f>$W$17*$A$24</f>
        <v>17.2</v>
      </c>
      <c r="X24" s="26">
        <f>S24+T24+U24+V24+W24</f>
        <v>117.83410000000001</v>
      </c>
      <c r="Y24" s="26"/>
      <c r="Z24" s="21"/>
      <c r="AC24" s="7">
        <f>$AC$20</f>
        <v>16.131875000000001</v>
      </c>
      <c r="AD24" s="21">
        <f>$AD$17*E24</f>
        <v>49.034100000000002</v>
      </c>
      <c r="AE24" s="21">
        <f>$A$24*$AE$17</f>
        <v>44.5</v>
      </c>
      <c r="AF24" s="21">
        <f>$A$24*$AF$17</f>
        <v>0</v>
      </c>
      <c r="AG24" s="21">
        <f>$A$24*$AG$17</f>
        <v>17.2</v>
      </c>
      <c r="AH24" s="26">
        <f>AC24+AD24+AE24+AF24+AG24</f>
        <v>126.86597500000001</v>
      </c>
      <c r="AI24" s="21"/>
      <c r="AJ24" s="17"/>
      <c r="AK24" s="7">
        <f>AH24-X24</f>
        <v>9.0318749999999994</v>
      </c>
      <c r="AL24" s="10"/>
      <c r="AM24" s="18">
        <f>AH24/X24-1</f>
        <v>7.6649076964987239E-2</v>
      </c>
    </row>
    <row r="25" spans="1:39" x14ac:dyDescent="0.2">
      <c r="C25" s="13">
        <v>0.5</v>
      </c>
      <c r="E25" s="1">
        <f>C25*($A$24*730)</f>
        <v>1825</v>
      </c>
      <c r="F25" s="1"/>
      <c r="G25" s="30">
        <f t="shared" si="0"/>
        <v>150.52349999999998</v>
      </c>
      <c r="H25" s="30">
        <f>+AH25</f>
        <v>159.555375</v>
      </c>
      <c r="I25" s="30">
        <f>+H25-G25</f>
        <v>9.0318750000000136</v>
      </c>
      <c r="J25" s="56">
        <f>ROUND(+I25/G25,4)</f>
        <v>0.06</v>
      </c>
      <c r="K25" s="92">
        <f>ROUND($T$10*$E25,2)</f>
        <v>-3.3</v>
      </c>
      <c r="L25" s="92">
        <f>ROUND($T$11*$E25,2)</f>
        <v>2.52</v>
      </c>
      <c r="M25" s="92">
        <f>ROUND($T$12*$E25,2)</f>
        <v>6.48</v>
      </c>
      <c r="N25" s="30">
        <f>+G25+K25+L25+M25</f>
        <v>156.22349999999997</v>
      </c>
      <c r="O25" s="30">
        <f>+H25+K25+L25+M25</f>
        <v>165.25537499999999</v>
      </c>
      <c r="P25" s="56">
        <f>ROUND((O25-N25)/N25,4)</f>
        <v>5.7799999999999997E-2</v>
      </c>
      <c r="Q25" s="1"/>
      <c r="S25" s="7">
        <f>$S$20</f>
        <v>12.25</v>
      </c>
      <c r="T25" s="21">
        <f>$T$17*E25</f>
        <v>81.723500000000001</v>
      </c>
      <c r="U25" s="21">
        <f>$U$17*$A$24</f>
        <v>39.35</v>
      </c>
      <c r="V25" s="21">
        <f>$V$17*$A$24</f>
        <v>0</v>
      </c>
      <c r="W25" s="21">
        <f>$W$17*$A$24</f>
        <v>17.2</v>
      </c>
      <c r="X25" s="26">
        <f>S25+T25+U25+V25+W25</f>
        <v>150.52349999999998</v>
      </c>
      <c r="Y25" s="26"/>
      <c r="Z25" s="21"/>
      <c r="AC25" s="7">
        <f>$AC$20</f>
        <v>16.131875000000001</v>
      </c>
      <c r="AD25" s="21">
        <f>$AD$17*E25</f>
        <v>81.723500000000001</v>
      </c>
      <c r="AE25" s="21">
        <f>$A$24*$AE$17</f>
        <v>44.5</v>
      </c>
      <c r="AF25" s="21">
        <f>$A$24*$AF$17</f>
        <v>0</v>
      </c>
      <c r="AG25" s="21">
        <f>$A$24*$AG$17</f>
        <v>17.2</v>
      </c>
      <c r="AH25" s="26">
        <f>AC25+AD25+AE25+AF25+AG25</f>
        <v>159.555375</v>
      </c>
      <c r="AI25" s="21"/>
      <c r="AJ25" s="17"/>
      <c r="AK25" s="7">
        <f>AH25-X25</f>
        <v>9.0318750000000136</v>
      </c>
      <c r="AL25" s="10"/>
      <c r="AM25" s="18">
        <f>AH25/X25-1</f>
        <v>6.0003089218627181E-2</v>
      </c>
    </row>
    <row r="26" spans="1:39" x14ac:dyDescent="0.2">
      <c r="C26" s="13">
        <v>0.7</v>
      </c>
      <c r="E26" s="1">
        <f>C26*($A$24*730)</f>
        <v>2555</v>
      </c>
      <c r="F26" s="1"/>
      <c r="G26" s="30">
        <f t="shared" si="0"/>
        <v>183.21289999999999</v>
      </c>
      <c r="H26" s="30">
        <f>+AH26</f>
        <v>192.244775</v>
      </c>
      <c r="I26" s="30">
        <f>+H26-G26</f>
        <v>9.0318750000000136</v>
      </c>
      <c r="J26" s="56">
        <f>ROUND(+I26/G26,4)</f>
        <v>4.9299999999999997E-2</v>
      </c>
      <c r="K26" s="92">
        <f>ROUND($T$10*$E26,2)</f>
        <v>-4.63</v>
      </c>
      <c r="L26" s="92">
        <f>ROUND($T$11*$E26,2)</f>
        <v>3.53</v>
      </c>
      <c r="M26" s="92">
        <f>ROUND($T$12*$E26,2)</f>
        <v>9.07</v>
      </c>
      <c r="N26" s="30">
        <f>+G26+K26+L26+M26</f>
        <v>191.18289999999999</v>
      </c>
      <c r="O26" s="30">
        <f>+H26+K26+L26+M26</f>
        <v>200.214775</v>
      </c>
      <c r="P26" s="56">
        <f>ROUND((O26-N26)/N26,4)</f>
        <v>4.7199999999999999E-2</v>
      </c>
      <c r="Q26" s="1"/>
      <c r="S26" s="7">
        <f>$S$20</f>
        <v>12.25</v>
      </c>
      <c r="T26" s="21">
        <f>$T$17*E26</f>
        <v>114.41290000000001</v>
      </c>
      <c r="U26" s="21">
        <f>$U$17*$A$24</f>
        <v>39.35</v>
      </c>
      <c r="V26" s="21">
        <f>$V$17*$A$24</f>
        <v>0</v>
      </c>
      <c r="W26" s="21">
        <f>$W$17*$A$24</f>
        <v>17.2</v>
      </c>
      <c r="X26" s="26">
        <f>S26+T26+U26+V26+W26</f>
        <v>183.21289999999999</v>
      </c>
      <c r="Y26" s="26"/>
      <c r="Z26" s="21"/>
      <c r="AC26" s="7">
        <f>$AC$20</f>
        <v>16.131875000000001</v>
      </c>
      <c r="AD26" s="21">
        <f>$AD$17*E26</f>
        <v>114.41290000000001</v>
      </c>
      <c r="AE26" s="21">
        <f>$A$24*$AE$17</f>
        <v>44.5</v>
      </c>
      <c r="AF26" s="21">
        <f>$A$24*$AF$17</f>
        <v>0</v>
      </c>
      <c r="AG26" s="21">
        <f>$A$24*$AG$17</f>
        <v>17.2</v>
      </c>
      <c r="AH26" s="26">
        <f>AC26+AD26+AE26+AF26+AG26</f>
        <v>192.244775</v>
      </c>
      <c r="AI26" s="21"/>
      <c r="AJ26" s="17"/>
      <c r="AK26" s="7">
        <f>AH26-X26</f>
        <v>9.0318750000000136</v>
      </c>
      <c r="AM26" s="18">
        <f>AH26/X26-1</f>
        <v>4.9297156477518866E-2</v>
      </c>
    </row>
    <row r="27" spans="1:39" x14ac:dyDescent="0.2">
      <c r="C27" s="13"/>
      <c r="E27" s="1"/>
      <c r="F27" s="1"/>
      <c r="G27" s="30"/>
      <c r="H27" s="30"/>
      <c r="J27" s="5"/>
      <c r="K27" s="1"/>
      <c r="L27" s="1"/>
      <c r="M27" s="1"/>
      <c r="P27" s="56"/>
      <c r="Q27" s="1"/>
      <c r="S27" s="7"/>
      <c r="T27" s="21"/>
      <c r="U27" s="21"/>
      <c r="V27" s="21"/>
      <c r="W27" s="21"/>
      <c r="X27" s="26"/>
      <c r="Y27" s="26"/>
      <c r="AC27" s="7"/>
      <c r="AD27" s="21"/>
      <c r="AE27" s="21"/>
      <c r="AF27" s="21"/>
      <c r="AG27" s="21"/>
      <c r="AH27" s="26"/>
      <c r="AJ27" s="17"/>
      <c r="AK27" s="6"/>
      <c r="AM27" s="6"/>
    </row>
    <row r="28" spans="1:39" x14ac:dyDescent="0.2">
      <c r="A28" s="1">
        <v>7</v>
      </c>
      <c r="B28" s="1"/>
      <c r="C28" s="13">
        <v>0.3</v>
      </c>
      <c r="E28" s="1">
        <f>C28*($A$28*730)</f>
        <v>1533</v>
      </c>
      <c r="F28" s="1"/>
      <c r="G28" s="30">
        <f t="shared" si="0"/>
        <v>160.06774000000001</v>
      </c>
      <c r="H28" s="30">
        <f>+AH28</f>
        <v>171.15961500000003</v>
      </c>
      <c r="I28" s="30">
        <f>+H28-G28</f>
        <v>11.091875000000016</v>
      </c>
      <c r="J28" s="56">
        <f>ROUND(+I28/G28,4)</f>
        <v>6.93E-2</v>
      </c>
      <c r="K28" s="92">
        <f>ROUND($T$10*$E28,2)</f>
        <v>-2.78</v>
      </c>
      <c r="L28" s="92">
        <f>ROUND($T$11*$E28,2)</f>
        <v>2.12</v>
      </c>
      <c r="M28" s="92">
        <f>ROUND($T$12*$E28,2)</f>
        <v>5.44</v>
      </c>
      <c r="N28" s="30">
        <f>+G28+K28+L28+M28</f>
        <v>164.84774000000002</v>
      </c>
      <c r="O28" s="30">
        <f>+H28+K28+L28+M28</f>
        <v>175.93961500000003</v>
      </c>
      <c r="P28" s="56">
        <f>ROUND((O28-N28)/N28,4)</f>
        <v>6.7299999999999999E-2</v>
      </c>
      <c r="Q28" s="1"/>
      <c r="S28" s="7">
        <f>$S$20</f>
        <v>12.25</v>
      </c>
      <c r="T28" s="21">
        <f>$T$17*E28</f>
        <v>68.647739999999999</v>
      </c>
      <c r="U28" s="21">
        <f>$U$17*$A$28</f>
        <v>55.09</v>
      </c>
      <c r="V28" s="21">
        <f>$V$17*$A$28</f>
        <v>0</v>
      </c>
      <c r="W28" s="21">
        <f>$W$17*$A$28</f>
        <v>24.08</v>
      </c>
      <c r="X28" s="26">
        <f>S28+T28+U28+V28+W28</f>
        <v>160.06774000000001</v>
      </c>
      <c r="Y28" s="26"/>
      <c r="Z28" s="21"/>
      <c r="AC28" s="7">
        <f>$AC$20</f>
        <v>16.131875000000001</v>
      </c>
      <c r="AD28" s="21">
        <f>$AD$17*E28</f>
        <v>68.647739999999999</v>
      </c>
      <c r="AE28" s="21">
        <f>$A$28*$AE$17</f>
        <v>62.300000000000004</v>
      </c>
      <c r="AF28" s="21">
        <f>$A$28*$AF$17</f>
        <v>0</v>
      </c>
      <c r="AG28" s="21">
        <f>$A$28*$AG$17</f>
        <v>24.08</v>
      </c>
      <c r="AH28" s="26">
        <f>AC28+AD28+AE28+AF28+AG28</f>
        <v>171.15961500000003</v>
      </c>
      <c r="AI28" s="21"/>
      <c r="AJ28" s="17"/>
      <c r="AK28" s="7">
        <f>AH28-X28</f>
        <v>11.091875000000016</v>
      </c>
      <c r="AM28" s="18">
        <f>AH28/X28-1</f>
        <v>6.9294881029744015E-2</v>
      </c>
    </row>
    <row r="29" spans="1:39" x14ac:dyDescent="0.2">
      <c r="C29" s="13">
        <v>0.5</v>
      </c>
      <c r="E29" s="1">
        <f>C29*($A$28*730)</f>
        <v>2555</v>
      </c>
      <c r="F29" s="1"/>
      <c r="G29" s="30">
        <f t="shared" si="0"/>
        <v>205.8329</v>
      </c>
      <c r="H29" s="30">
        <f>+AH29</f>
        <v>216.92477500000001</v>
      </c>
      <c r="I29" s="30">
        <f>+H29-G29</f>
        <v>11.091875000000016</v>
      </c>
      <c r="J29" s="56">
        <f>ROUND(+I29/G29,4)</f>
        <v>5.3900000000000003E-2</v>
      </c>
      <c r="K29" s="92">
        <f>ROUND($T$10*$E29,2)</f>
        <v>-4.63</v>
      </c>
      <c r="L29" s="92">
        <f>ROUND($T$11*$E29,2)</f>
        <v>3.53</v>
      </c>
      <c r="M29" s="92">
        <f>ROUND($T$12*$E29,2)</f>
        <v>9.07</v>
      </c>
      <c r="N29" s="30">
        <f>+G29+K29+L29+M29</f>
        <v>213.80289999999999</v>
      </c>
      <c r="O29" s="30">
        <f>+H29+K29+L29+M29</f>
        <v>224.89477500000001</v>
      </c>
      <c r="P29" s="56">
        <f>ROUND((O29-N29)/N29,4)</f>
        <v>5.1900000000000002E-2</v>
      </c>
      <c r="Q29" s="1"/>
      <c r="S29" s="7">
        <f>$S$20</f>
        <v>12.25</v>
      </c>
      <c r="T29" s="21">
        <f>$T$17*E29</f>
        <v>114.41290000000001</v>
      </c>
      <c r="U29" s="21">
        <f>$U$17*$A$28</f>
        <v>55.09</v>
      </c>
      <c r="V29" s="21">
        <f>$V$17*$A$28</f>
        <v>0</v>
      </c>
      <c r="W29" s="21">
        <f>$W$17*$A$28</f>
        <v>24.08</v>
      </c>
      <c r="X29" s="26">
        <f>S29+T29+U29+V29+W29</f>
        <v>205.8329</v>
      </c>
      <c r="Y29" s="26"/>
      <c r="Z29" s="21"/>
      <c r="AC29" s="7">
        <f>$AC$20</f>
        <v>16.131875000000001</v>
      </c>
      <c r="AD29" s="21">
        <f>$AD$17*E29</f>
        <v>114.41290000000001</v>
      </c>
      <c r="AE29" s="21">
        <f>$A$28*$AE$17</f>
        <v>62.300000000000004</v>
      </c>
      <c r="AF29" s="21">
        <f>$A$28*$AF$17</f>
        <v>0</v>
      </c>
      <c r="AG29" s="21">
        <f>$A$28*$AG$17</f>
        <v>24.08</v>
      </c>
      <c r="AH29" s="26">
        <f>AC29+AD29+AE29+AF29+AG29</f>
        <v>216.92477500000001</v>
      </c>
      <c r="AI29" s="21"/>
      <c r="AJ29" s="17"/>
      <c r="AK29" s="7">
        <f>AH29-X29</f>
        <v>11.091875000000016</v>
      </c>
      <c r="AM29" s="18">
        <f>AH29/X29-1</f>
        <v>5.3887765269789334E-2</v>
      </c>
    </row>
    <row r="30" spans="1:39" x14ac:dyDescent="0.2">
      <c r="C30" s="13">
        <v>0.7</v>
      </c>
      <c r="E30" s="1">
        <f>C30*($A$28*730)</f>
        <v>3577</v>
      </c>
      <c r="F30" s="1"/>
      <c r="G30" s="30">
        <f t="shared" si="0"/>
        <v>251.59805999999998</v>
      </c>
      <c r="H30" s="30">
        <f>+AH30</f>
        <v>262.68993499999999</v>
      </c>
      <c r="I30" s="30">
        <f>+H30-G30</f>
        <v>11.091875000000016</v>
      </c>
      <c r="J30" s="56">
        <f>ROUND(+I30/G30,4)</f>
        <v>4.41E-2</v>
      </c>
      <c r="K30" s="92">
        <f>ROUND($T$10*$E30,2)</f>
        <v>-6.48</v>
      </c>
      <c r="L30" s="92">
        <f>ROUND($T$11*$E30,2)</f>
        <v>4.9400000000000004</v>
      </c>
      <c r="M30" s="92">
        <f>ROUND($T$12*$E30,2)</f>
        <v>12.7</v>
      </c>
      <c r="N30" s="30">
        <f>+G30+K30+L30+M30</f>
        <v>262.75806</v>
      </c>
      <c r="O30" s="30">
        <f>+H30+K30+L30+M30</f>
        <v>273.84993499999996</v>
      </c>
      <c r="P30" s="56">
        <f>ROUND((O30-N30)/N30,4)</f>
        <v>4.2200000000000001E-2</v>
      </c>
      <c r="Q30" s="1"/>
      <c r="S30" s="7">
        <f>$S$20</f>
        <v>12.25</v>
      </c>
      <c r="T30" s="21">
        <f>$T$17*E30</f>
        <v>160.17805999999999</v>
      </c>
      <c r="U30" s="21">
        <f>$U$17*$A$28</f>
        <v>55.09</v>
      </c>
      <c r="V30" s="21">
        <f>$V$17*$A$28</f>
        <v>0</v>
      </c>
      <c r="W30" s="21">
        <f>$W$17*$A$28</f>
        <v>24.08</v>
      </c>
      <c r="X30" s="26">
        <f>S30+T30+U30+V30+W30</f>
        <v>251.59805999999998</v>
      </c>
      <c r="Y30" s="26"/>
      <c r="Z30" s="21"/>
      <c r="AC30" s="7">
        <f>$AC$20</f>
        <v>16.131875000000001</v>
      </c>
      <c r="AD30" s="21">
        <f>$AD$17*E30</f>
        <v>160.17805999999999</v>
      </c>
      <c r="AE30" s="21">
        <f>$A$28*$AE$17</f>
        <v>62.300000000000004</v>
      </c>
      <c r="AF30" s="21">
        <f>$A$28*$AF$17</f>
        <v>0</v>
      </c>
      <c r="AG30" s="21">
        <f>$A$28*$AG$17</f>
        <v>24.08</v>
      </c>
      <c r="AH30" s="26">
        <f>AC30+AD30+AE30+AF30+AG30</f>
        <v>262.68993499999999</v>
      </c>
      <c r="AI30" s="21"/>
      <c r="AJ30" s="17"/>
      <c r="AK30" s="7">
        <f>AH30-X30</f>
        <v>11.091875000000016</v>
      </c>
      <c r="AM30" s="18">
        <f>AH30/X30-1</f>
        <v>4.4085693665523618E-2</v>
      </c>
    </row>
    <row r="31" spans="1:39" x14ac:dyDescent="0.2">
      <c r="C31" s="13"/>
      <c r="E31" s="1"/>
      <c r="F31" s="1"/>
      <c r="G31" s="30"/>
      <c r="H31" s="30"/>
      <c r="J31" s="5"/>
      <c r="K31" s="1"/>
      <c r="L31" s="1"/>
      <c r="M31" s="1"/>
      <c r="P31" s="56"/>
      <c r="Q31" s="1"/>
      <c r="S31" s="7"/>
      <c r="T31" s="21"/>
      <c r="U31" s="21"/>
      <c r="V31" s="21"/>
      <c r="W31" s="21"/>
      <c r="X31" s="26"/>
      <c r="Y31" s="26"/>
      <c r="AC31" s="7"/>
      <c r="AD31" s="21"/>
      <c r="AE31" s="21"/>
      <c r="AF31" s="21"/>
      <c r="AG31" s="21"/>
      <c r="AH31" s="26"/>
      <c r="AJ31" s="17"/>
      <c r="AK31" s="6"/>
      <c r="AM31" s="6"/>
    </row>
    <row r="32" spans="1:39" x14ac:dyDescent="0.2">
      <c r="A32" s="1">
        <v>10</v>
      </c>
      <c r="B32" s="1"/>
      <c r="C32" s="13">
        <v>0.3</v>
      </c>
      <c r="E32" s="1">
        <f>C32*($A$32*730)</f>
        <v>2190</v>
      </c>
      <c r="F32" s="1"/>
      <c r="G32" s="30">
        <f t="shared" si="0"/>
        <v>223.41820000000001</v>
      </c>
      <c r="H32" s="30">
        <f>+AH32</f>
        <v>237.600075</v>
      </c>
      <c r="I32" s="30">
        <f>+H32-G32</f>
        <v>14.181874999999991</v>
      </c>
      <c r="J32" s="56">
        <f>ROUND(+I32/G32,4)</f>
        <v>6.3500000000000001E-2</v>
      </c>
      <c r="K32" s="92">
        <f>ROUND($T$10*$E32,2)</f>
        <v>-3.96</v>
      </c>
      <c r="L32" s="92">
        <f>ROUND($T$11*$E32,2)</f>
        <v>3.02</v>
      </c>
      <c r="M32" s="92">
        <f>ROUND($T$12*$E32,2)</f>
        <v>7.77</v>
      </c>
      <c r="N32" s="30">
        <f>+G32+K32+L32+M32</f>
        <v>230.24820000000003</v>
      </c>
      <c r="O32" s="30">
        <f>+H32+K32+L32+M32</f>
        <v>244.43007500000002</v>
      </c>
      <c r="P32" s="56">
        <f>ROUND((O32-N32)/N32,4)</f>
        <v>6.1600000000000002E-2</v>
      </c>
      <c r="Q32" s="1"/>
      <c r="S32" s="7">
        <f>$S$20</f>
        <v>12.25</v>
      </c>
      <c r="T32" s="21">
        <f>$T$17*E32</f>
        <v>98.068200000000004</v>
      </c>
      <c r="U32" s="21">
        <f>$U$17*$A$32</f>
        <v>78.7</v>
      </c>
      <c r="V32" s="21">
        <f>$V$17*$A$32</f>
        <v>0</v>
      </c>
      <c r="W32" s="21">
        <f>$W$17*$A$32</f>
        <v>34.4</v>
      </c>
      <c r="X32" s="26">
        <f>S32+T32+U32+V32+W32</f>
        <v>223.41820000000001</v>
      </c>
      <c r="Y32" s="26"/>
      <c r="Z32" s="21"/>
      <c r="AC32" s="7">
        <f>$AC$20</f>
        <v>16.131875000000001</v>
      </c>
      <c r="AD32" s="21">
        <f>$AD$17*E32</f>
        <v>98.068200000000004</v>
      </c>
      <c r="AE32" s="21">
        <f>$A$32*$AE$17</f>
        <v>89</v>
      </c>
      <c r="AF32" s="21">
        <f>$A$32*$AF$17</f>
        <v>0</v>
      </c>
      <c r="AG32" s="21">
        <f>$A$32*$AG$17</f>
        <v>34.4</v>
      </c>
      <c r="AH32" s="26">
        <f>AC32+AD32+AE32+AF32+AG32</f>
        <v>237.600075</v>
      </c>
      <c r="AI32" s="21"/>
      <c r="AJ32" s="17"/>
      <c r="AK32" s="7">
        <f>AH32-X32</f>
        <v>14.181874999999991</v>
      </c>
      <c r="AM32" s="18">
        <f>AH32/X32-1</f>
        <v>6.3476811647394937E-2</v>
      </c>
    </row>
    <row r="33" spans="1:39" x14ac:dyDescent="0.2">
      <c r="C33" s="13">
        <v>0.5</v>
      </c>
      <c r="E33" s="1">
        <f>C33*($A$32*730)</f>
        <v>3650</v>
      </c>
      <c r="F33" s="1"/>
      <c r="G33" s="30">
        <f t="shared" si="0"/>
        <v>288.79699999999997</v>
      </c>
      <c r="H33" s="30">
        <f>+AH33</f>
        <v>302.97887500000002</v>
      </c>
      <c r="I33" s="30">
        <f>+H33-G33</f>
        <v>14.181875000000048</v>
      </c>
      <c r="J33" s="56">
        <f>ROUND(+I33/G33,4)</f>
        <v>4.9099999999999998E-2</v>
      </c>
      <c r="K33" s="92">
        <f>ROUND($T$10*$E33,2)</f>
        <v>-6.61</v>
      </c>
      <c r="L33" s="92">
        <f>ROUND($T$11*$E33,2)</f>
        <v>5.04</v>
      </c>
      <c r="M33" s="92">
        <f>ROUND($T$12*$E33,2)</f>
        <v>12.96</v>
      </c>
      <c r="N33" s="30">
        <f>+G33+K33+L33+M33</f>
        <v>300.18699999999995</v>
      </c>
      <c r="O33" s="30">
        <f>+H33+K33+L33+M33</f>
        <v>314.368875</v>
      </c>
      <c r="P33" s="56">
        <f>ROUND((O33-N33)/N33,4)</f>
        <v>4.7199999999999999E-2</v>
      </c>
      <c r="Q33" s="1"/>
      <c r="S33" s="7">
        <f>$S$20</f>
        <v>12.25</v>
      </c>
      <c r="T33" s="21">
        <f>$T$17*E33</f>
        <v>163.447</v>
      </c>
      <c r="U33" s="21">
        <f>$U$17*$A$32</f>
        <v>78.7</v>
      </c>
      <c r="V33" s="21">
        <f>$V$17*$A$32</f>
        <v>0</v>
      </c>
      <c r="W33" s="21">
        <f>$W$17*$A$32</f>
        <v>34.4</v>
      </c>
      <c r="X33" s="26">
        <f>S33+T33+U33+V33+W33</f>
        <v>288.79699999999997</v>
      </c>
      <c r="Y33" s="26"/>
      <c r="Z33" s="21"/>
      <c r="AC33" s="7">
        <f>$AC$20</f>
        <v>16.131875000000001</v>
      </c>
      <c r="AD33" s="21">
        <f>$AD$17*E33</f>
        <v>163.447</v>
      </c>
      <c r="AE33" s="21">
        <f>$A$32*$AE$17</f>
        <v>89</v>
      </c>
      <c r="AF33" s="21">
        <f>$A$32*$AF$17</f>
        <v>0</v>
      </c>
      <c r="AG33" s="21">
        <f>$A$32*$AG$17</f>
        <v>34.4</v>
      </c>
      <c r="AH33" s="26">
        <f>AC33+AD33+AE33+AF33+AG33</f>
        <v>302.97887500000002</v>
      </c>
      <c r="AI33" s="21"/>
      <c r="AJ33" s="17"/>
      <c r="AK33" s="7">
        <f>AH33-X33</f>
        <v>14.181875000000048</v>
      </c>
      <c r="AM33" s="18">
        <f>AH33/X33-1</f>
        <v>4.9106725485375646E-2</v>
      </c>
    </row>
    <row r="34" spans="1:39" x14ac:dyDescent="0.2">
      <c r="C34" s="13">
        <v>0.7</v>
      </c>
      <c r="E34" s="1">
        <f>C34*($A$32*730)</f>
        <v>5110</v>
      </c>
      <c r="F34" s="1"/>
      <c r="G34" s="30">
        <f t="shared" si="0"/>
        <v>354.17579999999998</v>
      </c>
      <c r="H34" s="30">
        <f>+AH34</f>
        <v>368.35767499999997</v>
      </c>
      <c r="I34" s="30">
        <f>+H34-G34</f>
        <v>14.181874999999991</v>
      </c>
      <c r="J34" s="56">
        <f>ROUND(+I34/G34,4)</f>
        <v>0.04</v>
      </c>
      <c r="K34" s="92">
        <f>ROUND($T$10*$E34,2)</f>
        <v>-9.25</v>
      </c>
      <c r="L34" s="92">
        <f>ROUND($T$11*$E34,2)</f>
        <v>7.06</v>
      </c>
      <c r="M34" s="92">
        <f>ROUND($T$12*$E34,2)</f>
        <v>18.14</v>
      </c>
      <c r="N34" s="30">
        <f>+G34+K34+L34+M34</f>
        <v>370.12579999999997</v>
      </c>
      <c r="O34" s="30">
        <f>+H34+K34+L34+M34</f>
        <v>384.30767499999996</v>
      </c>
      <c r="P34" s="56">
        <f>ROUND((O34-N34)/N34,4)</f>
        <v>3.8300000000000001E-2</v>
      </c>
      <c r="Q34" s="1"/>
      <c r="S34" s="7">
        <f>$S$20</f>
        <v>12.25</v>
      </c>
      <c r="T34" s="21">
        <f>$T$17*E34</f>
        <v>228.82580000000002</v>
      </c>
      <c r="U34" s="21">
        <f>$U$17*$A$32</f>
        <v>78.7</v>
      </c>
      <c r="V34" s="21">
        <f>$V$17*$A$32</f>
        <v>0</v>
      </c>
      <c r="W34" s="21">
        <f>$W$17*$A$32</f>
        <v>34.4</v>
      </c>
      <c r="X34" s="26">
        <f>S34+T34+U34+V34+W34</f>
        <v>354.17579999999998</v>
      </c>
      <c r="Y34" s="26"/>
      <c r="Z34" s="21"/>
      <c r="AC34" s="7">
        <f>$AC$20</f>
        <v>16.131875000000001</v>
      </c>
      <c r="AD34" s="21">
        <f>$AD$17*E34</f>
        <v>228.82580000000002</v>
      </c>
      <c r="AE34" s="21">
        <f>$A$32*$AE$17</f>
        <v>89</v>
      </c>
      <c r="AF34" s="21">
        <f>$A$32*$AF$17</f>
        <v>0</v>
      </c>
      <c r="AG34" s="21">
        <f>$A$32*$AG$17</f>
        <v>34.4</v>
      </c>
      <c r="AH34" s="26">
        <f>AC34+AD34+AE34+AF34+AG34</f>
        <v>368.35767499999997</v>
      </c>
      <c r="AI34" s="21"/>
      <c r="AJ34" s="17"/>
      <c r="AK34" s="7">
        <f>AH34-X34</f>
        <v>14.181874999999991</v>
      </c>
      <c r="AM34" s="18">
        <f>AH34/X34-1</f>
        <v>4.0041908566310846E-2</v>
      </c>
    </row>
    <row r="35" spans="1:39" x14ac:dyDescent="0.2">
      <c r="C35" s="13"/>
      <c r="E35" s="1"/>
      <c r="F35" s="1"/>
      <c r="G35" s="30"/>
      <c r="H35" s="30"/>
      <c r="J35" s="5"/>
      <c r="K35" s="1"/>
      <c r="L35" s="1"/>
      <c r="M35" s="1"/>
      <c r="P35" s="56"/>
      <c r="Q35" s="1"/>
      <c r="S35" s="7"/>
      <c r="T35" s="21"/>
      <c r="U35" s="21"/>
      <c r="V35" s="21"/>
      <c r="W35" s="21"/>
      <c r="X35" s="26"/>
      <c r="Y35" s="26"/>
      <c r="AC35" s="7"/>
      <c r="AD35" s="21"/>
      <c r="AE35" s="21"/>
      <c r="AF35" s="21"/>
      <c r="AG35" s="21"/>
      <c r="AH35" s="26"/>
      <c r="AJ35" s="17"/>
      <c r="AK35" s="6"/>
      <c r="AM35" s="6"/>
    </row>
    <row r="36" spans="1:39" x14ac:dyDescent="0.2">
      <c r="A36" s="1">
        <v>15</v>
      </c>
      <c r="B36" s="1"/>
      <c r="C36" s="13">
        <v>0.3</v>
      </c>
      <c r="E36" s="1">
        <f>C36*($A$36*730)</f>
        <v>3285</v>
      </c>
      <c r="F36" s="1"/>
      <c r="G36" s="30">
        <f t="shared" si="0"/>
        <v>329.00230000000005</v>
      </c>
      <c r="H36" s="30">
        <f>+AH36</f>
        <v>348.33417500000007</v>
      </c>
      <c r="I36" s="30">
        <f>+H36-G36</f>
        <v>19.331875000000025</v>
      </c>
      <c r="J36" s="56">
        <f>ROUND(+I36/G36,4)</f>
        <v>5.8799999999999998E-2</v>
      </c>
      <c r="K36" s="92">
        <f>ROUND($T$10*$E36,2)</f>
        <v>-5.95</v>
      </c>
      <c r="L36" s="92">
        <f>ROUND($T$11*$E36,2)</f>
        <v>4.54</v>
      </c>
      <c r="M36" s="92">
        <f>ROUND($T$12*$E36,2)</f>
        <v>11.66</v>
      </c>
      <c r="N36" s="30">
        <f>+G36+K36+L36+M36</f>
        <v>339.2523000000001</v>
      </c>
      <c r="O36" s="30">
        <f>+H36+K36+L36+M36</f>
        <v>358.58417500000013</v>
      </c>
      <c r="P36" s="56">
        <f>ROUND((O36-N36)/N36,4)</f>
        <v>5.7000000000000002E-2</v>
      </c>
      <c r="Q36" s="1"/>
      <c r="S36" s="7">
        <f>$S$20</f>
        <v>12.25</v>
      </c>
      <c r="T36" s="21">
        <f>$T$17*E36</f>
        <v>147.10230000000001</v>
      </c>
      <c r="U36" s="21">
        <f>$U$17*$A$36</f>
        <v>118.05</v>
      </c>
      <c r="V36" s="21">
        <f>$V$17*$A$36</f>
        <v>0</v>
      </c>
      <c r="W36" s="21">
        <f>$W$17*$A$36</f>
        <v>51.6</v>
      </c>
      <c r="X36" s="26">
        <f>S36+T36+U36+V36+W36</f>
        <v>329.00230000000005</v>
      </c>
      <c r="Y36" s="26"/>
      <c r="Z36" s="21"/>
      <c r="AC36" s="7">
        <f>$AC$20</f>
        <v>16.131875000000001</v>
      </c>
      <c r="AD36" s="21">
        <f>$AD$17*E36</f>
        <v>147.10230000000001</v>
      </c>
      <c r="AE36" s="21">
        <f>$A$36*$AE$17</f>
        <v>133.5</v>
      </c>
      <c r="AF36" s="21">
        <f>$A$36*$AF$17</f>
        <v>0</v>
      </c>
      <c r="AG36" s="21">
        <f>$A$36*$AG$17</f>
        <v>51.6</v>
      </c>
      <c r="AH36" s="26">
        <f>AC36+AD36+AE36+AF36+AG36</f>
        <v>348.33417500000007</v>
      </c>
      <c r="AI36" s="21"/>
      <c r="AJ36" s="17"/>
      <c r="AK36" s="7">
        <f>AH36-X36</f>
        <v>19.331875000000025</v>
      </c>
      <c r="AM36" s="18">
        <f>AH36/X36-1</f>
        <v>5.8759087702426438E-2</v>
      </c>
    </row>
    <row r="37" spans="1:39" x14ac:dyDescent="0.2">
      <c r="C37" s="13">
        <v>0.5</v>
      </c>
      <c r="E37" s="1">
        <f>C37*($A$36*730)</f>
        <v>5475</v>
      </c>
      <c r="F37" s="1"/>
      <c r="G37" s="30">
        <f t="shared" si="0"/>
        <v>427.07050000000004</v>
      </c>
      <c r="H37" s="30">
        <f>+AH37</f>
        <v>446.40237500000001</v>
      </c>
      <c r="I37" s="30">
        <f>+H37-G37</f>
        <v>19.331874999999968</v>
      </c>
      <c r="J37" s="56">
        <f>ROUND(+I37/G37,4)</f>
        <v>4.53E-2</v>
      </c>
      <c r="K37" s="92">
        <f>ROUND($T$10*$E37,2)</f>
        <v>-9.91</v>
      </c>
      <c r="L37" s="92">
        <f>ROUND($T$11*$E37,2)</f>
        <v>7.56</v>
      </c>
      <c r="M37" s="92">
        <f>ROUND($T$12*$E37,2)</f>
        <v>19.440000000000001</v>
      </c>
      <c r="N37" s="30">
        <f>+G37+K37+L37+M37</f>
        <v>444.16050000000001</v>
      </c>
      <c r="O37" s="30">
        <f>+H37+K37+L37+M37</f>
        <v>463.49237499999998</v>
      </c>
      <c r="P37" s="56">
        <f>ROUND((O37-N37)/N37,4)</f>
        <v>4.3499999999999997E-2</v>
      </c>
      <c r="Q37" s="1"/>
      <c r="S37" s="7">
        <f>$S$20</f>
        <v>12.25</v>
      </c>
      <c r="T37" s="21">
        <f>$T$17*E37</f>
        <v>245.1705</v>
      </c>
      <c r="U37" s="21">
        <f>$U$17*$A$36</f>
        <v>118.05</v>
      </c>
      <c r="V37" s="21">
        <f>$V$17*$A$36</f>
        <v>0</v>
      </c>
      <c r="W37" s="21">
        <f>$W$17*$A$36</f>
        <v>51.6</v>
      </c>
      <c r="X37" s="26">
        <f>S37+T37+U37+V37+W37</f>
        <v>427.07050000000004</v>
      </c>
      <c r="Y37" s="26"/>
      <c r="Z37" s="21"/>
      <c r="AC37" s="7">
        <f>$AC$20</f>
        <v>16.131875000000001</v>
      </c>
      <c r="AD37" s="21">
        <f>$AD$17*E37</f>
        <v>245.1705</v>
      </c>
      <c r="AE37" s="21">
        <f>$A$36*$AE$17</f>
        <v>133.5</v>
      </c>
      <c r="AF37" s="21">
        <f>$A$36*$AF$17</f>
        <v>0</v>
      </c>
      <c r="AG37" s="21">
        <f>$A$36*$AG$17</f>
        <v>51.6</v>
      </c>
      <c r="AH37" s="26">
        <f>AC37+AD37+AE37+AF37+AG37</f>
        <v>446.40237500000001</v>
      </c>
      <c r="AI37" s="21"/>
      <c r="AJ37" s="17"/>
      <c r="AK37" s="7">
        <f>AH37-X37</f>
        <v>19.331874999999968</v>
      </c>
      <c r="AM37" s="18">
        <f>AH37/X37-1</f>
        <v>4.5266238244036971E-2</v>
      </c>
    </row>
    <row r="38" spans="1:39" x14ac:dyDescent="0.2">
      <c r="C38" s="13">
        <v>0.7</v>
      </c>
      <c r="E38" s="1">
        <f>C38*($A$36*730)</f>
        <v>7664.9999999999991</v>
      </c>
      <c r="F38" s="1"/>
      <c r="G38" s="30">
        <f t="shared" si="0"/>
        <v>525.13869999999997</v>
      </c>
      <c r="H38" s="30">
        <f>+AH38</f>
        <v>544.47057499999994</v>
      </c>
      <c r="I38" s="30">
        <f>+H38-G38</f>
        <v>19.331874999999968</v>
      </c>
      <c r="J38" s="56">
        <f>ROUND(+I38/G38,4)</f>
        <v>3.6799999999999999E-2</v>
      </c>
      <c r="K38" s="92">
        <f>ROUND($T$10*$E38,2)</f>
        <v>-13.88</v>
      </c>
      <c r="L38" s="92">
        <f>ROUND($T$11*$E38,2)</f>
        <v>10.58</v>
      </c>
      <c r="M38" s="92">
        <f>ROUND($T$12*$E38,2)</f>
        <v>27.21</v>
      </c>
      <c r="N38" s="30">
        <f>+G38+K38+L38+M38</f>
        <v>549.04870000000005</v>
      </c>
      <c r="O38" s="30">
        <f>+H38+K38+L38+M38</f>
        <v>568.38057500000002</v>
      </c>
      <c r="P38" s="56">
        <f>ROUND((O38-N38)/N38,4)</f>
        <v>3.5200000000000002E-2</v>
      </c>
      <c r="Q38" s="1"/>
      <c r="S38" s="7">
        <f>$S$20</f>
        <v>12.25</v>
      </c>
      <c r="T38" s="21">
        <f>$T$17*E38</f>
        <v>343.23869999999994</v>
      </c>
      <c r="U38" s="21">
        <f>$U$17*$A$36</f>
        <v>118.05</v>
      </c>
      <c r="V38" s="21">
        <f>$V$17*$A$36</f>
        <v>0</v>
      </c>
      <c r="W38" s="21">
        <f>$W$17*$A$36</f>
        <v>51.6</v>
      </c>
      <c r="X38" s="26">
        <f>S38+T38+U38+V38+W38</f>
        <v>525.13869999999997</v>
      </c>
      <c r="Y38" s="26"/>
      <c r="Z38" s="21"/>
      <c r="AC38" s="7">
        <f>$AC$20</f>
        <v>16.131875000000001</v>
      </c>
      <c r="AD38" s="21">
        <f>$AD$17*E38</f>
        <v>343.23869999999994</v>
      </c>
      <c r="AE38" s="21">
        <f>$A$36*$AE$17</f>
        <v>133.5</v>
      </c>
      <c r="AF38" s="21">
        <f>$A$36*$AF$17</f>
        <v>0</v>
      </c>
      <c r="AG38" s="21">
        <f>$A$36*$AG$17</f>
        <v>51.6</v>
      </c>
      <c r="AH38" s="26">
        <f>AC38+AD38+AE38+AF38+AG38</f>
        <v>544.47057499999994</v>
      </c>
      <c r="AI38" s="21"/>
      <c r="AJ38" s="17"/>
      <c r="AK38" s="7">
        <f>AH38-X38</f>
        <v>19.331874999999968</v>
      </c>
      <c r="AM38" s="18">
        <f>AH38/X38-1</f>
        <v>3.6812893431773297E-2</v>
      </c>
    </row>
    <row r="39" spans="1:39" x14ac:dyDescent="0.2">
      <c r="T39" s="21"/>
      <c r="U39" s="21"/>
      <c r="V39" s="21"/>
      <c r="W39" s="21"/>
      <c r="X39" s="21"/>
      <c r="Y39" s="21"/>
    </row>
    <row r="40" spans="1:39" x14ac:dyDescent="0.2">
      <c r="A40" s="17" t="s">
        <v>313</v>
      </c>
      <c r="T40" s="21"/>
      <c r="U40" s="21"/>
      <c r="V40" s="21"/>
      <c r="W40" s="21"/>
      <c r="X40" s="21"/>
      <c r="Y40" s="21"/>
    </row>
    <row r="41" spans="1:39" x14ac:dyDescent="0.2">
      <c r="A41" s="179" t="str">
        <f>("Average usage = "&amp;TEXT(INPUT!D19*1,"0,")&amp;" kWh per month")</f>
        <v>Average usage = 0 kWh per month</v>
      </c>
      <c r="G41" s="31" t="s">
        <v>328</v>
      </c>
      <c r="T41" s="21"/>
      <c r="U41" s="21"/>
      <c r="V41" s="21"/>
      <c r="W41" s="21"/>
      <c r="X41" s="21"/>
      <c r="Y41" s="21"/>
    </row>
    <row r="42" spans="1:39" x14ac:dyDescent="0.2">
      <c r="A42" s="180" t="s">
        <v>314</v>
      </c>
      <c r="C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E42" s="32"/>
      <c r="AF42" s="21"/>
      <c r="AG42" s="21"/>
      <c r="AH42" s="21"/>
      <c r="AI42" s="21"/>
      <c r="AJ42" s="21"/>
      <c r="AK42" s="6"/>
    </row>
    <row r="43" spans="1:39" x14ac:dyDescent="0.2">
      <c r="A43" s="180" t="str">
        <f>+'Rate Case Constants'!$C$26</f>
        <v>Calculations may vary from other schedules due to rounding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2"/>
      <c r="AC43" s="3"/>
      <c r="AE43" s="3"/>
    </row>
    <row r="44" spans="1:39" x14ac:dyDescent="0.2">
      <c r="AE44" s="9"/>
    </row>
    <row r="45" spans="1:39" x14ac:dyDescent="0.2">
      <c r="A45" s="180"/>
      <c r="S45" s="3"/>
      <c r="W45" s="3"/>
      <c r="AA45" s="3"/>
      <c r="AE45" s="9"/>
    </row>
    <row r="46" spans="1:39" x14ac:dyDescent="0.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2"/>
      <c r="AC46" s="3"/>
      <c r="AE46" s="3"/>
    </row>
    <row r="47" spans="1:39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2"/>
      <c r="AC47" s="3"/>
      <c r="AE47" s="3"/>
    </row>
    <row r="48" spans="1:39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3"/>
      <c r="U48" s="3"/>
      <c r="V48" s="3"/>
      <c r="W48" s="3"/>
      <c r="X48" s="3"/>
      <c r="Y48" s="3"/>
    </row>
    <row r="49" spans="1:31" x14ac:dyDescent="0.2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7"/>
      <c r="T49" s="12"/>
      <c r="W49" s="12"/>
      <c r="X49" s="12"/>
      <c r="Y49" s="12"/>
      <c r="AA49" s="6"/>
      <c r="AC49" s="6"/>
      <c r="AE49" s="9"/>
    </row>
    <row r="50" spans="1:3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7"/>
      <c r="T50" s="12"/>
      <c r="W50" s="12"/>
      <c r="X50" s="12"/>
      <c r="Y50" s="12"/>
      <c r="AA50" s="6"/>
      <c r="AC50" s="6"/>
      <c r="AE50" s="9"/>
    </row>
    <row r="51" spans="1:3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7"/>
      <c r="T51" s="12"/>
      <c r="W51" s="12"/>
      <c r="X51" s="12"/>
      <c r="Y51" s="12"/>
      <c r="AA51" s="6"/>
      <c r="AC51" s="6"/>
      <c r="AE51" s="9"/>
    </row>
    <row r="52" spans="1:3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7"/>
      <c r="T52" s="12"/>
      <c r="W52" s="12"/>
      <c r="X52" s="12"/>
      <c r="Y52" s="12"/>
      <c r="AA52" s="6"/>
      <c r="AB52" s="10"/>
      <c r="AC52" s="6"/>
      <c r="AD52" s="10"/>
      <c r="AE52" s="9"/>
    </row>
    <row r="53" spans="1:31" ht="6.75" customHeight="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7"/>
      <c r="T53" s="12"/>
      <c r="W53" s="12"/>
      <c r="X53" s="12"/>
      <c r="Y53" s="12"/>
      <c r="AA53" s="6"/>
      <c r="AB53" s="10"/>
      <c r="AC53" s="6"/>
      <c r="AD53" s="10"/>
      <c r="AE53" s="9"/>
    </row>
    <row r="54" spans="1:31" x14ac:dyDescent="0.2">
      <c r="A54" s="18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7"/>
      <c r="T54" s="12"/>
      <c r="W54" s="12"/>
      <c r="X54" s="12"/>
      <c r="Y54" s="12"/>
      <c r="AA54" s="6"/>
      <c r="AC54" s="6"/>
      <c r="AE54" s="9"/>
    </row>
    <row r="55" spans="1:3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7"/>
      <c r="T55" s="12"/>
      <c r="W55" s="12"/>
      <c r="X55" s="12"/>
      <c r="Y55" s="12"/>
      <c r="AA55" s="6"/>
      <c r="AC55" s="6"/>
      <c r="AE55" s="9"/>
    </row>
    <row r="56" spans="1:3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7"/>
      <c r="T56" s="12"/>
      <c r="W56" s="12"/>
      <c r="X56" s="12"/>
      <c r="Y56" s="12"/>
      <c r="AA56" s="6"/>
      <c r="AC56" s="6"/>
      <c r="AE56" s="9"/>
    </row>
    <row r="57" spans="1:3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7"/>
      <c r="T57" s="12"/>
      <c r="W57" s="12"/>
      <c r="X57" s="12"/>
      <c r="Y57" s="12"/>
      <c r="AA57" s="6"/>
      <c r="AC57" s="6"/>
      <c r="AE57" s="9"/>
    </row>
    <row r="58" spans="1:3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7"/>
      <c r="T58" s="12"/>
      <c r="W58" s="12"/>
      <c r="X58" s="12"/>
      <c r="Y58" s="12"/>
      <c r="AA58" s="6"/>
      <c r="AC58" s="6"/>
      <c r="AE58" s="9"/>
    </row>
    <row r="59" spans="1:31" ht="6.75" customHeight="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7"/>
      <c r="T59" s="12"/>
      <c r="W59" s="12"/>
      <c r="X59" s="12"/>
      <c r="Y59" s="12"/>
      <c r="AA59" s="6"/>
      <c r="AC59" s="6"/>
      <c r="AE59" s="9"/>
    </row>
    <row r="60" spans="1:3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7"/>
      <c r="T60" s="12"/>
      <c r="W60" s="12"/>
      <c r="X60" s="12"/>
      <c r="Y60" s="12"/>
      <c r="AA60" s="6"/>
      <c r="AC60" s="6"/>
      <c r="AE60" s="9"/>
    </row>
    <row r="61" spans="1:3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7"/>
      <c r="T61" s="12"/>
      <c r="W61" s="12"/>
      <c r="X61" s="12"/>
      <c r="Y61" s="12"/>
      <c r="AA61" s="6"/>
      <c r="AC61" s="6"/>
      <c r="AE61" s="9"/>
    </row>
    <row r="62" spans="1:3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7"/>
      <c r="T62" s="12"/>
      <c r="W62" s="12"/>
      <c r="X62" s="12"/>
      <c r="Y62" s="12"/>
      <c r="AA62" s="6"/>
      <c r="AC62" s="6"/>
      <c r="AE62" s="9"/>
    </row>
    <row r="63" spans="1:3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7"/>
      <c r="T63" s="12"/>
      <c r="W63" s="12"/>
      <c r="X63" s="12"/>
      <c r="Y63" s="12"/>
      <c r="AA63" s="6"/>
      <c r="AC63" s="6"/>
      <c r="AE63" s="9"/>
    </row>
    <row r="64" spans="1:31" x14ac:dyDescent="0.2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T64" s="3"/>
      <c r="U64" s="3"/>
      <c r="V64" s="3"/>
      <c r="W64" s="3"/>
      <c r="X64" s="3"/>
      <c r="Y64" s="3"/>
    </row>
    <row r="65" spans="5:35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U65" s="3"/>
      <c r="V65" s="3"/>
      <c r="W65" s="3"/>
      <c r="X65" s="3"/>
      <c r="Y65" s="3"/>
    </row>
    <row r="66" spans="5:35" x14ac:dyDescent="0.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AE66" s="9"/>
    </row>
    <row r="67" spans="5:35" x14ac:dyDescent="0.2">
      <c r="AH67" s="4"/>
      <c r="AI67" s="4"/>
    </row>
  </sheetData>
  <mergeCells count="5">
    <mergeCell ref="K15:M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F42"/>
  <sheetViews>
    <sheetView view="pageBreakPreview" zoomScaleNormal="80" zoomScaleSheetLayoutView="100" workbookViewId="0">
      <selection sqref="A1:L1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0.5703125" bestFit="1" customWidth="1"/>
    <col min="12" max="12" width="9.28515625" bestFit="1" customWidth="1"/>
    <col min="13" max="16" width="3.5703125" customWidth="1"/>
    <col min="17" max="17" width="11.85546875" customWidth="1"/>
    <col min="18" max="18" width="9.85546875" customWidth="1"/>
    <col min="19" max="20" width="9.5703125" customWidth="1"/>
    <col min="21" max="21" width="7.140625" customWidth="1"/>
    <col min="22" max="22" width="11.5703125" customWidth="1"/>
    <col min="23" max="23" width="9.5703125" customWidth="1"/>
    <col min="27" max="28" width="3" customWidth="1"/>
    <col min="30" max="30" width="2.7109375" customWidth="1"/>
  </cols>
  <sheetData>
    <row r="1" spans="1:32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32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32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32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32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32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</row>
    <row r="7" spans="1:32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03" t="str">
        <f>+'Rate Case Constants'!C25</f>
        <v>SCHEDULE N</v>
      </c>
    </row>
    <row r="8" spans="1:32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02" t="str">
        <f>+'Rate Case Constants'!L11</f>
        <v>PAGE 4 of 24</v>
      </c>
    </row>
    <row r="9" spans="1:32" x14ac:dyDescent="0.2">
      <c r="A9" s="85" t="str">
        <f>+'Rate Case Constants'!C34</f>
        <v>WORKPAPER REFERENCE NO(S):________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202" t="str">
        <f>+'Rate Case Constants'!C36</f>
        <v>WITNESS:   R. M. CONROY</v>
      </c>
      <c r="Q9" s="46" t="s">
        <v>321</v>
      </c>
    </row>
    <row r="10" spans="1:32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206"/>
      <c r="Q10" s="85" t="s">
        <v>71</v>
      </c>
      <c r="R10" s="2">
        <f>+INPUT!K58</f>
        <v>-1.8550049606960643E-3</v>
      </c>
    </row>
    <row r="11" spans="1:32" x14ac:dyDescent="0.2">
      <c r="A11" s="126" t="s">
        <v>78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85" t="s">
        <v>73</v>
      </c>
      <c r="R11" s="2">
        <f>+INPUT!L58</f>
        <v>1.0517976616133567E-3</v>
      </c>
      <c r="S11" s="31"/>
      <c r="T11" s="31"/>
      <c r="U11" s="31"/>
      <c r="V11" s="34"/>
      <c r="W11" s="31"/>
      <c r="X11" s="31"/>
      <c r="Y11" s="31"/>
      <c r="Z11" s="31"/>
    </row>
    <row r="12" spans="1:32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85" t="s">
        <v>72</v>
      </c>
      <c r="R12" s="2">
        <f>+INPUT!M58</f>
        <v>1.0333561498603858E-2</v>
      </c>
      <c r="S12" s="31"/>
      <c r="T12" s="31"/>
      <c r="U12" s="31"/>
      <c r="V12" s="31"/>
      <c r="W12" s="31"/>
      <c r="X12" s="31"/>
      <c r="Y12" s="31"/>
      <c r="Z12" s="31"/>
    </row>
    <row r="13" spans="1:32" x14ac:dyDescent="0.2">
      <c r="A13" s="31"/>
      <c r="B13" s="31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 t="s">
        <v>312</v>
      </c>
      <c r="M13" s="31"/>
      <c r="N13" s="31"/>
      <c r="O13" s="31"/>
      <c r="P13" s="31"/>
      <c r="Q13" s="31"/>
      <c r="R13" s="31"/>
      <c r="S13" s="31"/>
      <c r="U13" s="31"/>
      <c r="V13" s="31"/>
      <c r="W13" s="31"/>
      <c r="X13" s="31"/>
      <c r="Y13" s="31"/>
      <c r="Z13" s="31"/>
    </row>
    <row r="14" spans="1:32" x14ac:dyDescent="0.2">
      <c r="C14" s="200" t="s">
        <v>327</v>
      </c>
      <c r="D14" s="200" t="s">
        <v>327</v>
      </c>
      <c r="G14" s="17"/>
      <c r="H14" s="17"/>
      <c r="I14" s="17"/>
      <c r="J14" s="3" t="s">
        <v>5</v>
      </c>
      <c r="K14" s="3" t="s">
        <v>5</v>
      </c>
      <c r="Q14" s="48" t="s">
        <v>59</v>
      </c>
      <c r="R14" s="48"/>
      <c r="S14" s="48"/>
      <c r="T14" s="3" t="s">
        <v>72</v>
      </c>
      <c r="V14" s="48" t="s">
        <v>60</v>
      </c>
      <c r="W14" s="48"/>
      <c r="X14" s="48"/>
      <c r="Y14" s="3" t="s">
        <v>72</v>
      </c>
      <c r="Z14" s="58"/>
    </row>
    <row r="15" spans="1:32" x14ac:dyDescent="0.2">
      <c r="C15" s="3" t="s">
        <v>1</v>
      </c>
      <c r="D15" s="3" t="s">
        <v>74</v>
      </c>
      <c r="E15" s="3"/>
      <c r="F15" s="3"/>
      <c r="G15" s="392" t="s">
        <v>251</v>
      </c>
      <c r="H15" s="392"/>
      <c r="I15" s="393"/>
      <c r="J15" s="3" t="s">
        <v>1</v>
      </c>
      <c r="K15" s="3" t="s">
        <v>74</v>
      </c>
      <c r="L15" s="3"/>
      <c r="Q15" s="27" t="s">
        <v>62</v>
      </c>
      <c r="R15" s="3"/>
      <c r="S15" s="27"/>
      <c r="T15" s="3" t="s">
        <v>1</v>
      </c>
      <c r="V15" s="27" t="s">
        <v>62</v>
      </c>
      <c r="W15" s="3"/>
      <c r="X15" s="27"/>
      <c r="Y15" s="3" t="s">
        <v>1</v>
      </c>
      <c r="Z15" s="27"/>
    </row>
    <row r="16" spans="1:32" x14ac:dyDescent="0.2">
      <c r="A16" s="3"/>
      <c r="B16" s="3"/>
      <c r="C16" s="3" t="s">
        <v>4</v>
      </c>
      <c r="D16" s="3" t="s">
        <v>4</v>
      </c>
      <c r="E16" s="3" t="s">
        <v>75</v>
      </c>
      <c r="F16" s="3" t="s">
        <v>75</v>
      </c>
      <c r="G16" s="87" t="s">
        <v>337</v>
      </c>
      <c r="H16" s="87" t="s">
        <v>73</v>
      </c>
      <c r="I16" s="87" t="s">
        <v>72</v>
      </c>
      <c r="J16" s="3" t="s">
        <v>4</v>
      </c>
      <c r="K16" s="3" t="s">
        <v>4</v>
      </c>
      <c r="L16" s="3" t="s">
        <v>75</v>
      </c>
      <c r="M16" s="3"/>
      <c r="N16" s="3"/>
      <c r="O16" s="3"/>
      <c r="P16" s="3"/>
      <c r="Q16" s="27" t="s">
        <v>61</v>
      </c>
      <c r="R16" s="3" t="s">
        <v>56</v>
      </c>
      <c r="S16" s="27" t="s">
        <v>5</v>
      </c>
      <c r="T16" s="3" t="s">
        <v>76</v>
      </c>
      <c r="V16" s="27" t="s">
        <v>61</v>
      </c>
      <c r="W16" s="3" t="s">
        <v>56</v>
      </c>
      <c r="X16" s="27" t="s">
        <v>5</v>
      </c>
      <c r="Y16" s="3" t="s">
        <v>76</v>
      </c>
      <c r="Z16" s="27"/>
      <c r="AB16" s="2"/>
      <c r="AC16" s="3" t="s">
        <v>6</v>
      </c>
      <c r="AD16" s="3"/>
      <c r="AE16" s="3" t="s">
        <v>8</v>
      </c>
      <c r="AF16" s="3"/>
    </row>
    <row r="17" spans="1:32" x14ac:dyDescent="0.2">
      <c r="A17" s="3" t="s">
        <v>49</v>
      </c>
      <c r="B17" s="3"/>
      <c r="C17" s="3"/>
      <c r="D17" s="3"/>
      <c r="E17" s="3" t="s">
        <v>69</v>
      </c>
      <c r="F17" s="27" t="s">
        <v>70</v>
      </c>
      <c r="G17" s="90"/>
      <c r="H17" s="90"/>
      <c r="I17" s="91"/>
      <c r="J17" s="3" t="s">
        <v>69</v>
      </c>
      <c r="K17" s="3" t="s">
        <v>69</v>
      </c>
      <c r="L17" s="27" t="s">
        <v>70</v>
      </c>
      <c r="M17" s="3"/>
      <c r="N17" s="3"/>
      <c r="O17" s="3"/>
      <c r="P17" s="3"/>
      <c r="Q17" s="36" t="s">
        <v>3</v>
      </c>
      <c r="R17" s="15" t="s">
        <v>3</v>
      </c>
      <c r="S17" s="36" t="s">
        <v>4</v>
      </c>
      <c r="T17" s="15" t="s">
        <v>3</v>
      </c>
      <c r="V17" s="36" t="s">
        <v>3</v>
      </c>
      <c r="W17" s="15" t="s">
        <v>3</v>
      </c>
      <c r="X17" s="36" t="s">
        <v>4</v>
      </c>
      <c r="Y17" s="15" t="s">
        <v>3</v>
      </c>
      <c r="Z17" s="59"/>
      <c r="AB17" s="2"/>
      <c r="AC17" s="3" t="s">
        <v>7</v>
      </c>
      <c r="AD17" s="3"/>
      <c r="AE17" s="3" t="s">
        <v>7</v>
      </c>
      <c r="AF17" s="3"/>
    </row>
    <row r="18" spans="1:32" x14ac:dyDescent="0.2">
      <c r="A18" s="82"/>
      <c r="B18" s="82"/>
      <c r="C18" s="82"/>
      <c r="D18" s="82"/>
      <c r="E18" s="204" t="str">
        <f>("[ "&amp;D13&amp;" - "&amp;C13&amp;" ]")</f>
        <v>[ B - A ]</v>
      </c>
      <c r="F18" s="204" t="str">
        <f>("[ "&amp;E13&amp;" / "&amp;C13&amp;" ]")</f>
        <v>[ C / A ]</v>
      </c>
      <c r="G18" s="205"/>
      <c r="H18" s="205"/>
      <c r="I18" s="205"/>
      <c r="J18" s="204" t="str">
        <f>("["&amp;C13&amp;"+"&amp;$G$13&amp;"+"&amp;$H$13&amp;"+"&amp;$I$13&amp;"]")</f>
        <v>[A+E+F+G]</v>
      </c>
      <c r="K18" s="204" t="str">
        <f>("["&amp;D13&amp;"+"&amp;$G$13&amp;"+"&amp;$H$13&amp;"+"&amp;$I$13&amp;"]")</f>
        <v>[B+E+F+G]</v>
      </c>
      <c r="L18" s="204" t="str">
        <f>("[("&amp;K13&amp;" - "&amp;J13&amp;")/"&amp;J13&amp;"]")</f>
        <v>[(I - H)/H]</v>
      </c>
      <c r="M18" s="3"/>
      <c r="N18" s="3"/>
      <c r="O18" s="3"/>
      <c r="P18" s="3"/>
      <c r="Q18" s="27"/>
      <c r="R18" s="33">
        <f>+INPUT!$G$6</f>
        <v>8.2439999999999999E-2</v>
      </c>
      <c r="S18" s="27"/>
      <c r="T18" s="42"/>
      <c r="V18" s="27"/>
      <c r="W18" s="33">
        <f>INPUT!$G$27</f>
        <v>8.8880000000000001E-2</v>
      </c>
      <c r="X18" s="27"/>
      <c r="Y18" s="42"/>
      <c r="Z18" s="27"/>
      <c r="AB18" s="2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7"/>
      <c r="R19" s="3" t="s">
        <v>14</v>
      </c>
      <c r="S19" s="27"/>
      <c r="T19" s="3"/>
      <c r="V19" s="27"/>
      <c r="W19" s="3" t="s">
        <v>14</v>
      </c>
      <c r="X19" s="27"/>
      <c r="Y19" s="3"/>
      <c r="Z19" s="27"/>
      <c r="AB19" s="2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3"/>
      <c r="S20" s="3"/>
      <c r="T20" s="3"/>
      <c r="W20" s="3"/>
      <c r="X20" s="3"/>
      <c r="Y20" s="3"/>
      <c r="Z20" s="3"/>
    </row>
    <row r="21" spans="1:32" x14ac:dyDescent="0.2">
      <c r="A21">
        <v>500</v>
      </c>
      <c r="C21" s="6">
        <f>+S21</f>
        <v>126.22</v>
      </c>
      <c r="D21" s="6">
        <f>+X21</f>
        <v>129.66499999999999</v>
      </c>
      <c r="E21" s="30">
        <f>+D21-C21</f>
        <v>3.4449999999999932</v>
      </c>
      <c r="F21" s="56">
        <f>ROUND(+E21/C21,4)</f>
        <v>2.7300000000000001E-2</v>
      </c>
      <c r="G21" s="92">
        <f>ROUND($R$10*$A21,2)</f>
        <v>-0.93</v>
      </c>
      <c r="H21" s="92">
        <f>ROUND($R$11*$A21,2)</f>
        <v>0.53</v>
      </c>
      <c r="I21" s="92">
        <f>ROUND($R$12*$A21,2)</f>
        <v>5.17</v>
      </c>
      <c r="J21" s="30">
        <f>+C21+G21+H21+I21</f>
        <v>130.98999999999998</v>
      </c>
      <c r="K21" s="30">
        <f>+D21+G21+H21+I21</f>
        <v>134.43499999999997</v>
      </c>
      <c r="L21" s="56">
        <f>ROUND((K21-J21)/J21,4)</f>
        <v>2.63E-2</v>
      </c>
      <c r="Q21" s="7">
        <f>+INPUT!$G$4</f>
        <v>85</v>
      </c>
      <c r="R21" s="6">
        <f>A21*$R$18</f>
        <v>41.22</v>
      </c>
      <c r="S21" s="6">
        <f>Q21+R21</f>
        <v>126.22</v>
      </c>
      <c r="T21" s="6"/>
      <c r="V21" s="7">
        <f>INPUT!$G$25</f>
        <v>85.224999999999994</v>
      </c>
      <c r="W21" s="6">
        <f>+$A21*W$18</f>
        <v>44.44</v>
      </c>
      <c r="X21" s="6">
        <f>V21+W21</f>
        <v>129.66499999999999</v>
      </c>
      <c r="Y21" s="6"/>
      <c r="Z21" s="6"/>
      <c r="AC21" s="6">
        <f>X21-S21</f>
        <v>3.4449999999999932</v>
      </c>
      <c r="AE21" s="8">
        <f>X21/S21-1</f>
        <v>2.7293614324195747E-2</v>
      </c>
      <c r="AF21" s="8"/>
    </row>
    <row r="22" spans="1:32" x14ac:dyDescent="0.2">
      <c r="Q22" s="7"/>
      <c r="R22" s="6"/>
      <c r="S22" s="6"/>
      <c r="T22" s="6"/>
      <c r="V22" s="7"/>
      <c r="W22" s="6"/>
      <c r="X22" s="6"/>
      <c r="Y22" s="6"/>
      <c r="Z22" s="6"/>
      <c r="AE22" s="8"/>
      <c r="AF22" s="8"/>
    </row>
    <row r="23" spans="1:32" x14ac:dyDescent="0.2">
      <c r="A23" s="1">
        <v>1000</v>
      </c>
      <c r="C23" s="6">
        <f>+S23</f>
        <v>167.44</v>
      </c>
      <c r="D23" s="6">
        <f>+X23</f>
        <v>174.10499999999999</v>
      </c>
      <c r="E23" s="30">
        <f>+D23-C23</f>
        <v>6.664999999999992</v>
      </c>
      <c r="F23" s="56">
        <f>ROUND(+E23/C23,4)</f>
        <v>3.9800000000000002E-2</v>
      </c>
      <c r="G23" s="92">
        <f>ROUND($R$10*$A23,2)</f>
        <v>-1.86</v>
      </c>
      <c r="H23" s="92">
        <f>ROUND($R$11*$A23,2)</f>
        <v>1.05</v>
      </c>
      <c r="I23" s="92">
        <f>ROUND($R$12*$A23,2)</f>
        <v>10.33</v>
      </c>
      <c r="J23" s="30">
        <f>+C23+G23+H23+I23</f>
        <v>176.96</v>
      </c>
      <c r="K23" s="30">
        <f>+D23+G23+H23+I23</f>
        <v>183.625</v>
      </c>
      <c r="L23" s="56">
        <f>ROUND((K23-J23)/J23,4)</f>
        <v>3.7699999999999997E-2</v>
      </c>
      <c r="Q23" s="7">
        <f>$Q$21</f>
        <v>85</v>
      </c>
      <c r="R23" s="6">
        <f>A23*$R$18</f>
        <v>82.44</v>
      </c>
      <c r="S23" s="6">
        <f>Q23+R23</f>
        <v>167.44</v>
      </c>
      <c r="T23" s="6"/>
      <c r="V23" s="7">
        <f>+$V$21</f>
        <v>85.224999999999994</v>
      </c>
      <c r="W23" s="6">
        <f>+$A23*W$18</f>
        <v>88.88</v>
      </c>
      <c r="X23" s="6">
        <f>V23+W23</f>
        <v>174.10499999999999</v>
      </c>
      <c r="Y23" s="6"/>
      <c r="Z23" s="6"/>
      <c r="AC23" s="6">
        <f>X23-S23</f>
        <v>6.664999999999992</v>
      </c>
      <c r="AE23" s="8">
        <f>X23/S23-1</f>
        <v>3.980530339225985E-2</v>
      </c>
      <c r="AF23" s="8"/>
    </row>
    <row r="24" spans="1:32" x14ac:dyDescent="0.2">
      <c r="C24" s="6"/>
      <c r="D24" s="6"/>
      <c r="E24" s="30"/>
      <c r="F24" s="56"/>
      <c r="G24" s="30"/>
      <c r="H24" s="30"/>
      <c r="I24" s="30"/>
      <c r="J24" s="30"/>
      <c r="K24" s="30"/>
      <c r="L24" s="56"/>
      <c r="Q24" s="57"/>
      <c r="R24" s="6"/>
      <c r="S24" s="6"/>
      <c r="T24" s="6"/>
      <c r="V24" s="7"/>
      <c r="W24" s="6"/>
      <c r="X24" s="6"/>
      <c r="Y24" s="6"/>
      <c r="Z24" s="6"/>
      <c r="AE24" s="28"/>
      <c r="AF24" s="28"/>
    </row>
    <row r="25" spans="1:32" s="10" customFormat="1" x14ac:dyDescent="0.2">
      <c r="A25" s="14">
        <v>1500</v>
      </c>
      <c r="B25"/>
      <c r="C25" s="6">
        <f>+S25</f>
        <v>208.66</v>
      </c>
      <c r="D25" s="6">
        <f>+X25</f>
        <v>218.54499999999999</v>
      </c>
      <c r="E25" s="30">
        <f>+D25-C25</f>
        <v>9.8849999999999909</v>
      </c>
      <c r="F25" s="56">
        <f>ROUND(+E25/C25,4)</f>
        <v>4.7399999999999998E-2</v>
      </c>
      <c r="G25" s="92">
        <f>ROUND($R$10*$A25,2)</f>
        <v>-2.78</v>
      </c>
      <c r="H25" s="92">
        <f>ROUND($R$11*$A25,2)</f>
        <v>1.58</v>
      </c>
      <c r="I25" s="92">
        <f>ROUND($R$12*$A25,2)</f>
        <v>15.5</v>
      </c>
      <c r="J25" s="30">
        <f>+C25+G25+H25+I25</f>
        <v>222.96</v>
      </c>
      <c r="K25" s="30">
        <f>+D25+G25+H25+I25</f>
        <v>232.845</v>
      </c>
      <c r="L25" s="56">
        <f>ROUND((K25-J25)/J25,4)</f>
        <v>4.4299999999999999E-2</v>
      </c>
      <c r="Q25" s="57">
        <f>$Q$21</f>
        <v>85</v>
      </c>
      <c r="R25" s="6">
        <f>A25*$R$18</f>
        <v>123.66</v>
      </c>
      <c r="S25" s="11">
        <f>Q25+R25</f>
        <v>208.66</v>
      </c>
      <c r="T25" s="6"/>
      <c r="V25" s="7">
        <f>+$V$21</f>
        <v>85.224999999999994</v>
      </c>
      <c r="W25" s="6">
        <f>+$A25*W$18</f>
        <v>133.32</v>
      </c>
      <c r="X25" s="11">
        <f>V25+W25</f>
        <v>218.54499999999999</v>
      </c>
      <c r="Y25" s="6"/>
      <c r="Z25" s="11"/>
      <c r="AC25" s="11">
        <f>X25-S25</f>
        <v>9.8849999999999909</v>
      </c>
      <c r="AE25" s="28">
        <f>X25/S25-1</f>
        <v>4.7373718010160104E-2</v>
      </c>
      <c r="AF25" s="28"/>
    </row>
    <row r="26" spans="1:32" x14ac:dyDescent="0.2">
      <c r="Q26" s="7"/>
      <c r="R26" s="6"/>
      <c r="S26" s="6"/>
      <c r="T26" s="6"/>
      <c r="V26" s="7"/>
      <c r="W26" s="6"/>
      <c r="X26" s="6"/>
      <c r="Y26" s="6"/>
      <c r="Z26" s="6"/>
      <c r="AE26" s="8"/>
      <c r="AF26" s="8"/>
    </row>
    <row r="27" spans="1:32" x14ac:dyDescent="0.2">
      <c r="A27" s="1">
        <v>2000</v>
      </c>
      <c r="C27" s="6">
        <f>+S27</f>
        <v>249.88</v>
      </c>
      <c r="D27" s="6">
        <f>+X27</f>
        <v>262.98500000000001</v>
      </c>
      <c r="E27" s="30">
        <f>+D27-C27</f>
        <v>13.105000000000018</v>
      </c>
      <c r="F27" s="56">
        <f>ROUND(+E27/C27,4)</f>
        <v>5.2400000000000002E-2</v>
      </c>
      <c r="G27" s="92">
        <f>ROUND($R$10*$A27,2)</f>
        <v>-3.71</v>
      </c>
      <c r="H27" s="92">
        <f>ROUND($R$11*$A27,2)</f>
        <v>2.1</v>
      </c>
      <c r="I27" s="92">
        <f>ROUND($R$12*$A27,2)</f>
        <v>20.67</v>
      </c>
      <c r="J27" s="30">
        <f>+C27+G27+H27+I27</f>
        <v>268.94</v>
      </c>
      <c r="K27" s="30">
        <f>+D27+G27+H27+I27</f>
        <v>282.04500000000007</v>
      </c>
      <c r="L27" s="56">
        <f>ROUND((K27-J27)/J27,4)</f>
        <v>4.87E-2</v>
      </c>
      <c r="Q27" s="7">
        <f>$Q$21</f>
        <v>85</v>
      </c>
      <c r="R27" s="6">
        <f>A27*$R$18</f>
        <v>164.88</v>
      </c>
      <c r="S27" s="6">
        <f>Q27+R27</f>
        <v>249.88</v>
      </c>
      <c r="T27" s="6"/>
      <c r="V27" s="7">
        <f>+$V$21</f>
        <v>85.224999999999994</v>
      </c>
      <c r="W27" s="6">
        <f>+$A27*W$18</f>
        <v>177.76</v>
      </c>
      <c r="X27" s="6">
        <f>V27+W27</f>
        <v>262.98500000000001</v>
      </c>
      <c r="Y27" s="6"/>
      <c r="Z27" s="6"/>
      <c r="AC27" s="6">
        <f>X27-S27</f>
        <v>13.105000000000018</v>
      </c>
      <c r="AE27" s="8">
        <f>X27/S27-1</f>
        <v>5.2445173683367985E-2</v>
      </c>
      <c r="AF27" s="8"/>
    </row>
    <row r="28" spans="1:32" x14ac:dyDescent="0.2">
      <c r="Q28" s="7"/>
      <c r="R28" s="6"/>
      <c r="S28" s="6"/>
      <c r="T28" s="6"/>
      <c r="V28" s="7"/>
      <c r="W28" s="6"/>
      <c r="X28" s="6"/>
      <c r="Y28" s="6"/>
      <c r="Z28" s="6"/>
      <c r="AE28" s="8"/>
      <c r="AF28" s="8"/>
    </row>
    <row r="29" spans="1:32" x14ac:dyDescent="0.2">
      <c r="A29" s="1">
        <v>2500</v>
      </c>
      <c r="C29" s="6">
        <f>+S29</f>
        <v>291.10000000000002</v>
      </c>
      <c r="D29" s="6">
        <f>+X29</f>
        <v>307.42499999999995</v>
      </c>
      <c r="E29" s="30">
        <f>+D29-C29</f>
        <v>16.324999999999932</v>
      </c>
      <c r="F29" s="56">
        <f>ROUND(+E29/C29,4)</f>
        <v>5.6099999999999997E-2</v>
      </c>
      <c r="G29" s="92">
        <f>ROUND($R$10*$A29,2)</f>
        <v>-4.6399999999999997</v>
      </c>
      <c r="H29" s="92">
        <f>ROUND($R$11*$A29,2)</f>
        <v>2.63</v>
      </c>
      <c r="I29" s="92">
        <f>ROUND($R$12*$A29,2)</f>
        <v>25.83</v>
      </c>
      <c r="J29" s="30">
        <f>+C29+G29+H29+I29</f>
        <v>314.92</v>
      </c>
      <c r="K29" s="30">
        <f>+D29+G29+H29+I29</f>
        <v>331.24499999999995</v>
      </c>
      <c r="L29" s="56">
        <f>ROUND((K29-J29)/J29,4)</f>
        <v>5.1799999999999999E-2</v>
      </c>
      <c r="Q29" s="7">
        <f>$Q$21</f>
        <v>85</v>
      </c>
      <c r="R29" s="6">
        <f>A29*$R$18</f>
        <v>206.1</v>
      </c>
      <c r="S29" s="6">
        <f>Q29+R29</f>
        <v>291.10000000000002</v>
      </c>
      <c r="T29" s="6"/>
      <c r="V29" s="7">
        <f>+$V$21</f>
        <v>85.224999999999994</v>
      </c>
      <c r="W29" s="6">
        <f>+$A29*W$18</f>
        <v>222.2</v>
      </c>
      <c r="X29" s="6">
        <f>V29+W29</f>
        <v>307.42499999999995</v>
      </c>
      <c r="Y29" s="6"/>
      <c r="Z29" s="6"/>
      <c r="AC29" s="6">
        <f>X29-S29</f>
        <v>16.324999999999932</v>
      </c>
      <c r="AE29" s="8">
        <f>X29/S29-1</f>
        <v>5.6080384747509315E-2</v>
      </c>
      <c r="AF29" s="8"/>
    </row>
    <row r="30" spans="1:32" x14ac:dyDescent="0.2">
      <c r="A30" s="1"/>
      <c r="Q30" s="7"/>
      <c r="R30" s="6"/>
      <c r="S30" s="6"/>
      <c r="T30" s="6"/>
      <c r="V30" s="7"/>
      <c r="W30" s="6"/>
      <c r="X30" s="6"/>
      <c r="Y30" s="6"/>
      <c r="Z30" s="6"/>
      <c r="AE30" s="8"/>
      <c r="AF30" s="8"/>
    </row>
    <row r="31" spans="1:32" x14ac:dyDescent="0.2">
      <c r="A31" s="1">
        <v>3000</v>
      </c>
      <c r="C31" s="6">
        <f>+S31</f>
        <v>332.32</v>
      </c>
      <c r="D31" s="6">
        <f>+X31</f>
        <v>351.86500000000001</v>
      </c>
      <c r="E31" s="30">
        <f>+D31-C31</f>
        <v>19.545000000000016</v>
      </c>
      <c r="F31" s="56">
        <f>ROUND(+E31/C31,4)</f>
        <v>5.8799999999999998E-2</v>
      </c>
      <c r="G31" s="92">
        <f>ROUND($R$10*$A31,2)</f>
        <v>-5.57</v>
      </c>
      <c r="H31" s="92">
        <f>ROUND($R$11*$A31,2)</f>
        <v>3.16</v>
      </c>
      <c r="I31" s="92">
        <f>ROUND($R$12*$A31,2)</f>
        <v>31</v>
      </c>
      <c r="J31" s="30">
        <f>+C31+G31+H31+I31</f>
        <v>360.91</v>
      </c>
      <c r="K31" s="30">
        <f>+D31+G31+H31+I31</f>
        <v>380.45500000000004</v>
      </c>
      <c r="L31" s="56">
        <f>ROUND((K31-J31)/J31,4)</f>
        <v>5.4199999999999998E-2</v>
      </c>
      <c r="Q31" s="7">
        <f>$Q$21</f>
        <v>85</v>
      </c>
      <c r="R31" s="6">
        <f>A31*$R$18</f>
        <v>247.32</v>
      </c>
      <c r="S31" s="6">
        <f>Q31+R31</f>
        <v>332.32</v>
      </c>
      <c r="T31" s="6"/>
      <c r="V31" s="7">
        <f>+$V$21</f>
        <v>85.224999999999994</v>
      </c>
      <c r="W31" s="6">
        <f>+$A31*W$18</f>
        <v>266.64</v>
      </c>
      <c r="X31" s="6">
        <f>V31+W31</f>
        <v>351.86500000000001</v>
      </c>
      <c r="Y31" s="6"/>
      <c r="Z31" s="6"/>
      <c r="AC31" s="6">
        <f>X31-S31</f>
        <v>19.545000000000016</v>
      </c>
      <c r="AE31" s="8">
        <f>X31/S31-1</f>
        <v>5.8813793933558012E-2</v>
      </c>
      <c r="AF31" s="8"/>
    </row>
    <row r="32" spans="1:32" x14ac:dyDescent="0.2">
      <c r="Q32" s="7"/>
      <c r="R32" s="6"/>
      <c r="S32" s="6"/>
      <c r="T32" s="6"/>
      <c r="V32" s="7"/>
      <c r="W32" s="6"/>
      <c r="X32" s="6"/>
      <c r="Y32" s="6"/>
      <c r="Z32" s="6"/>
      <c r="AE32" s="8"/>
      <c r="AF32" s="8"/>
    </row>
    <row r="33" spans="1:32" x14ac:dyDescent="0.2">
      <c r="A33" s="1">
        <v>3500</v>
      </c>
      <c r="C33" s="6">
        <f>+S33</f>
        <v>373.54</v>
      </c>
      <c r="D33" s="6">
        <f>+X33</f>
        <v>396.30499999999995</v>
      </c>
      <c r="E33" s="30">
        <f>+D33-C33</f>
        <v>22.76499999999993</v>
      </c>
      <c r="F33" s="56">
        <f>ROUND(+E33/C33,4)</f>
        <v>6.0900000000000003E-2</v>
      </c>
      <c r="G33" s="92">
        <f>ROUND($R$10*$A33,2)</f>
        <v>-6.49</v>
      </c>
      <c r="H33" s="92">
        <f>ROUND($R$11*$A33,2)</f>
        <v>3.68</v>
      </c>
      <c r="I33" s="92">
        <f>ROUND($R$12*$A33,2)</f>
        <v>36.17</v>
      </c>
      <c r="J33" s="30">
        <f>+C33+G33+H33+I33</f>
        <v>406.90000000000003</v>
      </c>
      <c r="K33" s="30">
        <f>+D33+G33+H33+I33</f>
        <v>429.66499999999996</v>
      </c>
      <c r="L33" s="56">
        <f>ROUND((K33-J33)/J33,4)</f>
        <v>5.5899999999999998E-2</v>
      </c>
      <c r="Q33" s="7">
        <f>$Q$21</f>
        <v>85</v>
      </c>
      <c r="R33" s="6">
        <f>A33*$R$18</f>
        <v>288.54000000000002</v>
      </c>
      <c r="S33" s="6">
        <f>Q33+R33</f>
        <v>373.54</v>
      </c>
      <c r="T33" s="6"/>
      <c r="V33" s="7">
        <f>+$V$21</f>
        <v>85.224999999999994</v>
      </c>
      <c r="W33" s="6">
        <f>+$A33*W$18</f>
        <v>311.08</v>
      </c>
      <c r="X33" s="6">
        <f>V33+W33</f>
        <v>396.30499999999995</v>
      </c>
      <c r="Y33" s="6"/>
      <c r="Z33" s="6"/>
      <c r="AE33" s="8"/>
      <c r="AF33" s="8"/>
    </row>
    <row r="34" spans="1:32" x14ac:dyDescent="0.2">
      <c r="Q34" s="7"/>
      <c r="R34" s="6"/>
      <c r="S34" s="6"/>
      <c r="T34" s="6"/>
      <c r="V34" s="7"/>
      <c r="W34" s="6"/>
      <c r="X34" s="6"/>
      <c r="Y34" s="6"/>
      <c r="Z34" s="6"/>
      <c r="AE34" s="8"/>
      <c r="AF34" s="8"/>
    </row>
    <row r="35" spans="1:32" x14ac:dyDescent="0.2">
      <c r="A35" s="1">
        <v>4000</v>
      </c>
      <c r="C35" s="6">
        <f>+S35</f>
        <v>414.76</v>
      </c>
      <c r="D35" s="6">
        <f>+X35</f>
        <v>440.745</v>
      </c>
      <c r="E35" s="30">
        <f>+D35-C35</f>
        <v>25.985000000000014</v>
      </c>
      <c r="F35" s="56">
        <f>ROUND(+E35/C35,4)</f>
        <v>6.2700000000000006E-2</v>
      </c>
      <c r="G35" s="92">
        <f>ROUND($R$10*$A35,2)</f>
        <v>-7.42</v>
      </c>
      <c r="H35" s="92">
        <f>ROUND($R$11*$A35,2)</f>
        <v>4.21</v>
      </c>
      <c r="I35" s="92">
        <f>ROUND($R$12*$A35,2)</f>
        <v>41.33</v>
      </c>
      <c r="J35" s="30">
        <f>+C35+G35+H35+I35</f>
        <v>452.87999999999994</v>
      </c>
      <c r="K35" s="30">
        <f>+D35+G35+H35+I35</f>
        <v>478.86499999999995</v>
      </c>
      <c r="L35" s="56">
        <f>ROUND((K35-J35)/J35,4)</f>
        <v>5.74E-2</v>
      </c>
      <c r="Q35" s="7">
        <f>$Q$21</f>
        <v>85</v>
      </c>
      <c r="R35" s="6">
        <f>A35*$R$18</f>
        <v>329.76</v>
      </c>
      <c r="S35" s="6">
        <f>Q35+R35</f>
        <v>414.76</v>
      </c>
      <c r="T35" s="6"/>
      <c r="V35" s="7">
        <f>+$V$21</f>
        <v>85.224999999999994</v>
      </c>
      <c r="W35" s="6">
        <f>+$A35*W$18</f>
        <v>355.52</v>
      </c>
      <c r="X35" s="6">
        <f>V35+W35</f>
        <v>440.745</v>
      </c>
      <c r="Y35" s="6"/>
      <c r="Z35" s="6"/>
      <c r="AC35" s="6">
        <f>X35-S35</f>
        <v>25.985000000000014</v>
      </c>
      <c r="AE35" s="8">
        <f>X35/S35-1</f>
        <v>6.2650689555405537E-2</v>
      </c>
      <c r="AF35" s="8"/>
    </row>
    <row r="37" spans="1:32" x14ac:dyDescent="0.2">
      <c r="A37" s="17" t="s">
        <v>313</v>
      </c>
    </row>
    <row r="38" spans="1:32" x14ac:dyDescent="0.2">
      <c r="A38" s="179" t="str">
        <f>("Average usage = "&amp;TEXT(INPUT!$G$19*1,"0,000")&amp;" kWh per month")</f>
        <v>Average usage = 1,965 kWh per month</v>
      </c>
    </row>
    <row r="39" spans="1:32" x14ac:dyDescent="0.2">
      <c r="A39" s="180" t="s">
        <v>314</v>
      </c>
    </row>
    <row r="40" spans="1:32" x14ac:dyDescent="0.2">
      <c r="A40" s="180" t="str">
        <f>+'Rate Case Constants'!$C$26</f>
        <v>Calculations may vary from other schedules due to rounding</v>
      </c>
    </row>
    <row r="41" spans="1:32" ht="12" customHeight="1" x14ac:dyDescent="0.2"/>
    <row r="42" spans="1:32" x14ac:dyDescent="0.2">
      <c r="A42" s="180"/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F42"/>
  <sheetViews>
    <sheetView view="pageBreakPreview" zoomScaleNormal="80" zoomScaleSheetLayoutView="100" workbookViewId="0">
      <selection sqref="A1:L1"/>
    </sheetView>
  </sheetViews>
  <sheetFormatPr defaultRowHeight="12.75" x14ac:dyDescent="0.2"/>
  <cols>
    <col min="1" max="1" width="10" customWidth="1"/>
    <col min="2" max="2" width="3.5703125" customWidth="1"/>
    <col min="3" max="3" width="10.5703125" customWidth="1"/>
    <col min="4" max="4" width="10.140625" bestFit="1" customWidth="1"/>
    <col min="5" max="5" width="10.28515625" bestFit="1" customWidth="1"/>
    <col min="6" max="6" width="9.28515625" bestFit="1" customWidth="1"/>
    <col min="7" max="7" width="10.7109375" bestFit="1" customWidth="1"/>
    <col min="8" max="8" width="10" bestFit="1" customWidth="1"/>
    <col min="9" max="9" width="10.7109375" customWidth="1"/>
    <col min="10" max="11" width="11.28515625" bestFit="1" customWidth="1"/>
    <col min="12" max="12" width="9.28515625" bestFit="1" customWidth="1"/>
    <col min="13" max="16" width="3.5703125" customWidth="1"/>
    <col min="17" max="17" width="11.85546875" customWidth="1"/>
    <col min="18" max="18" width="9.85546875" customWidth="1"/>
    <col min="19" max="20" width="9.5703125" customWidth="1"/>
    <col min="21" max="21" width="7.140625" customWidth="1"/>
    <col min="22" max="22" width="11.5703125" customWidth="1"/>
    <col min="23" max="24" width="10.28515625" customWidth="1"/>
    <col min="27" max="28" width="3" customWidth="1"/>
    <col min="30" max="30" width="2.7109375" customWidth="1"/>
  </cols>
  <sheetData>
    <row r="1" spans="1:32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32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32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32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32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32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</row>
    <row r="7" spans="1:32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03" t="str">
        <f>+'Rate Case Constants'!C25</f>
        <v>SCHEDULE N</v>
      </c>
    </row>
    <row r="8" spans="1:32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02" t="str">
        <f>+'Rate Case Constants'!L12</f>
        <v>PAGE 5 of 24</v>
      </c>
    </row>
    <row r="9" spans="1:32" x14ac:dyDescent="0.2">
      <c r="A9" s="85" t="str">
        <f>+'Rate Case Constants'!C34</f>
        <v>WORKPAPER REFERENCE NO(S):________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202" t="str">
        <f>+'Rate Case Constants'!C36</f>
        <v>WITNESS:   R. M. CONROY</v>
      </c>
      <c r="Q9" s="46" t="s">
        <v>321</v>
      </c>
    </row>
    <row r="10" spans="1:32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206"/>
      <c r="Q10" s="85" t="s">
        <v>71</v>
      </c>
      <c r="R10" s="2">
        <f>+INPUT!K58</f>
        <v>-1.8550049606960643E-3</v>
      </c>
    </row>
    <row r="11" spans="1:32" x14ac:dyDescent="0.2">
      <c r="A11" s="126" t="s">
        <v>80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85" t="s">
        <v>73</v>
      </c>
      <c r="R11" s="2">
        <f>+INPUT!L58</f>
        <v>1.0517976616133567E-3</v>
      </c>
      <c r="S11" s="31"/>
      <c r="T11" s="31"/>
      <c r="U11" s="31"/>
      <c r="V11" s="34"/>
      <c r="W11" s="31"/>
      <c r="X11" s="31"/>
      <c r="Y11" s="31"/>
      <c r="Z11" s="31"/>
    </row>
    <row r="12" spans="1:32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85" t="s">
        <v>72</v>
      </c>
      <c r="R12" s="2">
        <f>+INPUT!M58</f>
        <v>1.0333561498603858E-2</v>
      </c>
      <c r="S12" s="31"/>
      <c r="T12" s="31"/>
      <c r="U12" s="31"/>
      <c r="V12" s="31"/>
      <c r="W12" s="31"/>
      <c r="X12" s="31"/>
      <c r="Y12" s="31"/>
      <c r="Z12" s="31"/>
    </row>
    <row r="13" spans="1:32" x14ac:dyDescent="0.2">
      <c r="A13" s="31"/>
      <c r="B13" s="31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 t="s">
        <v>312</v>
      </c>
      <c r="M13" s="31"/>
      <c r="N13" s="31"/>
      <c r="O13" s="31"/>
      <c r="P13" s="31"/>
      <c r="Q13" s="31"/>
      <c r="R13" s="31"/>
      <c r="S13" s="31"/>
      <c r="U13" s="31"/>
      <c r="V13" s="31"/>
      <c r="W13" s="31"/>
      <c r="X13" s="31"/>
      <c r="Y13" s="31"/>
      <c r="Z13" s="31"/>
    </row>
    <row r="14" spans="1:32" x14ac:dyDescent="0.2">
      <c r="C14" s="200" t="s">
        <v>327</v>
      </c>
      <c r="D14" s="200" t="s">
        <v>327</v>
      </c>
      <c r="G14" s="17"/>
      <c r="H14" s="17"/>
      <c r="I14" s="17"/>
      <c r="J14" s="3" t="s">
        <v>5</v>
      </c>
      <c r="K14" s="3" t="s">
        <v>5</v>
      </c>
      <c r="Q14" s="48" t="s">
        <v>59</v>
      </c>
      <c r="R14" s="48"/>
      <c r="S14" s="48"/>
      <c r="T14" s="3" t="s">
        <v>72</v>
      </c>
      <c r="V14" s="48" t="s">
        <v>60</v>
      </c>
      <c r="W14" s="48"/>
      <c r="X14" s="48"/>
      <c r="Y14" s="3" t="s">
        <v>72</v>
      </c>
      <c r="Z14" s="58"/>
    </row>
    <row r="15" spans="1:32" x14ac:dyDescent="0.2">
      <c r="C15" s="3" t="s">
        <v>1</v>
      </c>
      <c r="D15" s="3" t="s">
        <v>74</v>
      </c>
      <c r="E15" s="3"/>
      <c r="F15" s="3"/>
      <c r="G15" s="392" t="s">
        <v>251</v>
      </c>
      <c r="H15" s="392"/>
      <c r="I15" s="393"/>
      <c r="J15" s="3" t="s">
        <v>1</v>
      </c>
      <c r="K15" s="3" t="s">
        <v>74</v>
      </c>
      <c r="L15" s="3"/>
      <c r="Q15" s="27" t="s">
        <v>62</v>
      </c>
      <c r="R15" s="3"/>
      <c r="S15" s="27"/>
      <c r="T15" s="3" t="s">
        <v>1</v>
      </c>
      <c r="V15" s="27" t="s">
        <v>62</v>
      </c>
      <c r="W15" s="3"/>
      <c r="X15" s="27"/>
      <c r="Y15" s="3" t="s">
        <v>1</v>
      </c>
      <c r="Z15" s="27"/>
    </row>
    <row r="16" spans="1:32" x14ac:dyDescent="0.2">
      <c r="A16" s="3"/>
      <c r="B16" s="3"/>
      <c r="C16" s="3" t="s">
        <v>4</v>
      </c>
      <c r="D16" s="3" t="s">
        <v>4</v>
      </c>
      <c r="E16" s="3" t="s">
        <v>75</v>
      </c>
      <c r="F16" s="3" t="s">
        <v>75</v>
      </c>
      <c r="G16" s="87" t="s">
        <v>337</v>
      </c>
      <c r="H16" s="87" t="s">
        <v>73</v>
      </c>
      <c r="I16" s="87" t="s">
        <v>72</v>
      </c>
      <c r="J16" s="3" t="s">
        <v>4</v>
      </c>
      <c r="K16" s="3" t="s">
        <v>4</v>
      </c>
      <c r="L16" s="3" t="s">
        <v>75</v>
      </c>
      <c r="M16" s="3"/>
      <c r="N16" s="3"/>
      <c r="O16" s="3"/>
      <c r="P16" s="3"/>
      <c r="Q16" s="27" t="s">
        <v>61</v>
      </c>
      <c r="R16" s="3" t="s">
        <v>56</v>
      </c>
      <c r="S16" s="27" t="s">
        <v>5</v>
      </c>
      <c r="T16" s="3" t="s">
        <v>76</v>
      </c>
      <c r="V16" s="27" t="s">
        <v>61</v>
      </c>
      <c r="W16" s="3" t="s">
        <v>56</v>
      </c>
      <c r="X16" s="27" t="s">
        <v>5</v>
      </c>
      <c r="Y16" s="3" t="s">
        <v>76</v>
      </c>
      <c r="Z16" s="27"/>
      <c r="AB16" s="2"/>
      <c r="AC16" s="3" t="s">
        <v>6</v>
      </c>
      <c r="AD16" s="3"/>
      <c r="AE16" s="3" t="s">
        <v>8</v>
      </c>
      <c r="AF16" s="3"/>
    </row>
    <row r="17" spans="1:32" x14ac:dyDescent="0.2">
      <c r="A17" s="211" t="s">
        <v>49</v>
      </c>
      <c r="B17" s="211"/>
      <c r="C17" s="211"/>
      <c r="D17" s="211"/>
      <c r="E17" s="211" t="s">
        <v>69</v>
      </c>
      <c r="F17" s="59" t="s">
        <v>70</v>
      </c>
      <c r="G17" s="212"/>
      <c r="H17" s="212"/>
      <c r="I17" s="213"/>
      <c r="J17" s="211" t="s">
        <v>69</v>
      </c>
      <c r="K17" s="211" t="s">
        <v>69</v>
      </c>
      <c r="L17" s="59" t="s">
        <v>70</v>
      </c>
      <c r="M17" s="3"/>
      <c r="N17" s="3"/>
      <c r="O17" s="3"/>
      <c r="P17" s="3"/>
      <c r="Q17" s="188" t="s">
        <v>3</v>
      </c>
      <c r="R17" s="82" t="s">
        <v>3</v>
      </c>
      <c r="S17" s="188" t="s">
        <v>4</v>
      </c>
      <c r="T17" s="82" t="s">
        <v>3</v>
      </c>
      <c r="V17" s="188" t="s">
        <v>3</v>
      </c>
      <c r="W17" s="82" t="s">
        <v>3</v>
      </c>
      <c r="X17" s="188" t="s">
        <v>4</v>
      </c>
      <c r="Y17" s="82" t="s">
        <v>3</v>
      </c>
      <c r="Z17" s="59"/>
      <c r="AB17" s="2"/>
      <c r="AC17" s="3" t="s">
        <v>7</v>
      </c>
      <c r="AD17" s="3"/>
      <c r="AE17" s="3" t="s">
        <v>7</v>
      </c>
      <c r="AF17" s="3"/>
    </row>
    <row r="18" spans="1:32" x14ac:dyDescent="0.2">
      <c r="A18" s="82"/>
      <c r="B18" s="82"/>
      <c r="C18" s="82"/>
      <c r="D18" s="82"/>
      <c r="E18" s="204" t="str">
        <f>("[ "&amp;D13&amp;" - "&amp;C13&amp;" ]")</f>
        <v>[ B - A ]</v>
      </c>
      <c r="F18" s="204" t="str">
        <f>("[ "&amp;E13&amp;" / "&amp;C13&amp;" ]")</f>
        <v>[ C / A ]</v>
      </c>
      <c r="G18" s="205"/>
      <c r="H18" s="205"/>
      <c r="I18" s="205"/>
      <c r="J18" s="204" t="str">
        <f>("["&amp;C13&amp;"+"&amp;$G$13&amp;"+"&amp;$H$13&amp;"+"&amp;$I$13&amp;"]")</f>
        <v>[A+E+F+G]</v>
      </c>
      <c r="K18" s="204" t="str">
        <f>("["&amp;D13&amp;"+"&amp;$G$13&amp;"+"&amp;$H$13&amp;"+"&amp;$I$13&amp;"]")</f>
        <v>[B+E+F+G]</v>
      </c>
      <c r="L18" s="204" t="str">
        <f>("[("&amp;K13&amp;" - "&amp;J13&amp;")/"&amp;J13&amp;"]")</f>
        <v>[(I - H)/H]</v>
      </c>
      <c r="M18" s="3"/>
      <c r="N18" s="3"/>
      <c r="O18" s="3"/>
      <c r="P18" s="3"/>
      <c r="Q18" s="27"/>
      <c r="R18" s="33">
        <f>+INPUT!$H$6</f>
        <v>8.2439999999999999E-2</v>
      </c>
      <c r="S18" s="27"/>
      <c r="T18" s="42"/>
      <c r="V18" s="27"/>
      <c r="W18" s="33">
        <f>INPUT!$H$27</f>
        <v>8.8880000000000001E-2</v>
      </c>
      <c r="X18" s="27"/>
      <c r="Y18" s="42"/>
      <c r="Z18" s="27"/>
      <c r="AB18" s="2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7"/>
      <c r="R19" s="3" t="s">
        <v>14</v>
      </c>
      <c r="S19" s="27"/>
      <c r="T19" s="3"/>
      <c r="V19" s="27"/>
      <c r="W19" s="3" t="s">
        <v>14</v>
      </c>
      <c r="X19" s="27"/>
      <c r="Y19" s="3"/>
      <c r="Z19" s="27"/>
      <c r="AB19" s="2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3"/>
      <c r="S20" s="3"/>
      <c r="T20" s="3"/>
      <c r="W20" s="3"/>
      <c r="X20" s="3"/>
      <c r="Y20" s="3"/>
      <c r="Z20" s="3"/>
    </row>
    <row r="21" spans="1:32" x14ac:dyDescent="0.2">
      <c r="A21" s="1">
        <v>5000</v>
      </c>
      <c r="C21" s="6">
        <f>+S21</f>
        <v>552.20000000000005</v>
      </c>
      <c r="D21" s="6">
        <f>+X21</f>
        <v>584.41249999999991</v>
      </c>
      <c r="E21" s="30">
        <f>+D21-C21</f>
        <v>32.212499999999864</v>
      </c>
      <c r="F21" s="56">
        <f>ROUND(+E21/C21,4)</f>
        <v>5.8299999999999998E-2</v>
      </c>
      <c r="G21" s="92">
        <f>ROUND($R$10*$A21,2)</f>
        <v>-9.2799999999999994</v>
      </c>
      <c r="H21" s="92">
        <f>ROUND($R$11*$A21,2)</f>
        <v>5.26</v>
      </c>
      <c r="I21" s="92">
        <f>ROUND($R$12*$A21,2)</f>
        <v>51.67</v>
      </c>
      <c r="J21" s="30">
        <f>+C21+G21+H21+I21</f>
        <v>599.85</v>
      </c>
      <c r="K21" s="30">
        <f>+D21+G21+H21+I21</f>
        <v>632.06249999999989</v>
      </c>
      <c r="L21" s="56">
        <f>ROUND((K21-J21)/J21,4)</f>
        <v>5.3699999999999998E-2</v>
      </c>
      <c r="Q21" s="7">
        <f>+INPUT!$H$4</f>
        <v>140</v>
      </c>
      <c r="R21" s="6">
        <f>A21*$R$18</f>
        <v>412.2</v>
      </c>
      <c r="S21" s="6">
        <f>Q21+R21</f>
        <v>552.20000000000005</v>
      </c>
      <c r="T21" s="6"/>
      <c r="V21" s="7">
        <f>INPUT!$H$25</f>
        <v>140.01249999999999</v>
      </c>
      <c r="W21" s="6">
        <f>+$A21*W$18</f>
        <v>444.4</v>
      </c>
      <c r="X21" s="6">
        <f>V21+W21</f>
        <v>584.41249999999991</v>
      </c>
      <c r="Y21" s="6"/>
      <c r="Z21" s="6"/>
      <c r="AC21" s="6">
        <f>X21-S21</f>
        <v>32.212499999999864</v>
      </c>
      <c r="AE21" s="8">
        <f>X21/S21-1</f>
        <v>5.8334842448388047E-2</v>
      </c>
      <c r="AF21" s="8"/>
    </row>
    <row r="22" spans="1:32" x14ac:dyDescent="0.2">
      <c r="Q22" s="7"/>
      <c r="R22" s="6"/>
      <c r="S22" s="6"/>
      <c r="T22" s="6"/>
      <c r="V22" s="7"/>
      <c r="W22" s="6"/>
      <c r="X22" s="6"/>
      <c r="Y22" s="6"/>
      <c r="Z22" s="6"/>
      <c r="AE22" s="8"/>
      <c r="AF22" s="8"/>
    </row>
    <row r="23" spans="1:32" x14ac:dyDescent="0.2">
      <c r="A23" s="1">
        <v>10000</v>
      </c>
      <c r="C23" s="6">
        <f>+S23</f>
        <v>964.4</v>
      </c>
      <c r="D23" s="6">
        <f>+X23</f>
        <v>1028.8125</v>
      </c>
      <c r="E23" s="30">
        <f>+D23-C23</f>
        <v>64.412500000000023</v>
      </c>
      <c r="F23" s="56">
        <f>ROUND(+E23/C23,4)</f>
        <v>6.6799999999999998E-2</v>
      </c>
      <c r="G23" s="92">
        <f>ROUND($R$10*$A23,2)</f>
        <v>-18.55</v>
      </c>
      <c r="H23" s="92">
        <f>ROUND($R$11*$A23,2)</f>
        <v>10.52</v>
      </c>
      <c r="I23" s="92">
        <f>ROUND($R$12*$A23,2)</f>
        <v>103.34</v>
      </c>
      <c r="J23" s="30">
        <f>+C23+G23+H23+I23</f>
        <v>1059.71</v>
      </c>
      <c r="K23" s="30">
        <f>+D23+G23+H23+I23</f>
        <v>1124.1224999999999</v>
      </c>
      <c r="L23" s="56">
        <f>ROUND((K23-J23)/J23,4)</f>
        <v>6.08E-2</v>
      </c>
      <c r="Q23" s="7">
        <f>$Q$21</f>
        <v>140</v>
      </c>
      <c r="R23" s="6">
        <f>A23*$R$18</f>
        <v>824.4</v>
      </c>
      <c r="S23" s="6">
        <f>Q23+R23</f>
        <v>964.4</v>
      </c>
      <c r="T23" s="6"/>
      <c r="V23" s="7">
        <f>+$V$21</f>
        <v>140.01249999999999</v>
      </c>
      <c r="W23" s="6">
        <f>+$A23*W$18</f>
        <v>888.8</v>
      </c>
      <c r="X23" s="6">
        <f>V23+W23</f>
        <v>1028.8125</v>
      </c>
      <c r="Y23" s="6"/>
      <c r="Z23" s="6"/>
      <c r="AC23" s="6">
        <f>X23-S23</f>
        <v>64.412500000000023</v>
      </c>
      <c r="AE23" s="8">
        <f>X23/S23-1</f>
        <v>6.6790232268768124E-2</v>
      </c>
      <c r="AF23" s="8"/>
    </row>
    <row r="24" spans="1:32" x14ac:dyDescent="0.2">
      <c r="C24" s="6"/>
      <c r="D24" s="6"/>
      <c r="E24" s="30"/>
      <c r="F24" s="56"/>
      <c r="G24" s="30"/>
      <c r="H24" s="30"/>
      <c r="I24" s="30"/>
      <c r="J24" s="30"/>
      <c r="K24" s="30"/>
      <c r="L24" s="56"/>
      <c r="Q24" s="57"/>
      <c r="R24" s="6"/>
      <c r="S24" s="6"/>
      <c r="T24" s="6"/>
      <c r="V24" s="7"/>
      <c r="W24" s="6"/>
      <c r="X24" s="6"/>
      <c r="Y24" s="6"/>
      <c r="Z24" s="6"/>
      <c r="AE24" s="28"/>
      <c r="AF24" s="28"/>
    </row>
    <row r="25" spans="1:32" s="10" customFormat="1" x14ac:dyDescent="0.2">
      <c r="A25" s="14">
        <v>20000</v>
      </c>
      <c r="B25"/>
      <c r="C25" s="6">
        <f>+S25</f>
        <v>1788.8</v>
      </c>
      <c r="D25" s="6">
        <f>+X25</f>
        <v>1917.6125</v>
      </c>
      <c r="E25" s="30">
        <f>+D25-C25</f>
        <v>128.8125</v>
      </c>
      <c r="F25" s="56">
        <f>ROUND(+E25/C25,4)</f>
        <v>7.1999999999999995E-2</v>
      </c>
      <c r="G25" s="92">
        <f>ROUND($R$10*$A25,2)</f>
        <v>-37.1</v>
      </c>
      <c r="H25" s="92">
        <f>ROUND($R$11*$A25,2)</f>
        <v>21.04</v>
      </c>
      <c r="I25" s="92">
        <f>ROUND($R$12*$A25,2)</f>
        <v>206.67</v>
      </c>
      <c r="J25" s="30">
        <f>+C25+G25+H25+I25</f>
        <v>1979.41</v>
      </c>
      <c r="K25" s="30">
        <f>+D25+G25+H25+I25</f>
        <v>2108.2224999999999</v>
      </c>
      <c r="L25" s="56">
        <f>ROUND((K25-J25)/J25,4)</f>
        <v>6.5100000000000005E-2</v>
      </c>
      <c r="Q25" s="57">
        <f>$Q$21</f>
        <v>140</v>
      </c>
      <c r="R25" s="6">
        <f>A25*$R$18</f>
        <v>1648.8</v>
      </c>
      <c r="S25" s="11">
        <f>Q25+R25</f>
        <v>1788.8</v>
      </c>
      <c r="T25" s="6"/>
      <c r="V25" s="7">
        <f>+$V$21</f>
        <v>140.01249999999999</v>
      </c>
      <c r="W25" s="6">
        <f>+$A25*W$18</f>
        <v>1777.6</v>
      </c>
      <c r="X25" s="11">
        <f>V25+W25</f>
        <v>1917.6125</v>
      </c>
      <c r="Y25" s="6"/>
      <c r="Z25" s="11"/>
      <c r="AC25" s="11">
        <f>X25-S25</f>
        <v>128.8125</v>
      </c>
      <c r="AE25" s="28">
        <f>X25/S25-1</f>
        <v>7.2010565742397059E-2</v>
      </c>
      <c r="AF25" s="28"/>
    </row>
    <row r="26" spans="1:32" x14ac:dyDescent="0.2">
      <c r="Q26" s="7"/>
      <c r="R26" s="6"/>
      <c r="S26" s="6"/>
      <c r="T26" s="6"/>
      <c r="V26" s="7"/>
      <c r="W26" s="6"/>
      <c r="X26" s="6"/>
      <c r="Y26" s="6"/>
      <c r="Z26" s="6"/>
      <c r="AE26" s="8"/>
      <c r="AF26" s="8"/>
    </row>
    <row r="27" spans="1:32" x14ac:dyDescent="0.2">
      <c r="A27" s="1">
        <v>30000</v>
      </c>
      <c r="C27" s="6">
        <f>+S27</f>
        <v>2613.1999999999998</v>
      </c>
      <c r="D27" s="6">
        <f>+X27</f>
        <v>2806.4124999999999</v>
      </c>
      <c r="E27" s="30">
        <f>+D27-C27</f>
        <v>193.21250000000009</v>
      </c>
      <c r="F27" s="56">
        <f>ROUND(+E27/C27,4)</f>
        <v>7.3899999999999993E-2</v>
      </c>
      <c r="G27" s="92">
        <f>ROUND($R$10*$A27,2)</f>
        <v>-55.65</v>
      </c>
      <c r="H27" s="92">
        <f>ROUND($R$11*$A27,2)</f>
        <v>31.55</v>
      </c>
      <c r="I27" s="92">
        <f>ROUND($R$12*$A27,2)</f>
        <v>310.01</v>
      </c>
      <c r="J27" s="30">
        <f>+C27+G27+H27+I27</f>
        <v>2899.1099999999997</v>
      </c>
      <c r="K27" s="30">
        <f>+D27+G27+H27+I27</f>
        <v>3092.3225000000002</v>
      </c>
      <c r="L27" s="56">
        <f>ROUND((K27-J27)/J27,4)</f>
        <v>6.6600000000000006E-2</v>
      </c>
      <c r="Q27" s="7">
        <f>$Q$21</f>
        <v>140</v>
      </c>
      <c r="R27" s="6">
        <f>A27*$R$18</f>
        <v>2473.1999999999998</v>
      </c>
      <c r="S27" s="6">
        <f>Q27+R27</f>
        <v>2613.1999999999998</v>
      </c>
      <c r="T27" s="6"/>
      <c r="V27" s="7">
        <f>+$V$21</f>
        <v>140.01249999999999</v>
      </c>
      <c r="W27" s="6">
        <f>+$A27*W$18</f>
        <v>2666.4</v>
      </c>
      <c r="X27" s="6">
        <f>V27+W27</f>
        <v>2806.4124999999999</v>
      </c>
      <c r="Y27" s="6"/>
      <c r="Z27" s="6"/>
      <c r="AC27" s="6">
        <f>X27-S27</f>
        <v>193.21250000000009</v>
      </c>
      <c r="AE27" s="8">
        <f>X27/S27-1</f>
        <v>7.3937126894229266E-2</v>
      </c>
      <c r="AF27" s="8"/>
    </row>
    <row r="28" spans="1:32" x14ac:dyDescent="0.2">
      <c r="Q28" s="7"/>
      <c r="R28" s="6"/>
      <c r="S28" s="6"/>
      <c r="T28" s="6"/>
      <c r="V28" s="7"/>
      <c r="W28" s="6"/>
      <c r="X28" s="6"/>
      <c r="Y28" s="6"/>
      <c r="Z28" s="6"/>
      <c r="AE28" s="8"/>
      <c r="AF28" s="8"/>
    </row>
    <row r="29" spans="1:32" x14ac:dyDescent="0.2">
      <c r="A29" s="1">
        <v>40000</v>
      </c>
      <c r="C29" s="6">
        <f>+S29</f>
        <v>3437.6</v>
      </c>
      <c r="D29" s="6">
        <f>+X29</f>
        <v>3695.2124999999996</v>
      </c>
      <c r="E29" s="30">
        <f>+D29-C29</f>
        <v>257.61249999999973</v>
      </c>
      <c r="F29" s="56">
        <f>ROUND(+E29/C29,4)</f>
        <v>7.4899999999999994E-2</v>
      </c>
      <c r="G29" s="92">
        <f>ROUND($R$10*$A29,2)</f>
        <v>-74.2</v>
      </c>
      <c r="H29" s="92">
        <f>ROUND($R$11*$A29,2)</f>
        <v>42.07</v>
      </c>
      <c r="I29" s="92">
        <f>ROUND($R$12*$A29,2)</f>
        <v>413.34</v>
      </c>
      <c r="J29" s="30">
        <f>+C29+G29+H29+I29</f>
        <v>3818.8100000000004</v>
      </c>
      <c r="K29" s="30">
        <f>+D29+G29+H29+I29</f>
        <v>4076.4225000000001</v>
      </c>
      <c r="L29" s="56">
        <f>ROUND((K29-J29)/J29,4)</f>
        <v>6.7500000000000004E-2</v>
      </c>
      <c r="Q29" s="7">
        <f>$Q$21</f>
        <v>140</v>
      </c>
      <c r="R29" s="6">
        <f>A29*$R$18</f>
        <v>3297.6</v>
      </c>
      <c r="S29" s="6">
        <f>Q29+R29</f>
        <v>3437.6</v>
      </c>
      <c r="T29" s="6"/>
      <c r="V29" s="7">
        <f>+$V$21</f>
        <v>140.01249999999999</v>
      </c>
      <c r="W29" s="6">
        <f>+$A29*W$18</f>
        <v>3555.2</v>
      </c>
      <c r="X29" s="6">
        <f>V29+W29</f>
        <v>3695.2124999999996</v>
      </c>
      <c r="Y29" s="6"/>
      <c r="Z29" s="6"/>
      <c r="AC29" s="6">
        <f>X29-S29</f>
        <v>257.61249999999973</v>
      </c>
      <c r="AE29" s="8">
        <f>X29/S29-1</f>
        <v>7.4939638119618346E-2</v>
      </c>
      <c r="AF29" s="8"/>
    </row>
    <row r="30" spans="1:32" x14ac:dyDescent="0.2">
      <c r="A30" s="1"/>
      <c r="Q30" s="7"/>
      <c r="R30" s="6"/>
      <c r="S30" s="6"/>
      <c r="T30" s="6"/>
      <c r="V30" s="7"/>
      <c r="W30" s="6"/>
      <c r="X30" s="6"/>
      <c r="Y30" s="6"/>
      <c r="Z30" s="6"/>
      <c r="AE30" s="8"/>
      <c r="AF30" s="8"/>
    </row>
    <row r="31" spans="1:32" x14ac:dyDescent="0.2">
      <c r="A31" s="1">
        <v>50000</v>
      </c>
      <c r="C31" s="6">
        <f>+S31</f>
        <v>4262</v>
      </c>
      <c r="D31" s="6">
        <f>+X31</f>
        <v>4584.0124999999998</v>
      </c>
      <c r="E31" s="30">
        <f>+D31-C31</f>
        <v>322.01249999999982</v>
      </c>
      <c r="F31" s="56">
        <f>ROUND(+E31/C31,4)</f>
        <v>7.5600000000000001E-2</v>
      </c>
      <c r="G31" s="92">
        <f>ROUND($R$10*$A31,2)</f>
        <v>-92.75</v>
      </c>
      <c r="H31" s="92">
        <f>ROUND($R$11*$A31,2)</f>
        <v>52.59</v>
      </c>
      <c r="I31" s="92">
        <f>ROUND($R$12*$A31,2)</f>
        <v>516.67999999999995</v>
      </c>
      <c r="J31" s="30">
        <f>+C31+G31+H31+I31</f>
        <v>4738.5200000000004</v>
      </c>
      <c r="K31" s="30">
        <f>+D31+G31+H31+I31</f>
        <v>5060.5325000000003</v>
      </c>
      <c r="L31" s="56">
        <f>ROUND((K31-J31)/J31,4)</f>
        <v>6.8000000000000005E-2</v>
      </c>
      <c r="Q31" s="7">
        <f>$Q$21</f>
        <v>140</v>
      </c>
      <c r="R31" s="6">
        <f>A31*$R$18</f>
        <v>4122</v>
      </c>
      <c r="S31" s="6">
        <f>Q31+R31</f>
        <v>4262</v>
      </c>
      <c r="T31" s="6"/>
      <c r="V31" s="7">
        <f>+$V$21</f>
        <v>140.01249999999999</v>
      </c>
      <c r="W31" s="6">
        <f>+$A31*W$18</f>
        <v>4444</v>
      </c>
      <c r="X31" s="6">
        <f>V31+W31</f>
        <v>4584.0124999999998</v>
      </c>
      <c r="Y31" s="6"/>
      <c r="Z31" s="6"/>
      <c r="AC31" s="6">
        <f>X31-S31</f>
        <v>322.01249999999982</v>
      </c>
      <c r="AE31" s="8">
        <f>X31/S31-1</f>
        <v>7.5554317221961487E-2</v>
      </c>
      <c r="AF31" s="8"/>
    </row>
    <row r="32" spans="1:32" x14ac:dyDescent="0.2">
      <c r="Q32" s="7"/>
      <c r="R32" s="6"/>
      <c r="S32" s="6"/>
      <c r="T32" s="6"/>
      <c r="V32" s="7"/>
      <c r="W32" s="6"/>
      <c r="X32" s="6"/>
      <c r="Y32" s="6"/>
      <c r="Z32" s="6"/>
      <c r="AE32" s="8"/>
      <c r="AF32" s="8"/>
    </row>
    <row r="33" spans="1:32" x14ac:dyDescent="0.2">
      <c r="A33" s="1">
        <v>60000</v>
      </c>
      <c r="C33" s="6">
        <f>+S33</f>
        <v>5086.3999999999996</v>
      </c>
      <c r="D33" s="6">
        <f>+X33</f>
        <v>5472.8125</v>
      </c>
      <c r="E33" s="30">
        <f>+D33-C33</f>
        <v>386.41250000000036</v>
      </c>
      <c r="F33" s="56">
        <f>ROUND(+E33/C33,4)</f>
        <v>7.5999999999999998E-2</v>
      </c>
      <c r="G33" s="92">
        <f>ROUND($R$10*$A33,2)</f>
        <v>-111.3</v>
      </c>
      <c r="H33" s="92">
        <f>ROUND($R$11*$A33,2)</f>
        <v>63.11</v>
      </c>
      <c r="I33" s="92">
        <f>ROUND($R$12*$A33,2)</f>
        <v>620.01</v>
      </c>
      <c r="J33" s="30">
        <f>+C33+G33+H33+I33</f>
        <v>5658.2199999999993</v>
      </c>
      <c r="K33" s="30">
        <f>+D33+G33+H33+I33</f>
        <v>6044.6324999999997</v>
      </c>
      <c r="L33" s="56">
        <f>ROUND((K33-J33)/J33,4)</f>
        <v>6.83E-2</v>
      </c>
      <c r="Q33" s="7">
        <f>$Q$21</f>
        <v>140</v>
      </c>
      <c r="R33" s="6">
        <f>A33*$R$18</f>
        <v>4946.3999999999996</v>
      </c>
      <c r="S33" s="6">
        <f>Q33+R33</f>
        <v>5086.3999999999996</v>
      </c>
      <c r="T33" s="6"/>
      <c r="V33" s="7">
        <f>+$V$21</f>
        <v>140.01249999999999</v>
      </c>
      <c r="W33" s="6">
        <f>+$A33*W$18</f>
        <v>5332.8</v>
      </c>
      <c r="X33" s="6">
        <f>V33+W33</f>
        <v>5472.8125</v>
      </c>
      <c r="Y33" s="6"/>
      <c r="Z33" s="6"/>
      <c r="AC33" s="6">
        <f>X33-S33</f>
        <v>386.41250000000036</v>
      </c>
      <c r="AE33" s="8">
        <f>X33/S33-1</f>
        <v>7.5969742843661647E-2</v>
      </c>
      <c r="AF33" s="8"/>
    </row>
    <row r="34" spans="1:32" x14ac:dyDescent="0.2">
      <c r="Q34" s="7"/>
      <c r="R34" s="6"/>
      <c r="S34" s="6"/>
      <c r="T34" s="6"/>
      <c r="V34" s="7"/>
      <c r="W34" s="6"/>
      <c r="X34" s="6"/>
      <c r="Y34" s="6"/>
      <c r="Z34" s="6"/>
      <c r="AE34" s="8"/>
      <c r="AF34" s="8"/>
    </row>
    <row r="35" spans="1:32" x14ac:dyDescent="0.2">
      <c r="A35" s="1">
        <v>70000</v>
      </c>
      <c r="C35" s="6">
        <f>+S35</f>
        <v>5910.8</v>
      </c>
      <c r="D35" s="6">
        <f>+X35</f>
        <v>6361.6125000000002</v>
      </c>
      <c r="E35" s="30">
        <f>+D35-C35</f>
        <v>450.8125</v>
      </c>
      <c r="F35" s="56">
        <f>ROUND(+E35/C35,4)</f>
        <v>7.6300000000000007E-2</v>
      </c>
      <c r="G35" s="92">
        <f>ROUND($R$10*$A35,2)</f>
        <v>-129.85</v>
      </c>
      <c r="H35" s="92">
        <f>ROUND($R$11*$A35,2)</f>
        <v>73.63</v>
      </c>
      <c r="I35" s="92">
        <f>ROUND($R$12*$A35,2)</f>
        <v>723.35</v>
      </c>
      <c r="J35" s="30">
        <f>+C35+G35+H35+I35</f>
        <v>6577.93</v>
      </c>
      <c r="K35" s="30">
        <f>+D35+G35+H35+I35</f>
        <v>7028.7425000000003</v>
      </c>
      <c r="L35" s="56">
        <f>ROUND((K35-J35)/J35,4)</f>
        <v>6.8500000000000005E-2</v>
      </c>
      <c r="Q35" s="7">
        <f>$Q$21</f>
        <v>140</v>
      </c>
      <c r="R35" s="6">
        <f>A35*$R$18</f>
        <v>5770.8</v>
      </c>
      <c r="S35" s="6">
        <f>Q35+R35</f>
        <v>5910.8</v>
      </c>
      <c r="T35" s="6"/>
      <c r="V35" s="7">
        <f>+$V$21</f>
        <v>140.01249999999999</v>
      </c>
      <c r="W35" s="6">
        <f>+$A35*W$18</f>
        <v>6221.6</v>
      </c>
      <c r="X35" s="6">
        <f>V35+W35</f>
        <v>6361.6125000000002</v>
      </c>
      <c r="Y35" s="6"/>
      <c r="Z35" s="6"/>
      <c r="AE35" s="8"/>
      <c r="AF35" s="8"/>
    </row>
    <row r="36" spans="1:32" x14ac:dyDescent="0.2">
      <c r="Q36" s="7"/>
      <c r="R36" s="6"/>
      <c r="S36" s="6"/>
      <c r="T36" s="6"/>
      <c r="V36" s="7"/>
      <c r="W36" s="6"/>
      <c r="X36" s="6"/>
      <c r="Y36" s="6"/>
      <c r="Z36" s="6"/>
      <c r="AE36" s="8"/>
      <c r="AF36" s="8"/>
    </row>
    <row r="37" spans="1:32" x14ac:dyDescent="0.2">
      <c r="A37" s="17" t="s">
        <v>313</v>
      </c>
    </row>
    <row r="38" spans="1:32" x14ac:dyDescent="0.2">
      <c r="A38" s="179" t="str">
        <f>("Average usage = "&amp;TEXT(INPUT!$H$19*1,"0,000")&amp;" kWh per month")</f>
        <v>Average usage = 39,402 kWh per month</v>
      </c>
    </row>
    <row r="39" spans="1:32" x14ac:dyDescent="0.2">
      <c r="A39" s="180" t="s">
        <v>314</v>
      </c>
    </row>
    <row r="40" spans="1:32" x14ac:dyDescent="0.2">
      <c r="A40" s="180" t="str">
        <f>+'Rate Case Constants'!$C$26</f>
        <v>Calculations may vary from other schedules due to rounding</v>
      </c>
    </row>
    <row r="41" spans="1:32" ht="12" customHeight="1" x14ac:dyDescent="0.2"/>
    <row r="42" spans="1:32" x14ac:dyDescent="0.2">
      <c r="A42" s="180"/>
    </row>
  </sheetData>
  <mergeCells count="5">
    <mergeCell ref="A1:L1"/>
    <mergeCell ref="A2:L2"/>
    <mergeCell ref="A3:L3"/>
    <mergeCell ref="A4:L4"/>
    <mergeCell ref="G15:I15"/>
  </mergeCells>
  <printOptions horizontalCentered="1"/>
  <pageMargins left="0.75" right="0.75" top="1.5" bottom="0.5" header="1" footer="0.5"/>
  <pageSetup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F44"/>
  <sheetViews>
    <sheetView view="pageBreakPreview" zoomScaleNormal="80" zoomScaleSheetLayoutView="100" workbookViewId="0">
      <selection sqref="A1:L1"/>
    </sheetView>
  </sheetViews>
  <sheetFormatPr defaultRowHeight="12.75" x14ac:dyDescent="0.2"/>
  <cols>
    <col min="1" max="1" width="10" customWidth="1"/>
    <col min="2" max="2" width="3.5703125" customWidth="1"/>
    <col min="3" max="4" width="10.140625" bestFit="1" customWidth="1"/>
    <col min="5" max="6" width="9.28515625" bestFit="1" customWidth="1"/>
    <col min="7" max="7" width="10.7109375" bestFit="1" customWidth="1"/>
    <col min="8" max="8" width="10" bestFit="1" customWidth="1"/>
    <col min="9" max="9" width="10" customWidth="1"/>
    <col min="10" max="11" width="10.5703125" bestFit="1" customWidth="1"/>
    <col min="12" max="12" width="9.28515625" bestFit="1" customWidth="1"/>
    <col min="13" max="16" width="3.5703125" customWidth="1"/>
    <col min="17" max="17" width="11.85546875" customWidth="1"/>
    <col min="18" max="18" width="9.85546875" customWidth="1"/>
    <col min="19" max="20" width="9.5703125" customWidth="1"/>
    <col min="21" max="21" width="7.140625" customWidth="1"/>
    <col min="22" max="22" width="11.5703125" customWidth="1"/>
    <col min="23" max="23" width="9.5703125" customWidth="1"/>
    <col min="27" max="28" width="3" customWidth="1"/>
    <col min="30" max="30" width="2.7109375" customWidth="1"/>
  </cols>
  <sheetData>
    <row r="1" spans="1:32" x14ac:dyDescent="0.2">
      <c r="A1" s="394" t="str">
        <f>+'Rate Case Constants'!C9</f>
        <v>KENTUCKY UTILITIES COMPANY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32" x14ac:dyDescent="0.2">
      <c r="A2" s="394" t="str">
        <f>+'Rate Case Constants'!C10</f>
        <v>CASE NO. 2018-00294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32" x14ac:dyDescent="0.2">
      <c r="A3" s="395" t="str">
        <f>+'Rate Case Constants'!C24</f>
        <v>Typical Bill Comparison under Present &amp; Proposed Rates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32" x14ac:dyDescent="0.2">
      <c r="A4" s="394" t="str">
        <f>+'Rate Case Constants'!C21</f>
        <v>FORECAST PERIOD FOR THE 12 MONTHS ENDED APRIL 30, 2020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32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32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02"/>
    </row>
    <row r="7" spans="1:32" x14ac:dyDescent="0.2">
      <c r="A7" s="85" t="str">
        <f>+'Rate Case Constants'!C33</f>
        <v>DATA: ____BASE PERIOD__X___FORECASTED PERIOD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203" t="str">
        <f>+'Rate Case Constants'!C25</f>
        <v>SCHEDULE N</v>
      </c>
    </row>
    <row r="8" spans="1:32" x14ac:dyDescent="0.2">
      <c r="A8" s="85" t="str">
        <f>+'Rate Case Constants'!C29</f>
        <v>TYPE OF FILING: __X__ ORIGINAL  _____ UPDATED  _____ REVISED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02" t="str">
        <f>+'Rate Case Constants'!L13</f>
        <v>PAGE 6 of 24</v>
      </c>
    </row>
    <row r="9" spans="1:32" x14ac:dyDescent="0.2">
      <c r="A9" s="85" t="str">
        <f>+'Rate Case Constants'!C34</f>
        <v>WORKPAPER REFERENCE NO(S):________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202" t="str">
        <f>+'Rate Case Constants'!C36</f>
        <v>WITNESS:   R. M. CONROY</v>
      </c>
      <c r="Q9" s="31"/>
    </row>
    <row r="10" spans="1:32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206"/>
      <c r="Q10" s="85" t="s">
        <v>71</v>
      </c>
      <c r="R10">
        <f>+INPUT!G55</f>
        <v>-1.8627885934061285E-3</v>
      </c>
    </row>
    <row r="11" spans="1:32" x14ac:dyDescent="0.2">
      <c r="A11" s="126" t="s">
        <v>77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85" t="s">
        <v>73</v>
      </c>
      <c r="R11" s="31">
        <f>+INPUT!H56</f>
        <v>9.5119456892753316E-4</v>
      </c>
      <c r="S11" s="31"/>
      <c r="T11" s="31"/>
      <c r="U11" s="31"/>
      <c r="V11" s="34"/>
      <c r="W11" s="31"/>
      <c r="X11" s="31"/>
      <c r="Y11" s="31"/>
      <c r="Z11" s="31"/>
    </row>
    <row r="12" spans="1:32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85" t="s">
        <v>72</v>
      </c>
      <c r="R12" s="31">
        <f>+INPUT!I56</f>
        <v>1.1608114609436162E-2</v>
      </c>
      <c r="S12" s="31"/>
      <c r="T12" s="31"/>
      <c r="U12" s="31"/>
      <c r="V12" s="31"/>
      <c r="W12" s="31"/>
      <c r="X12" s="31"/>
      <c r="Y12" s="31"/>
      <c r="Z12" s="31"/>
    </row>
    <row r="13" spans="1:32" x14ac:dyDescent="0.2">
      <c r="A13" s="31"/>
      <c r="B13" s="31"/>
      <c r="C13" s="87" t="s">
        <v>303</v>
      </c>
      <c r="D13" s="88" t="s">
        <v>304</v>
      </c>
      <c r="E13" s="88" t="s">
        <v>305</v>
      </c>
      <c r="F13" s="87" t="s">
        <v>306</v>
      </c>
      <c r="G13" s="87" t="s">
        <v>307</v>
      </c>
      <c r="H13" s="87" t="s">
        <v>308</v>
      </c>
      <c r="I13" s="87" t="s">
        <v>309</v>
      </c>
      <c r="J13" s="87" t="s">
        <v>310</v>
      </c>
      <c r="K13" s="87" t="s">
        <v>311</v>
      </c>
      <c r="L13" s="87" t="s">
        <v>312</v>
      </c>
      <c r="M13" s="31"/>
      <c r="N13" s="31"/>
      <c r="O13" s="31"/>
      <c r="P13" s="31"/>
      <c r="Q13" s="31"/>
      <c r="R13" s="31"/>
      <c r="S13" s="31"/>
      <c r="U13" s="31"/>
      <c r="V13" s="31"/>
      <c r="W13" s="31"/>
      <c r="X13" s="31"/>
      <c r="Y13" s="31"/>
      <c r="Z13" s="31"/>
    </row>
    <row r="14" spans="1:32" x14ac:dyDescent="0.2">
      <c r="C14" s="200" t="s">
        <v>327</v>
      </c>
      <c r="D14" s="200" t="s">
        <v>327</v>
      </c>
      <c r="G14" s="17"/>
      <c r="H14" s="17"/>
      <c r="I14" s="17"/>
      <c r="J14" s="3" t="s">
        <v>5</v>
      </c>
      <c r="K14" s="3" t="s">
        <v>5</v>
      </c>
      <c r="Q14" s="48" t="s">
        <v>59</v>
      </c>
      <c r="R14" s="48"/>
      <c r="S14" s="48"/>
      <c r="T14" s="3" t="s">
        <v>72</v>
      </c>
      <c r="V14" s="48" t="s">
        <v>60</v>
      </c>
      <c r="W14" s="48"/>
      <c r="X14" s="48"/>
      <c r="Y14" s="3" t="s">
        <v>72</v>
      </c>
      <c r="Z14" s="58"/>
    </row>
    <row r="15" spans="1:32" x14ac:dyDescent="0.2">
      <c r="C15" s="3" t="s">
        <v>1</v>
      </c>
      <c r="D15" s="3" t="s">
        <v>74</v>
      </c>
      <c r="E15" s="3"/>
      <c r="F15" s="3"/>
      <c r="G15" s="392" t="s">
        <v>251</v>
      </c>
      <c r="H15" s="392"/>
      <c r="I15" s="393"/>
      <c r="J15" s="3" t="s">
        <v>1</v>
      </c>
      <c r="K15" s="3" t="s">
        <v>74</v>
      </c>
      <c r="L15" s="3"/>
      <c r="Q15" s="27" t="s">
        <v>62</v>
      </c>
      <c r="R15" s="3"/>
      <c r="S15" s="27"/>
      <c r="T15" s="3" t="s">
        <v>1</v>
      </c>
      <c r="V15" s="27" t="s">
        <v>62</v>
      </c>
      <c r="W15" s="3"/>
      <c r="X15" s="27"/>
      <c r="Y15" s="3" t="s">
        <v>1</v>
      </c>
      <c r="Z15" s="27"/>
    </row>
    <row r="16" spans="1:32" x14ac:dyDescent="0.2">
      <c r="A16" s="3"/>
      <c r="B16" s="3"/>
      <c r="C16" s="3" t="s">
        <v>4</v>
      </c>
      <c r="D16" s="3" t="s">
        <v>4</v>
      </c>
      <c r="E16" s="3" t="s">
        <v>75</v>
      </c>
      <c r="F16" s="3" t="s">
        <v>75</v>
      </c>
      <c r="G16" s="87" t="s">
        <v>337</v>
      </c>
      <c r="H16" s="87" t="s">
        <v>73</v>
      </c>
      <c r="I16" s="87" t="s">
        <v>72</v>
      </c>
      <c r="J16" s="3" t="s">
        <v>4</v>
      </c>
      <c r="K16" s="3" t="s">
        <v>4</v>
      </c>
      <c r="L16" s="3" t="s">
        <v>75</v>
      </c>
      <c r="M16" s="3"/>
      <c r="N16" s="3"/>
      <c r="O16" s="3"/>
      <c r="P16" s="3"/>
      <c r="Q16" s="27" t="s">
        <v>61</v>
      </c>
      <c r="R16" s="3" t="s">
        <v>56</v>
      </c>
      <c r="S16" s="27" t="s">
        <v>5</v>
      </c>
      <c r="T16" s="3" t="s">
        <v>76</v>
      </c>
      <c r="V16" s="27" t="s">
        <v>61</v>
      </c>
      <c r="W16" s="3" t="s">
        <v>56</v>
      </c>
      <c r="X16" s="27" t="s">
        <v>5</v>
      </c>
      <c r="Y16" s="3" t="s">
        <v>76</v>
      </c>
      <c r="Z16" s="27"/>
      <c r="AB16" s="2"/>
      <c r="AC16" s="3" t="s">
        <v>6</v>
      </c>
      <c r="AD16" s="3"/>
      <c r="AE16" s="3" t="s">
        <v>8</v>
      </c>
      <c r="AF16" s="3"/>
    </row>
    <row r="17" spans="1:32" x14ac:dyDescent="0.2">
      <c r="A17" s="3" t="s">
        <v>49</v>
      </c>
      <c r="B17" s="3"/>
      <c r="C17" s="3"/>
      <c r="D17" s="3"/>
      <c r="E17" s="3" t="s">
        <v>69</v>
      </c>
      <c r="F17" s="27" t="s">
        <v>70</v>
      </c>
      <c r="G17" s="90"/>
      <c r="H17" s="90"/>
      <c r="I17" s="91"/>
      <c r="J17" s="3" t="s">
        <v>69</v>
      </c>
      <c r="K17" s="3" t="s">
        <v>69</v>
      </c>
      <c r="L17" s="27" t="s">
        <v>70</v>
      </c>
      <c r="M17" s="3"/>
      <c r="N17" s="3"/>
      <c r="O17" s="3"/>
      <c r="P17" s="3"/>
      <c r="Q17" s="36" t="s">
        <v>3</v>
      </c>
      <c r="R17" s="15" t="s">
        <v>3</v>
      </c>
      <c r="S17" s="36" t="s">
        <v>4</v>
      </c>
      <c r="T17" s="15" t="s">
        <v>3</v>
      </c>
      <c r="V17" s="36" t="s">
        <v>3</v>
      </c>
      <c r="W17" s="15" t="s">
        <v>3</v>
      </c>
      <c r="X17" s="36" t="s">
        <v>4</v>
      </c>
      <c r="Y17" s="15" t="s">
        <v>3</v>
      </c>
      <c r="Z17" s="59"/>
      <c r="AB17" s="2"/>
      <c r="AC17" s="3" t="s">
        <v>7</v>
      </c>
      <c r="AD17" s="3"/>
      <c r="AE17" s="3" t="s">
        <v>7</v>
      </c>
      <c r="AF17" s="3"/>
    </row>
    <row r="18" spans="1:32" x14ac:dyDescent="0.2">
      <c r="A18" s="82"/>
      <c r="B18" s="82"/>
      <c r="C18" s="82"/>
      <c r="D18" s="82"/>
      <c r="E18" s="204" t="str">
        <f>("[ "&amp;D13&amp;" - "&amp;C13&amp;" ]")</f>
        <v>[ B - A ]</v>
      </c>
      <c r="F18" s="204" t="str">
        <f>("[ "&amp;E13&amp;" / "&amp;C13&amp;" ]")</f>
        <v>[ C / A ]</v>
      </c>
      <c r="G18" s="205"/>
      <c r="H18" s="205"/>
      <c r="I18" s="205"/>
      <c r="J18" s="204" t="str">
        <f>("["&amp;C13&amp;"+"&amp;$G$13&amp;"+"&amp;$H$13&amp;"+"&amp;$I$13&amp;"]")</f>
        <v>[A+E+F+G]</v>
      </c>
      <c r="K18" s="204" t="str">
        <f>("["&amp;D13&amp;"+"&amp;$G$13&amp;"+"&amp;$H$13&amp;"+"&amp;$I$13&amp;"]")</f>
        <v>[B+E+F+G]</v>
      </c>
      <c r="L18" s="204" t="str">
        <f>("[("&amp;K13&amp;" - "&amp;J13&amp;")/"&amp;J13&amp;"]")</f>
        <v>[(I - H)/H]</v>
      </c>
      <c r="M18" s="3"/>
      <c r="N18" s="3"/>
      <c r="O18" s="3"/>
      <c r="P18" s="3"/>
      <c r="Q18" s="27"/>
      <c r="R18" s="33">
        <f>+INPUT!$E$6</f>
        <v>0.10489999999999999</v>
      </c>
      <c r="S18" s="27"/>
      <c r="T18" s="42"/>
      <c r="V18" s="27"/>
      <c r="W18" s="33">
        <f>INPUT!$E$27</f>
        <v>0.11379</v>
      </c>
      <c r="X18" s="27"/>
      <c r="Y18" s="42"/>
      <c r="Z18" s="27"/>
      <c r="AB18" s="2"/>
      <c r="AC18" s="3"/>
      <c r="AD18" s="3"/>
      <c r="AE18" s="3"/>
      <c r="AF18" s="3"/>
    </row>
    <row r="19" spans="1:3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7"/>
      <c r="R19" s="3" t="s">
        <v>14</v>
      </c>
      <c r="S19" s="27"/>
      <c r="T19" s="3"/>
      <c r="V19" s="27"/>
      <c r="W19" s="3" t="s">
        <v>14</v>
      </c>
      <c r="X19" s="27"/>
      <c r="Y19" s="3"/>
      <c r="Z19" s="27"/>
      <c r="AB19" s="2"/>
      <c r="AC19" s="3"/>
      <c r="AD19" s="3"/>
      <c r="AE19" s="3"/>
      <c r="AF19" s="3"/>
    </row>
    <row r="20" spans="1:32" x14ac:dyDescent="0.2">
      <c r="A20" s="3"/>
      <c r="B20" s="3"/>
      <c r="C20" s="3"/>
      <c r="D20" s="3"/>
      <c r="E20" s="3"/>
      <c r="F20" s="3"/>
      <c r="G20" s="87"/>
      <c r="H20" s="87"/>
      <c r="I20" s="87"/>
      <c r="J20" s="87"/>
      <c r="K20" s="3"/>
      <c r="L20" s="3"/>
      <c r="M20" s="3"/>
      <c r="N20" s="3"/>
      <c r="O20" s="3"/>
      <c r="P20" s="3"/>
      <c r="R20" s="3"/>
      <c r="S20" s="3"/>
      <c r="T20" s="3"/>
      <c r="W20" s="3"/>
      <c r="X20" s="3"/>
      <c r="Y20" s="3"/>
      <c r="Z20" s="3"/>
    </row>
    <row r="21" spans="1:32" x14ac:dyDescent="0.2">
      <c r="A21">
        <v>100</v>
      </c>
      <c r="C21" s="6">
        <f>+S21</f>
        <v>41.989999999999995</v>
      </c>
      <c r="D21" s="6">
        <f>+X21</f>
        <v>43.033999999999999</v>
      </c>
      <c r="E21" s="30">
        <f>+D21-C21</f>
        <v>1.044000000000004</v>
      </c>
      <c r="F21" s="56">
        <f>ROUND(+E21/C21,4)</f>
        <v>2.4899999999999999E-2</v>
      </c>
      <c r="G21" s="92">
        <f>ROUND($R$10*$A21,2)</f>
        <v>-0.19</v>
      </c>
      <c r="H21" s="92">
        <f>ROUND($R$11*$A21,2)</f>
        <v>0.1</v>
      </c>
      <c r="I21" s="92">
        <f>ROUND($R$12*$A21,2)</f>
        <v>1.1599999999999999</v>
      </c>
      <c r="J21" s="92">
        <f>+C21+G21+H21+I21</f>
        <v>43.059999999999995</v>
      </c>
      <c r="K21" s="30">
        <f>+D21+G21+H21+I21</f>
        <v>44.103999999999999</v>
      </c>
      <c r="L21" s="56">
        <f>ROUND((K21-J21)/J21,4)</f>
        <v>2.4199999999999999E-2</v>
      </c>
      <c r="Q21" s="7">
        <f>+INPUT!$E$4</f>
        <v>31.5</v>
      </c>
      <c r="R21" s="6">
        <f>A21*$R$18</f>
        <v>10.489999999999998</v>
      </c>
      <c r="S21" s="6">
        <f>Q21+R21</f>
        <v>41.989999999999995</v>
      </c>
      <c r="T21" s="6"/>
      <c r="V21" s="7">
        <f>INPUT!$E$25</f>
        <v>31.655000000000001</v>
      </c>
      <c r="W21" s="6">
        <f>+$A21*W$18</f>
        <v>11.379</v>
      </c>
      <c r="X21" s="6">
        <f>V21+W21</f>
        <v>43.033999999999999</v>
      </c>
      <c r="Y21" s="6"/>
      <c r="Z21" s="6"/>
      <c r="AC21" s="6">
        <f>X21-S21</f>
        <v>1.044000000000004</v>
      </c>
      <c r="AE21" s="8">
        <f>X21/S21-1</f>
        <v>2.4863062633960542E-2</v>
      </c>
      <c r="AF21" s="8"/>
    </row>
    <row r="22" spans="1:32" x14ac:dyDescent="0.2">
      <c r="G22" s="17"/>
      <c r="H22" s="17"/>
      <c r="I22" s="17"/>
      <c r="J22" s="17"/>
      <c r="Q22" s="7"/>
      <c r="R22" s="6"/>
      <c r="S22" s="6"/>
      <c r="T22" s="6"/>
      <c r="V22" s="7"/>
      <c r="W22" s="6"/>
      <c r="X22" s="6"/>
      <c r="Y22" s="6"/>
      <c r="Z22" s="6"/>
      <c r="AE22" s="8"/>
      <c r="AF22" s="8"/>
    </row>
    <row r="23" spans="1:32" x14ac:dyDescent="0.2">
      <c r="A23" s="1">
        <v>250</v>
      </c>
      <c r="C23" s="6">
        <f>+S23</f>
        <v>57.724999999999994</v>
      </c>
      <c r="D23" s="6">
        <f>+X23</f>
        <v>60.102500000000006</v>
      </c>
      <c r="E23" s="30">
        <f>+D23-C23</f>
        <v>2.3775000000000119</v>
      </c>
      <c r="F23" s="56">
        <f>ROUND(+E23/C23,4)</f>
        <v>4.1200000000000001E-2</v>
      </c>
      <c r="G23" s="92">
        <f>ROUND($R$10*$A23,2)</f>
        <v>-0.47</v>
      </c>
      <c r="H23" s="92">
        <f>ROUND($R$11*$A23,2)</f>
        <v>0.24</v>
      </c>
      <c r="I23" s="92">
        <f>ROUND($R$12*$A23,2)</f>
        <v>2.9</v>
      </c>
      <c r="J23" s="92">
        <f>+C23+G23+H23+I23</f>
        <v>60.394999999999996</v>
      </c>
      <c r="K23" s="30">
        <f>+D23+G23+H23+I23</f>
        <v>62.772500000000008</v>
      </c>
      <c r="L23" s="56">
        <f>ROUND((K23-J23)/J23,4)</f>
        <v>3.9399999999999998E-2</v>
      </c>
      <c r="Q23" s="7">
        <f>$Q$21</f>
        <v>31.5</v>
      </c>
      <c r="R23" s="6">
        <f>A23*$R$18</f>
        <v>26.224999999999998</v>
      </c>
      <c r="S23" s="6">
        <f>Q23+R23</f>
        <v>57.724999999999994</v>
      </c>
      <c r="T23" s="6"/>
      <c r="V23" s="7">
        <f>+$V$21</f>
        <v>31.655000000000001</v>
      </c>
      <c r="W23" s="6">
        <f>+$A23*W$18</f>
        <v>28.447500000000002</v>
      </c>
      <c r="X23" s="6">
        <f>V23+W23</f>
        <v>60.102500000000006</v>
      </c>
      <c r="Y23" s="6"/>
      <c r="Z23" s="6"/>
      <c r="AC23" s="6">
        <f>X23-S23</f>
        <v>2.3775000000000119</v>
      </c>
      <c r="AE23" s="8">
        <f>X23/S23-1</f>
        <v>4.1186660892161386E-2</v>
      </c>
      <c r="AF23" s="8"/>
    </row>
    <row r="24" spans="1:32" x14ac:dyDescent="0.2">
      <c r="C24" s="6"/>
      <c r="D24" s="6"/>
      <c r="E24" s="30"/>
      <c r="F24" s="56"/>
      <c r="G24" s="92"/>
      <c r="H24" s="92"/>
      <c r="I24" s="92"/>
      <c r="J24" s="92"/>
      <c r="K24" s="30"/>
      <c r="L24" s="56"/>
      <c r="Q24" s="57"/>
      <c r="R24" s="6"/>
      <c r="S24" s="6"/>
      <c r="T24" s="6"/>
      <c r="V24" s="7"/>
      <c r="W24" s="6"/>
      <c r="X24" s="6"/>
      <c r="Y24" s="6"/>
      <c r="Z24" s="6"/>
      <c r="AE24" s="28"/>
      <c r="AF24" s="28"/>
    </row>
    <row r="25" spans="1:32" s="10" customFormat="1" x14ac:dyDescent="0.2">
      <c r="A25" s="14">
        <v>500</v>
      </c>
      <c r="B25"/>
      <c r="C25" s="6">
        <f>+S25</f>
        <v>83.949999999999989</v>
      </c>
      <c r="D25" s="6">
        <f>+X25</f>
        <v>88.550000000000011</v>
      </c>
      <c r="E25" s="30">
        <f>+D25-C25</f>
        <v>4.6000000000000227</v>
      </c>
      <c r="F25" s="56">
        <f>ROUND(+E25/C25,4)</f>
        <v>5.4800000000000001E-2</v>
      </c>
      <c r="G25" s="92">
        <f>ROUND($R$10*$A25,2)</f>
        <v>-0.93</v>
      </c>
      <c r="H25" s="92">
        <f>ROUND($R$11*$A25,2)</f>
        <v>0.48</v>
      </c>
      <c r="I25" s="92">
        <f>ROUND($R$12*$A25,2)</f>
        <v>5.8</v>
      </c>
      <c r="J25" s="92">
        <f>+C25+G25+H25+I25</f>
        <v>89.299999999999983</v>
      </c>
      <c r="K25" s="30">
        <f>+D25+G25+H25+I25</f>
        <v>93.9</v>
      </c>
      <c r="L25" s="56">
        <f>ROUND((K25-J25)/J25,4)</f>
        <v>5.1499999999999997E-2</v>
      </c>
      <c r="Q25" s="57">
        <f>$Q$21</f>
        <v>31.5</v>
      </c>
      <c r="R25" s="6">
        <f>A25*$R$18</f>
        <v>52.449999999999996</v>
      </c>
      <c r="S25" s="11">
        <f>Q25+R25</f>
        <v>83.949999999999989</v>
      </c>
      <c r="T25" s="6"/>
      <c r="V25" s="7">
        <f>+$V$21</f>
        <v>31.655000000000001</v>
      </c>
      <c r="W25" s="6">
        <f>+$A25*W$18</f>
        <v>56.895000000000003</v>
      </c>
      <c r="X25" s="11">
        <f>V25+W25</f>
        <v>88.550000000000011</v>
      </c>
      <c r="Y25" s="6"/>
      <c r="Z25" s="11"/>
      <c r="AC25" s="11">
        <f>X25-S25</f>
        <v>4.6000000000000227</v>
      </c>
      <c r="AE25" s="28">
        <f>X25/S25-1</f>
        <v>5.4794520547945424E-2</v>
      </c>
      <c r="AF25" s="28"/>
    </row>
    <row r="26" spans="1:32" x14ac:dyDescent="0.2">
      <c r="G26" s="17"/>
      <c r="H26" s="17"/>
      <c r="I26" s="17"/>
      <c r="J26" s="17"/>
      <c r="Q26" s="7"/>
      <c r="R26" s="6"/>
      <c r="S26" s="6"/>
      <c r="T26" s="6"/>
      <c r="V26" s="7"/>
      <c r="W26" s="6"/>
      <c r="X26" s="6"/>
      <c r="Y26" s="6"/>
      <c r="Z26" s="6"/>
      <c r="AE26" s="8"/>
      <c r="AF26" s="8"/>
    </row>
    <row r="27" spans="1:32" x14ac:dyDescent="0.2">
      <c r="A27" s="1">
        <v>1000</v>
      </c>
      <c r="C27" s="6">
        <f>+S27</f>
        <v>136.39999999999998</v>
      </c>
      <c r="D27" s="6">
        <f>+X27</f>
        <v>145.44499999999999</v>
      </c>
      <c r="E27" s="30">
        <f>+D27-C27</f>
        <v>9.0450000000000159</v>
      </c>
      <c r="F27" s="56">
        <f>ROUND(+E27/C27,4)</f>
        <v>6.6299999999999998E-2</v>
      </c>
      <c r="G27" s="92">
        <f>ROUND($R$10*$A27,2)</f>
        <v>-1.86</v>
      </c>
      <c r="H27" s="92">
        <f>ROUND($R$11*$A27,2)</f>
        <v>0.95</v>
      </c>
      <c r="I27" s="92">
        <f>ROUND($R$12*$A27,2)</f>
        <v>11.61</v>
      </c>
      <c r="J27" s="92">
        <f>+C27+G27+H27+I27</f>
        <v>147.09999999999997</v>
      </c>
      <c r="K27" s="30">
        <f>+D27+G27+H27+I27</f>
        <v>156.14499999999998</v>
      </c>
      <c r="L27" s="56">
        <f>ROUND((K27-J27)/J27,4)</f>
        <v>6.1499999999999999E-2</v>
      </c>
      <c r="Q27" s="7">
        <f>$Q$21</f>
        <v>31.5</v>
      </c>
      <c r="R27" s="6">
        <f>A27*$R$18</f>
        <v>104.89999999999999</v>
      </c>
      <c r="S27" s="6">
        <f>Q27+R27</f>
        <v>136.39999999999998</v>
      </c>
      <c r="T27" s="6"/>
      <c r="V27" s="7">
        <f>+$V$21</f>
        <v>31.655000000000001</v>
      </c>
      <c r="W27" s="6">
        <f>+$A27*W$18</f>
        <v>113.79</v>
      </c>
      <c r="X27" s="6">
        <f>V27+W27</f>
        <v>145.44499999999999</v>
      </c>
      <c r="Y27" s="6"/>
      <c r="Z27" s="6"/>
      <c r="AC27" s="6">
        <f>X27-S27</f>
        <v>9.0450000000000159</v>
      </c>
      <c r="AE27" s="8">
        <f>X27/S27-1</f>
        <v>6.6312316715542607E-2</v>
      </c>
      <c r="AF27" s="8"/>
    </row>
    <row r="28" spans="1:32" x14ac:dyDescent="0.2">
      <c r="G28" s="17"/>
      <c r="H28" s="17"/>
      <c r="I28" s="17"/>
      <c r="J28" s="17"/>
      <c r="Q28" s="7"/>
      <c r="R28" s="6"/>
      <c r="S28" s="6"/>
      <c r="T28" s="6"/>
      <c r="V28" s="7"/>
      <c r="W28" s="6"/>
      <c r="X28" s="6"/>
      <c r="Y28" s="6"/>
      <c r="Z28" s="6"/>
      <c r="AE28" s="8"/>
      <c r="AF28" s="8"/>
    </row>
    <row r="29" spans="1:32" x14ac:dyDescent="0.2">
      <c r="A29" s="1">
        <v>1500</v>
      </c>
      <c r="C29" s="6">
        <f>+S29</f>
        <v>188.85</v>
      </c>
      <c r="D29" s="6">
        <f>+X29</f>
        <v>202.34</v>
      </c>
      <c r="E29" s="30">
        <f>+D29-C29</f>
        <v>13.490000000000009</v>
      </c>
      <c r="F29" s="56">
        <f>ROUND(+E29/C29,4)</f>
        <v>7.1400000000000005E-2</v>
      </c>
      <c r="G29" s="92">
        <f>ROUND($R$10*$A29,2)</f>
        <v>-2.79</v>
      </c>
      <c r="H29" s="92">
        <f>ROUND($R$11*$A29,2)</f>
        <v>1.43</v>
      </c>
      <c r="I29" s="92">
        <f>ROUND($R$12*$A29,2)</f>
        <v>17.41</v>
      </c>
      <c r="J29" s="92">
        <f>+C29+G29+H29+I29</f>
        <v>204.9</v>
      </c>
      <c r="K29" s="30">
        <f>+D29+G29+H29+I29</f>
        <v>218.39000000000001</v>
      </c>
      <c r="L29" s="56">
        <f>ROUND((K29-J29)/J29,4)</f>
        <v>6.5799999999999997E-2</v>
      </c>
      <c r="Q29" s="7">
        <f>$Q$21</f>
        <v>31.5</v>
      </c>
      <c r="R29" s="6">
        <f>A29*$R$18</f>
        <v>157.35</v>
      </c>
      <c r="S29" s="6">
        <f>Q29+R29</f>
        <v>188.85</v>
      </c>
      <c r="T29" s="6"/>
      <c r="V29" s="7">
        <f>+$V$21</f>
        <v>31.655000000000001</v>
      </c>
      <c r="W29" s="6">
        <f>+$A29*W$18</f>
        <v>170.685</v>
      </c>
      <c r="X29" s="6">
        <f>V29+W29</f>
        <v>202.34</v>
      </c>
      <c r="Y29" s="6"/>
      <c r="Z29" s="6"/>
      <c r="AC29" s="6">
        <f>X29-S29</f>
        <v>13.490000000000009</v>
      </c>
      <c r="AE29" s="8">
        <f>X29/S29-1</f>
        <v>7.1432353719883546E-2</v>
      </c>
      <c r="AF29" s="8"/>
    </row>
    <row r="30" spans="1:32" x14ac:dyDescent="0.2">
      <c r="A30" s="1"/>
      <c r="G30" s="17"/>
      <c r="H30" s="17"/>
      <c r="I30" s="17"/>
      <c r="J30" s="17"/>
      <c r="Q30" s="7"/>
      <c r="R30" s="6"/>
      <c r="S30" s="6"/>
      <c r="T30" s="6"/>
      <c r="V30" s="7"/>
      <c r="W30" s="6"/>
      <c r="X30" s="6"/>
      <c r="Y30" s="6"/>
      <c r="Z30" s="6"/>
      <c r="AE30" s="8"/>
      <c r="AF30" s="8"/>
    </row>
    <row r="31" spans="1:32" x14ac:dyDescent="0.2">
      <c r="A31" s="1">
        <v>2000</v>
      </c>
      <c r="C31" s="6">
        <f>+S31</f>
        <v>241.29999999999998</v>
      </c>
      <c r="D31" s="6">
        <f>+X31</f>
        <v>259.23500000000001</v>
      </c>
      <c r="E31" s="30">
        <f>+D31-C31</f>
        <v>17.935000000000031</v>
      </c>
      <c r="F31" s="56">
        <f>ROUND(+E31/C31,4)</f>
        <v>7.4300000000000005E-2</v>
      </c>
      <c r="G31" s="92">
        <f>ROUND($R$10*$A31,2)</f>
        <v>-3.73</v>
      </c>
      <c r="H31" s="92">
        <f>ROUND($R$11*$A31,2)</f>
        <v>1.9</v>
      </c>
      <c r="I31" s="92">
        <f>ROUND($R$12*$A31,2)</f>
        <v>23.22</v>
      </c>
      <c r="J31" s="92">
        <f>+C31+G31+H31+I31</f>
        <v>262.69</v>
      </c>
      <c r="K31" s="30">
        <f>+D31+G31+H31+I31</f>
        <v>280.625</v>
      </c>
      <c r="L31" s="56">
        <f>ROUND((K31-J31)/J31,4)</f>
        <v>6.83E-2</v>
      </c>
      <c r="Q31" s="7">
        <f>$Q$21</f>
        <v>31.5</v>
      </c>
      <c r="R31" s="6">
        <f>A31*$R$18</f>
        <v>209.79999999999998</v>
      </c>
      <c r="S31" s="6">
        <f>Q31+R31</f>
        <v>241.29999999999998</v>
      </c>
      <c r="T31" s="6"/>
      <c r="V31" s="7">
        <f>+$V$21</f>
        <v>31.655000000000001</v>
      </c>
      <c r="W31" s="6">
        <f>+$A31*W$18</f>
        <v>227.58</v>
      </c>
      <c r="X31" s="6">
        <f>V31+W31</f>
        <v>259.23500000000001</v>
      </c>
      <c r="Y31" s="6"/>
      <c r="Z31" s="6"/>
      <c r="AC31" s="6">
        <f>X31-S31</f>
        <v>17.935000000000031</v>
      </c>
      <c r="AE31" s="8">
        <f>X31/S31-1</f>
        <v>7.4326564442602772E-2</v>
      </c>
      <c r="AF31" s="8"/>
    </row>
    <row r="32" spans="1:32" x14ac:dyDescent="0.2">
      <c r="G32" s="17"/>
      <c r="H32" s="17"/>
      <c r="I32" s="17"/>
      <c r="J32" s="17"/>
      <c r="Q32" s="7"/>
      <c r="R32" s="6"/>
      <c r="S32" s="6"/>
      <c r="T32" s="6"/>
      <c r="V32" s="7"/>
      <c r="W32" s="6"/>
      <c r="X32" s="6"/>
      <c r="Y32" s="6"/>
      <c r="Z32" s="6"/>
      <c r="AE32" s="8"/>
      <c r="AF32" s="8"/>
    </row>
    <row r="33" spans="1:32" x14ac:dyDescent="0.2">
      <c r="A33" s="1">
        <v>3000</v>
      </c>
      <c r="C33" s="6">
        <f>+S33</f>
        <v>346.2</v>
      </c>
      <c r="D33" s="6">
        <f>+X33</f>
        <v>373.02499999999998</v>
      </c>
      <c r="E33" s="30">
        <f>+D33-C33</f>
        <v>26.824999999999989</v>
      </c>
      <c r="F33" s="56">
        <f>ROUND(+E33/C33,4)</f>
        <v>7.7499999999999999E-2</v>
      </c>
      <c r="G33" s="92">
        <f>ROUND($R$10*$A33,2)</f>
        <v>-5.59</v>
      </c>
      <c r="H33" s="92">
        <f>ROUND($R$11*$A33,2)</f>
        <v>2.85</v>
      </c>
      <c r="I33" s="92">
        <f>ROUND($R$12*$A33,2)</f>
        <v>34.82</v>
      </c>
      <c r="J33" s="92">
        <f>+C33+G33+H33+I33</f>
        <v>378.28000000000003</v>
      </c>
      <c r="K33" s="30">
        <f>+D33+G33+H33+I33</f>
        <v>405.10500000000002</v>
      </c>
      <c r="L33" s="56">
        <f>ROUND((K33-J33)/J33,4)</f>
        <v>7.0900000000000005E-2</v>
      </c>
      <c r="Q33" s="7">
        <f>$Q$21</f>
        <v>31.5</v>
      </c>
      <c r="R33" s="6">
        <f>A33*$R$18</f>
        <v>314.7</v>
      </c>
      <c r="S33" s="6">
        <f>Q33+R33</f>
        <v>346.2</v>
      </c>
      <c r="T33" s="6"/>
      <c r="V33" s="7">
        <f>+$V$21</f>
        <v>31.655000000000001</v>
      </c>
      <c r="W33" s="6">
        <f>+$A33*W$18</f>
        <v>341.37</v>
      </c>
      <c r="X33" s="6">
        <f>V33+W33</f>
        <v>373.02499999999998</v>
      </c>
      <c r="Y33" s="6"/>
      <c r="Z33" s="6"/>
      <c r="AC33" s="6">
        <f>X33-S33</f>
        <v>26.824999999999989</v>
      </c>
      <c r="AE33" s="8">
        <f>X33/S33-1</f>
        <v>7.7484113229347118E-2</v>
      </c>
      <c r="AF33" s="8"/>
    </row>
    <row r="34" spans="1:32" x14ac:dyDescent="0.2">
      <c r="G34" s="17"/>
      <c r="H34" s="17"/>
      <c r="I34" s="17"/>
      <c r="J34" s="17"/>
      <c r="Q34" s="7"/>
      <c r="R34" s="6"/>
      <c r="S34" s="6"/>
      <c r="T34" s="6"/>
      <c r="V34" s="7"/>
      <c r="W34" s="6"/>
      <c r="X34" s="6"/>
      <c r="Y34" s="6"/>
      <c r="Z34" s="6"/>
      <c r="AE34" s="8"/>
      <c r="AF34" s="8"/>
    </row>
    <row r="35" spans="1:32" x14ac:dyDescent="0.2">
      <c r="A35" s="1">
        <v>4000</v>
      </c>
      <c r="C35" s="6">
        <f>+S35</f>
        <v>451.09999999999997</v>
      </c>
      <c r="D35" s="6">
        <f>+X35</f>
        <v>486.81500000000005</v>
      </c>
      <c r="E35" s="30">
        <f>+D35-C35</f>
        <v>35.715000000000089</v>
      </c>
      <c r="F35" s="56">
        <f>ROUND(+E35/C35,4)</f>
        <v>7.9200000000000007E-2</v>
      </c>
      <c r="G35" s="92">
        <f>ROUND($R$10*$A35,2)</f>
        <v>-7.45</v>
      </c>
      <c r="H35" s="92">
        <f>ROUND($R$11*$A35,2)</f>
        <v>3.8</v>
      </c>
      <c r="I35" s="92">
        <f>ROUND($R$12*$A35,2)</f>
        <v>46.43</v>
      </c>
      <c r="J35" s="92">
        <f>+C35+G35+H35+I35</f>
        <v>493.88</v>
      </c>
      <c r="K35" s="30">
        <f>+D35+G35+H35+I35</f>
        <v>529.59500000000003</v>
      </c>
      <c r="L35" s="56">
        <f>ROUND((K35-J35)/J35,4)</f>
        <v>7.2300000000000003E-2</v>
      </c>
      <c r="Q35" s="7">
        <f>$Q$21</f>
        <v>31.5</v>
      </c>
      <c r="R35" s="6">
        <f>A35*$R$18</f>
        <v>419.59999999999997</v>
      </c>
      <c r="S35" s="6">
        <f>Q35+R35</f>
        <v>451.09999999999997</v>
      </c>
      <c r="T35" s="6"/>
      <c r="V35" s="7">
        <f>+$V$21</f>
        <v>31.655000000000001</v>
      </c>
      <c r="W35" s="6">
        <f>+$A35*W$18</f>
        <v>455.16</v>
      </c>
      <c r="X35" s="6">
        <f>V35+W35</f>
        <v>486.81500000000005</v>
      </c>
      <c r="Y35" s="6"/>
      <c r="Z35" s="6"/>
      <c r="AE35" s="8"/>
      <c r="AF35" s="8"/>
    </row>
    <row r="36" spans="1:32" x14ac:dyDescent="0.2">
      <c r="G36" s="17"/>
      <c r="H36" s="17"/>
      <c r="I36" s="17"/>
      <c r="J36" s="17"/>
      <c r="Q36" s="7"/>
      <c r="R36" s="6"/>
      <c r="S36" s="6"/>
      <c r="T36" s="6"/>
      <c r="V36" s="7"/>
      <c r="W36" s="6"/>
      <c r="X36" s="6"/>
      <c r="Y36" s="6"/>
      <c r="Z36" s="6"/>
      <c r="AE36" s="8"/>
      <c r="AF36" s="8"/>
    </row>
    <row r="37" spans="1:32" x14ac:dyDescent="0.2">
      <c r="A37" s="1">
        <v>5000</v>
      </c>
      <c r="C37" s="6">
        <f>+S37</f>
        <v>556</v>
      </c>
      <c r="D37" s="6">
        <f>+X37</f>
        <v>600.60500000000002</v>
      </c>
      <c r="E37" s="30">
        <f>+D37-C37</f>
        <v>44.605000000000018</v>
      </c>
      <c r="F37" s="56">
        <f>ROUND(+E37/C37,4)</f>
        <v>8.0199999999999994E-2</v>
      </c>
      <c r="G37" s="92">
        <f>ROUND($R$10*$A37,2)</f>
        <v>-9.31</v>
      </c>
      <c r="H37" s="92">
        <f>ROUND($R$11*$A37,2)</f>
        <v>4.76</v>
      </c>
      <c r="I37" s="92">
        <f>ROUND($R$12*$A37,2)</f>
        <v>58.04</v>
      </c>
      <c r="J37" s="92">
        <f>+C37+G37+H37+I37</f>
        <v>609.49</v>
      </c>
      <c r="K37" s="30">
        <f>+D37+G37+H37+I37</f>
        <v>654.09500000000003</v>
      </c>
      <c r="L37" s="56">
        <f>ROUND((K37-J37)/J37,4)</f>
        <v>7.3200000000000001E-2</v>
      </c>
      <c r="Q37" s="7">
        <f>$Q$21</f>
        <v>31.5</v>
      </c>
      <c r="R37" s="6">
        <f>A37*$R$18</f>
        <v>524.5</v>
      </c>
      <c r="S37" s="6">
        <f>Q37+R37</f>
        <v>556</v>
      </c>
      <c r="T37" s="6"/>
      <c r="V37" s="7">
        <f>+$V$21</f>
        <v>31.655000000000001</v>
      </c>
      <c r="W37" s="6">
        <f>+$A37*W$18</f>
        <v>568.95000000000005</v>
      </c>
      <c r="X37" s="6">
        <f>V37+W37</f>
        <v>600.60500000000002</v>
      </c>
      <c r="Y37" s="6"/>
      <c r="Z37" s="6"/>
      <c r="AC37" s="6">
        <f>X37-S37</f>
        <v>44.605000000000018</v>
      </c>
      <c r="AE37" s="8">
        <f>X37/S37-1</f>
        <v>8.0224820143884878E-2</v>
      </c>
      <c r="AF37" s="8"/>
    </row>
    <row r="39" spans="1:32" x14ac:dyDescent="0.2">
      <c r="A39" s="17" t="s">
        <v>313</v>
      </c>
      <c r="Q39" s="7"/>
    </row>
    <row r="40" spans="1:32" x14ac:dyDescent="0.2">
      <c r="A40" s="179" t="str">
        <f>("Average usage = "&amp;TEXT(INPUT!$E$19*1,"000")&amp;" kWh per month")</f>
        <v>Average usage = 929 kWh per month</v>
      </c>
    </row>
    <row r="41" spans="1:32" x14ac:dyDescent="0.2">
      <c r="A41" s="180" t="s">
        <v>314</v>
      </c>
    </row>
    <row r="42" spans="1:32" x14ac:dyDescent="0.2">
      <c r="A42" s="180" t="str">
        <f>+'Rate Case Constants'!$C$26</f>
        <v>Calculations may vary from other schedules due to rounding</v>
      </c>
    </row>
    <row r="44" spans="1:32" ht="12" customHeight="1" x14ac:dyDescent="0.2">
      <c r="A44" s="180"/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5" right="0.75" top="1.5" bottom="0.5" header="1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Rate Case Constants</vt:lpstr>
      <vt:lpstr>INPUT</vt:lpstr>
      <vt:lpstr>SCHEDULES===&gt;</vt:lpstr>
      <vt:lpstr>Rate RS-VFD</vt:lpstr>
      <vt:lpstr>Rate RTOD Energy</vt:lpstr>
      <vt:lpstr>Rate RTOD Demand</vt:lpstr>
      <vt:lpstr>Rate AES Single Phase</vt:lpstr>
      <vt:lpstr>Rate AES Three Phase</vt:lpstr>
      <vt:lpstr>Rate GS Single Phase</vt:lpstr>
      <vt:lpstr>Rate GS Three Phase</vt:lpstr>
      <vt:lpstr>Rate PS Secondary</vt:lpstr>
      <vt:lpstr>Rate PS Primary</vt:lpstr>
      <vt:lpstr>Rate TOD Secondary</vt:lpstr>
      <vt:lpstr>Rate TOD Primary</vt:lpstr>
      <vt:lpstr>Rate RTS</vt:lpstr>
      <vt:lpstr>Rate FLS Transmission</vt:lpstr>
      <vt:lpstr>Rate FLS Primary</vt:lpstr>
      <vt:lpstr>Rate LS-RLS</vt:lpstr>
      <vt:lpstr>Rate LE</vt:lpstr>
      <vt:lpstr>Rate TE</vt:lpstr>
      <vt:lpstr>Rate OSL - Secondary</vt:lpstr>
      <vt:lpstr>Rate OSL - Primary</vt:lpstr>
      <vt:lpstr>Rate EVC</vt:lpstr>
      <vt:lpstr>Rate PSA</vt:lpstr>
      <vt:lpstr>INPUT!Print_Area</vt:lpstr>
      <vt:lpstr>'Rate AES Single Phase'!Print_Area</vt:lpstr>
      <vt:lpstr>'Rate AES Three Phase'!Print_Area</vt:lpstr>
      <vt:lpstr>'Rate EVC'!Print_Area</vt:lpstr>
      <vt:lpstr>'Rate FLS Primary'!Print_Area</vt:lpstr>
      <vt:lpstr>'Rate FLS Transmission'!Print_Area</vt:lpstr>
      <vt:lpstr>'Rate GS Single Phase'!Print_Area</vt:lpstr>
      <vt:lpstr>'Rate GS Three Phase'!Print_Area</vt:lpstr>
      <vt:lpstr>'Rate LE'!Print_Area</vt:lpstr>
      <vt:lpstr>'Rate LS-RLS'!Print_Area</vt:lpstr>
      <vt:lpstr>'Rate OSL - Primary'!Print_Area</vt:lpstr>
      <vt:lpstr>'Rate OSL - Secondary'!Print_Area</vt:lpstr>
      <vt:lpstr>'Rate PS Primary'!Print_Area</vt:lpstr>
      <vt:lpstr>'Rate PS Secondary'!Print_Area</vt:lpstr>
      <vt:lpstr>'Rate PSA'!Print_Area</vt:lpstr>
      <vt:lpstr>'Rate RS-VFD'!Print_Area</vt:lpstr>
      <vt:lpstr>'Rate RTOD Demand'!Print_Area</vt:lpstr>
      <vt:lpstr>'Rate RTOD Energy'!Print_Area</vt:lpstr>
      <vt:lpstr>'Rate RTS'!Print_Area</vt:lpstr>
      <vt:lpstr>'Rate TE'!Print_Area</vt:lpstr>
      <vt:lpstr>'Rate TOD Primary'!Print_Area</vt:lpstr>
      <vt:lpstr>'Rate TOD Secondary'!Print_Area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2018-10-10T12:56:10Z</dcterms:created>
  <dcterms:modified xsi:type="dcterms:W3CDTF">2018-10-10T12:56:25Z</dcterms:modified>
</cp:coreProperties>
</file>