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firstSheet="22" activeTab="25"/>
  </bookViews>
  <sheets>
    <sheet name="KU_Summary - Cost - P1 (REG)" sheetId="1" r:id="rId1"/>
    <sheet name="KU_Summary - Reserve - P2 (REG)" sheetId="2" r:id="rId2"/>
    <sheet name="RWIP BY ACCOUNT - P2A (REG)" sheetId="3" r:id="rId3"/>
    <sheet name="Cash Flow Summary - PG 2B REG" sheetId="4" r:id="rId4"/>
    <sheet name="Transfers Detail P3 (REG)" sheetId="5" r:id="rId5"/>
    <sheet name="Transfers Detail-VA-P3.1 (REG)" sheetId="6" r:id="rId6"/>
    <sheet name="Transfers Detail-TN-P3.2 (REG)" sheetId="7" r:id="rId7"/>
    <sheet name="Land_Vehicle Retire P3A (REG)" sheetId="8" r:id="rId8"/>
    <sheet name="CWIP Spend by Project P3B (REG)" sheetId="9" r:id="rId9"/>
    <sheet name="Recon Depr Exp to IS P4 (REG)" sheetId="10" r:id="rId10"/>
    <sheet name="TOTAL_PIS NVB P5 (REG)" sheetId="11" r:id="rId11"/>
    <sheet name="TOTAL_PIS COST SPLITS-P6 (REG)" sheetId="12" r:id="rId12"/>
    <sheet name="KY_PIS NVB P7 (REG)" sheetId="13" r:id="rId13"/>
    <sheet name="KY_Cost by Plant Acct P8 (REG)" sheetId="14" r:id="rId14"/>
    <sheet name="VA_PIS NBV P9 (REG)" sheetId="15" r:id="rId15"/>
    <sheet name="VA_Cost by Plant Acct P10 (REG)" sheetId="16" r:id="rId16"/>
    <sheet name="TN_PIS NBV P11 (REG)" sheetId="17" r:id="rId17"/>
    <sheet name="TN_Cost by Plant Acct P12 (REG)" sheetId="18" r:id="rId18"/>
    <sheet name="Plant Held for Future-P13 (REG)" sheetId="19" r:id="rId19"/>
    <sheet name="Non Utility Prop - KY P14 (REG)" sheetId="20" r:id="rId20"/>
    <sheet name="Elec Plant Purch-Sold P15 (REG)" sheetId="21" r:id="rId21"/>
    <sheet name="KY_Res by Plant Acct P16(REG)" sheetId="22" r:id="rId22"/>
    <sheet name="VA_Res by Plant Acct P17(REG)" sheetId="23" r:id="rId23"/>
    <sheet name="TN_Res by Plant Acct P18(REG)" sheetId="24" r:id="rId24"/>
    <sheet name="Depr Study Summary Pg2" sheetId="25" r:id="rId25"/>
    <sheet name="Depr Study Detail by Acct Depr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8" i="26" l="1"/>
  <c r="B478" i="26"/>
  <c r="J477" i="26"/>
  <c r="B477" i="26"/>
  <c r="J476" i="26"/>
  <c r="B476" i="26"/>
  <c r="J475" i="26"/>
  <c r="B475" i="26"/>
  <c r="J474" i="26"/>
  <c r="B474" i="26"/>
  <c r="J466" i="26"/>
  <c r="B466" i="26"/>
  <c r="J465" i="26"/>
  <c r="B465" i="26"/>
  <c r="J464" i="26"/>
  <c r="B464" i="26"/>
  <c r="J463" i="26"/>
  <c r="B463" i="26"/>
  <c r="J461" i="26"/>
  <c r="J462" i="26" s="1"/>
  <c r="B461" i="26"/>
  <c r="J460" i="26"/>
  <c r="B460" i="26"/>
  <c r="J459" i="26"/>
  <c r="B459" i="26"/>
  <c r="J457" i="26"/>
  <c r="B457" i="26"/>
  <c r="J456" i="26"/>
  <c r="B456" i="26"/>
  <c r="J455" i="26"/>
  <c r="B455" i="26"/>
  <c r="J453" i="26"/>
  <c r="B453" i="26"/>
  <c r="J452" i="26"/>
  <c r="B452" i="26"/>
  <c r="J451" i="26"/>
  <c r="B451" i="26"/>
  <c r="J450" i="26"/>
  <c r="B450" i="26"/>
  <c r="J449" i="26"/>
  <c r="B449" i="26"/>
  <c r="J448" i="26"/>
  <c r="B448" i="26"/>
  <c r="J447" i="26"/>
  <c r="B447" i="26"/>
  <c r="J446" i="26"/>
  <c r="B446" i="26"/>
  <c r="J445" i="26"/>
  <c r="B445" i="26"/>
  <c r="J444" i="26"/>
  <c r="B444" i="26"/>
  <c r="J443" i="26"/>
  <c r="B443" i="26"/>
  <c r="J442" i="26"/>
  <c r="B442" i="26"/>
  <c r="J441" i="26"/>
  <c r="B441" i="26"/>
  <c r="O438" i="26"/>
  <c r="M438" i="26"/>
  <c r="J437" i="26"/>
  <c r="B437" i="26"/>
  <c r="J436" i="26"/>
  <c r="B436" i="26"/>
  <c r="J434" i="26"/>
  <c r="B434" i="26"/>
  <c r="J433" i="26"/>
  <c r="B433" i="26"/>
  <c r="J432" i="26"/>
  <c r="B432" i="26"/>
  <c r="J431" i="26"/>
  <c r="B431" i="26"/>
  <c r="J430" i="26"/>
  <c r="B430" i="26"/>
  <c r="J429" i="26"/>
  <c r="B429" i="26"/>
  <c r="J428" i="26"/>
  <c r="B428" i="26"/>
  <c r="J427" i="26"/>
  <c r="B427" i="26"/>
  <c r="J426" i="26"/>
  <c r="B426" i="26"/>
  <c r="J425" i="26"/>
  <c r="B425" i="26"/>
  <c r="J424" i="26"/>
  <c r="B424" i="26"/>
  <c r="J423" i="26"/>
  <c r="B423" i="26"/>
  <c r="J422" i="26"/>
  <c r="B422" i="26"/>
  <c r="J421" i="26"/>
  <c r="B421" i="26"/>
  <c r="J420" i="26"/>
  <c r="B420" i="26"/>
  <c r="J419" i="26"/>
  <c r="B419" i="26"/>
  <c r="J418" i="26"/>
  <c r="B418" i="26"/>
  <c r="J417" i="26"/>
  <c r="B417" i="26"/>
  <c r="J415" i="26"/>
  <c r="B415" i="26"/>
  <c r="J414" i="26"/>
  <c r="B414" i="26"/>
  <c r="J413" i="26"/>
  <c r="B413" i="26"/>
  <c r="J412" i="26"/>
  <c r="B412" i="26"/>
  <c r="J411" i="26"/>
  <c r="B411" i="26"/>
  <c r="J410" i="26"/>
  <c r="B410" i="26"/>
  <c r="J409" i="26"/>
  <c r="B409" i="26"/>
  <c r="J408" i="26"/>
  <c r="B408" i="26"/>
  <c r="J407" i="26"/>
  <c r="B407" i="26"/>
  <c r="J405" i="26"/>
  <c r="B405" i="26"/>
  <c r="J404" i="26"/>
  <c r="B404" i="26"/>
  <c r="J403" i="26"/>
  <c r="B403" i="26"/>
  <c r="J402" i="26"/>
  <c r="B402" i="26"/>
  <c r="J401" i="26"/>
  <c r="B401" i="26"/>
  <c r="J400" i="26"/>
  <c r="B400" i="26"/>
  <c r="J399" i="26"/>
  <c r="B399" i="26"/>
  <c r="J398" i="26"/>
  <c r="B398" i="26"/>
  <c r="J397" i="26"/>
  <c r="B397" i="26"/>
  <c r="J396" i="26"/>
  <c r="B396" i="26"/>
  <c r="J395" i="26"/>
  <c r="B395" i="26"/>
  <c r="J394" i="26"/>
  <c r="B394" i="26"/>
  <c r="J393" i="26"/>
  <c r="B393" i="26"/>
  <c r="J392" i="26"/>
  <c r="B392" i="26"/>
  <c r="J391" i="26"/>
  <c r="B391" i="26"/>
  <c r="J390" i="26"/>
  <c r="B390" i="26"/>
  <c r="J389" i="26"/>
  <c r="C389" i="26"/>
  <c r="B389" i="26"/>
  <c r="J388" i="26"/>
  <c r="C388" i="26"/>
  <c r="B388" i="26"/>
  <c r="J387" i="26"/>
  <c r="B387" i="26"/>
  <c r="J386" i="26"/>
  <c r="B386" i="26"/>
  <c r="J385" i="26"/>
  <c r="B385" i="26"/>
  <c r="J384" i="26"/>
  <c r="B384" i="26"/>
  <c r="J383" i="26"/>
  <c r="B383" i="26"/>
  <c r="J382" i="26"/>
  <c r="B382" i="26"/>
  <c r="J381" i="26"/>
  <c r="B381" i="26"/>
  <c r="J380" i="26"/>
  <c r="B380" i="26"/>
  <c r="J379" i="26"/>
  <c r="B379" i="26"/>
  <c r="O378" i="26"/>
  <c r="M378" i="26"/>
  <c r="K378" i="26"/>
  <c r="J378" i="26"/>
  <c r="I378" i="26"/>
  <c r="G378" i="26"/>
  <c r="E378" i="26"/>
  <c r="B378" i="26"/>
  <c r="J377" i="26"/>
  <c r="B377" i="26"/>
  <c r="J376" i="26"/>
  <c r="B376" i="26"/>
  <c r="J375" i="26"/>
  <c r="B375" i="26"/>
  <c r="J374" i="26"/>
  <c r="B374" i="26"/>
  <c r="J373" i="26"/>
  <c r="B373" i="26"/>
  <c r="J372" i="26"/>
  <c r="B372" i="26"/>
  <c r="J371" i="26"/>
  <c r="B371" i="26"/>
  <c r="J370" i="26"/>
  <c r="B370" i="26"/>
  <c r="J369" i="26"/>
  <c r="B369" i="26"/>
  <c r="J367" i="26"/>
  <c r="B367" i="26"/>
  <c r="J366" i="26"/>
  <c r="B366" i="26"/>
  <c r="J365" i="26"/>
  <c r="B365" i="26"/>
  <c r="J364" i="26"/>
  <c r="B364" i="26"/>
  <c r="J363" i="26"/>
  <c r="B363" i="26"/>
  <c r="J362" i="26"/>
  <c r="B362" i="26"/>
  <c r="J361" i="26"/>
  <c r="B361" i="26"/>
  <c r="J360" i="26"/>
  <c r="B360" i="26"/>
  <c r="J359" i="26"/>
  <c r="B359" i="26"/>
  <c r="J358" i="26"/>
  <c r="B358" i="26"/>
  <c r="J357" i="26"/>
  <c r="B357" i="26"/>
  <c r="J356" i="26"/>
  <c r="B356" i="26"/>
  <c r="J355" i="26"/>
  <c r="B355" i="26"/>
  <c r="J354" i="26"/>
  <c r="B354" i="26"/>
  <c r="J353" i="26"/>
  <c r="B353" i="26"/>
  <c r="J351" i="26"/>
  <c r="B351" i="26"/>
  <c r="J350" i="26"/>
  <c r="B350" i="26"/>
  <c r="J349" i="26"/>
  <c r="B349" i="26"/>
  <c r="J348" i="26"/>
  <c r="B348" i="26"/>
  <c r="J347" i="26"/>
  <c r="B347" i="26"/>
  <c r="J346" i="26"/>
  <c r="B346" i="26"/>
  <c r="J345" i="26"/>
  <c r="B345" i="26"/>
  <c r="J344" i="26"/>
  <c r="B344" i="26"/>
  <c r="J343" i="26"/>
  <c r="B343" i="26"/>
  <c r="J342" i="26"/>
  <c r="B342" i="26"/>
  <c r="J340" i="26"/>
  <c r="B340" i="26"/>
  <c r="J339" i="26"/>
  <c r="B339" i="26"/>
  <c r="J338" i="26"/>
  <c r="B338" i="26"/>
  <c r="J337" i="26"/>
  <c r="B337" i="26"/>
  <c r="J336" i="26"/>
  <c r="B336" i="26"/>
  <c r="J335" i="26"/>
  <c r="B335" i="26"/>
  <c r="J334" i="26"/>
  <c r="B334" i="26"/>
  <c r="J333" i="26"/>
  <c r="B333" i="26"/>
  <c r="J332" i="26"/>
  <c r="B332" i="26"/>
  <c r="J331" i="26"/>
  <c r="B331" i="26"/>
  <c r="J330" i="26"/>
  <c r="B330" i="26"/>
  <c r="J329" i="26"/>
  <c r="B329" i="26"/>
  <c r="J328" i="26"/>
  <c r="B328" i="26"/>
  <c r="J327" i="26"/>
  <c r="B327" i="26"/>
  <c r="J326" i="26"/>
  <c r="B326" i="26"/>
  <c r="J325" i="26"/>
  <c r="B325" i="26"/>
  <c r="J324" i="26"/>
  <c r="B324" i="26"/>
  <c r="J323" i="26"/>
  <c r="B323" i="26"/>
  <c r="J322" i="26"/>
  <c r="B322" i="26"/>
  <c r="J321" i="26"/>
  <c r="B321" i="26"/>
  <c r="J320" i="26"/>
  <c r="B320" i="26"/>
  <c r="J319" i="26"/>
  <c r="B319" i="26"/>
  <c r="J318" i="26"/>
  <c r="B318" i="26"/>
  <c r="J317" i="26"/>
  <c r="B317" i="26"/>
  <c r="J316" i="26"/>
  <c r="B316" i="26"/>
  <c r="J315" i="26"/>
  <c r="B315" i="26"/>
  <c r="J314" i="26"/>
  <c r="B314" i="26"/>
  <c r="J313" i="26"/>
  <c r="B313" i="26"/>
  <c r="J312" i="26"/>
  <c r="B312" i="26"/>
  <c r="J311" i="26"/>
  <c r="B311" i="26"/>
  <c r="J310" i="26"/>
  <c r="B310" i="26"/>
  <c r="J309" i="26"/>
  <c r="B309" i="26"/>
  <c r="J308" i="26"/>
  <c r="B308" i="26"/>
  <c r="J307" i="26"/>
  <c r="B307" i="26"/>
  <c r="J306" i="26"/>
  <c r="B306" i="26"/>
  <c r="J305" i="26"/>
  <c r="B305" i="26"/>
  <c r="J304" i="26"/>
  <c r="B304" i="26"/>
  <c r="J303" i="26"/>
  <c r="B303" i="26"/>
  <c r="J302" i="26"/>
  <c r="B302" i="26"/>
  <c r="J301" i="26"/>
  <c r="B301" i="26"/>
  <c r="J300" i="26"/>
  <c r="B300" i="26"/>
  <c r="J299" i="26"/>
  <c r="B299" i="26"/>
  <c r="J298" i="26"/>
  <c r="B298" i="26"/>
  <c r="J297" i="26"/>
  <c r="B297" i="26"/>
  <c r="J296" i="26"/>
  <c r="B296" i="26"/>
  <c r="J295" i="26"/>
  <c r="B295" i="26"/>
  <c r="J294" i="26"/>
  <c r="B294" i="26"/>
  <c r="J293" i="26"/>
  <c r="B293" i="26"/>
  <c r="J292" i="26"/>
  <c r="B292" i="26"/>
  <c r="J291" i="26"/>
  <c r="B291" i="26"/>
  <c r="J290" i="26"/>
  <c r="B290" i="26"/>
  <c r="J289" i="26"/>
  <c r="B289" i="26"/>
  <c r="J288" i="26"/>
  <c r="B288" i="26"/>
  <c r="J287" i="26"/>
  <c r="B287" i="26"/>
  <c r="J286" i="26"/>
  <c r="B286" i="26"/>
  <c r="J285" i="26"/>
  <c r="B285" i="26"/>
  <c r="J284" i="26"/>
  <c r="B284" i="26"/>
  <c r="J283" i="26"/>
  <c r="B283" i="26"/>
  <c r="J282" i="26"/>
  <c r="B282" i="26"/>
  <c r="J281" i="26"/>
  <c r="B281" i="26"/>
  <c r="J280" i="26"/>
  <c r="B280" i="26"/>
  <c r="J279" i="26"/>
  <c r="B279" i="26"/>
  <c r="J278" i="26"/>
  <c r="B278" i="26"/>
  <c r="J277" i="26"/>
  <c r="B277" i="26"/>
  <c r="J275" i="26"/>
  <c r="B275" i="26"/>
  <c r="J274" i="26"/>
  <c r="B274" i="26"/>
  <c r="J273" i="26"/>
  <c r="B273" i="26"/>
  <c r="J272" i="26"/>
  <c r="B272" i="26"/>
  <c r="J271" i="26"/>
  <c r="B271" i="26"/>
  <c r="J270" i="26"/>
  <c r="B270" i="26"/>
  <c r="J269" i="26"/>
  <c r="B269" i="26"/>
  <c r="J268" i="26"/>
  <c r="B268" i="26"/>
  <c r="J266" i="26"/>
  <c r="B266" i="26"/>
  <c r="J265" i="26"/>
  <c r="B265" i="26"/>
  <c r="J264" i="26"/>
  <c r="B264" i="26"/>
  <c r="J263" i="26"/>
  <c r="B263" i="26"/>
  <c r="J262" i="26"/>
  <c r="B262" i="26"/>
  <c r="J261" i="26"/>
  <c r="B261" i="26"/>
  <c r="J260" i="26"/>
  <c r="B260" i="26"/>
  <c r="J259" i="26"/>
  <c r="B259" i="26"/>
  <c r="J258" i="26"/>
  <c r="B258" i="26"/>
  <c r="J257" i="26"/>
  <c r="B257" i="26"/>
  <c r="J256" i="26"/>
  <c r="B256" i="26"/>
  <c r="J255" i="26"/>
  <c r="B255" i="26"/>
  <c r="J254" i="26"/>
  <c r="B254" i="26"/>
  <c r="J253" i="26"/>
  <c r="B253" i="26"/>
  <c r="J252" i="26"/>
  <c r="B252" i="26"/>
  <c r="J251" i="26"/>
  <c r="B251" i="26"/>
  <c r="J250" i="26"/>
  <c r="B250" i="26"/>
  <c r="J249" i="26"/>
  <c r="B249" i="26"/>
  <c r="J248" i="26"/>
  <c r="B248" i="26"/>
  <c r="J247" i="26"/>
  <c r="B247" i="26"/>
  <c r="J246" i="26"/>
  <c r="B246" i="26"/>
  <c r="J245" i="26"/>
  <c r="B245" i="26"/>
  <c r="J244" i="26"/>
  <c r="B244" i="26"/>
  <c r="J243" i="26"/>
  <c r="B243" i="26"/>
  <c r="J242" i="26"/>
  <c r="B242" i="26"/>
  <c r="J241" i="26"/>
  <c r="B241" i="26"/>
  <c r="J240" i="26"/>
  <c r="B240" i="26"/>
  <c r="J239" i="26"/>
  <c r="B239" i="26"/>
  <c r="P238" i="26"/>
  <c r="N238" i="26"/>
  <c r="L238" i="26"/>
  <c r="J238" i="26"/>
  <c r="B238" i="26"/>
  <c r="J237" i="26"/>
  <c r="B237" i="26"/>
  <c r="J236" i="26"/>
  <c r="B236" i="26"/>
  <c r="J235" i="26"/>
  <c r="B235" i="26"/>
  <c r="J234" i="26"/>
  <c r="B234" i="26"/>
  <c r="J233" i="26"/>
  <c r="B233" i="26"/>
  <c r="J231" i="26"/>
  <c r="B231" i="26"/>
  <c r="J230" i="26"/>
  <c r="B230" i="26"/>
  <c r="J229" i="26"/>
  <c r="B229" i="26"/>
  <c r="J228" i="26"/>
  <c r="B228" i="26"/>
  <c r="J227" i="26"/>
  <c r="B227" i="26"/>
  <c r="J226" i="26"/>
  <c r="B226" i="26"/>
  <c r="J225" i="26"/>
  <c r="B225" i="26"/>
  <c r="J224" i="26"/>
  <c r="B224" i="26"/>
  <c r="J220" i="26"/>
  <c r="B220" i="26"/>
  <c r="J218" i="26"/>
  <c r="B218" i="26"/>
  <c r="J217" i="26"/>
  <c r="B217" i="26"/>
  <c r="J216" i="26"/>
  <c r="B216" i="26"/>
  <c r="J215" i="26"/>
  <c r="B215" i="26"/>
  <c r="J214" i="26"/>
  <c r="B214" i="26"/>
  <c r="J213" i="26"/>
  <c r="B213" i="26"/>
  <c r="J212" i="26"/>
  <c r="B212" i="26"/>
  <c r="J211" i="26"/>
  <c r="B211" i="26"/>
  <c r="J210" i="26"/>
  <c r="B210" i="26"/>
  <c r="J209" i="26"/>
  <c r="B209" i="26"/>
  <c r="J208" i="26"/>
  <c r="B208" i="26"/>
  <c r="J207" i="26"/>
  <c r="B207" i="26"/>
  <c r="J206" i="26"/>
  <c r="B206" i="26"/>
  <c r="J205" i="26"/>
  <c r="B205" i="26"/>
  <c r="J204" i="26"/>
  <c r="B204" i="26"/>
  <c r="J203" i="26"/>
  <c r="J219" i="26" s="1"/>
  <c r="B203" i="26"/>
  <c r="J201" i="26"/>
  <c r="B201" i="26"/>
  <c r="J200" i="26"/>
  <c r="B200" i="26"/>
  <c r="J199" i="26"/>
  <c r="B199" i="26"/>
  <c r="J198" i="26"/>
  <c r="B198" i="26"/>
  <c r="J197" i="26"/>
  <c r="B197" i="26"/>
  <c r="J196" i="26"/>
  <c r="B196" i="26"/>
  <c r="J195" i="26"/>
  <c r="B195" i="26"/>
  <c r="J194" i="26"/>
  <c r="B194" i="26"/>
  <c r="J193" i="26"/>
  <c r="B193" i="26"/>
  <c r="J191" i="26"/>
  <c r="B191" i="26"/>
  <c r="J190" i="26"/>
  <c r="B190" i="26"/>
  <c r="J189" i="26"/>
  <c r="B189" i="26"/>
  <c r="J188" i="26"/>
  <c r="B188" i="26"/>
  <c r="J187" i="26"/>
  <c r="B187" i="26"/>
  <c r="J186" i="26"/>
  <c r="B186" i="26"/>
  <c r="J185" i="26"/>
  <c r="B185" i="26"/>
  <c r="J184" i="26"/>
  <c r="B184" i="26"/>
  <c r="J183" i="26"/>
  <c r="B183" i="26"/>
  <c r="J182" i="26"/>
  <c r="B182" i="26"/>
  <c r="J181" i="26"/>
  <c r="B181" i="26"/>
  <c r="J180" i="26"/>
  <c r="B180" i="26"/>
  <c r="J179" i="26"/>
  <c r="B179" i="26"/>
  <c r="J178" i="26"/>
  <c r="B178" i="26"/>
  <c r="J177" i="26"/>
  <c r="B177" i="26"/>
  <c r="J176" i="26"/>
  <c r="B176" i="26"/>
  <c r="J175" i="26"/>
  <c r="B175" i="26"/>
  <c r="J173" i="26"/>
  <c r="B173" i="26"/>
  <c r="J172" i="26"/>
  <c r="B172" i="26"/>
  <c r="J171" i="26"/>
  <c r="B171" i="26"/>
  <c r="J170" i="26"/>
  <c r="B170" i="26"/>
  <c r="J169" i="26"/>
  <c r="B169" i="26"/>
  <c r="J168" i="26"/>
  <c r="B168" i="26"/>
  <c r="J167" i="26"/>
  <c r="B167" i="26"/>
  <c r="J166" i="26"/>
  <c r="B166" i="26"/>
  <c r="J165" i="26"/>
  <c r="B165" i="26"/>
  <c r="J164" i="26"/>
  <c r="B164" i="26"/>
  <c r="J163" i="26"/>
  <c r="B163" i="26"/>
  <c r="J162" i="26"/>
  <c r="B162" i="26"/>
  <c r="J161" i="26"/>
  <c r="B161" i="26"/>
  <c r="J160" i="26"/>
  <c r="B160" i="26"/>
  <c r="J159" i="26"/>
  <c r="B159" i="26"/>
  <c r="J158" i="26"/>
  <c r="B158" i="26"/>
  <c r="J157" i="26"/>
  <c r="B157" i="26"/>
  <c r="J155" i="26"/>
  <c r="B155" i="26"/>
  <c r="J154" i="26"/>
  <c r="B154" i="26"/>
  <c r="J153" i="26"/>
  <c r="B153" i="26"/>
  <c r="J152" i="26"/>
  <c r="B152" i="26"/>
  <c r="J151" i="26"/>
  <c r="B151" i="26"/>
  <c r="J150" i="26"/>
  <c r="B150" i="26"/>
  <c r="J149" i="26"/>
  <c r="B149" i="26"/>
  <c r="J148" i="26"/>
  <c r="B148" i="26"/>
  <c r="J147" i="26"/>
  <c r="B147" i="26"/>
  <c r="J146" i="26"/>
  <c r="B146" i="26"/>
  <c r="J145" i="26"/>
  <c r="B145" i="26"/>
  <c r="J144" i="26"/>
  <c r="B144" i="26"/>
  <c r="J143" i="26"/>
  <c r="B143" i="26"/>
  <c r="J142" i="26"/>
  <c r="B142" i="26"/>
  <c r="J141" i="26"/>
  <c r="B141" i="26"/>
  <c r="J140" i="26"/>
  <c r="B140" i="26"/>
  <c r="J138" i="26"/>
  <c r="B138" i="26"/>
  <c r="J137" i="26"/>
  <c r="B137" i="26"/>
  <c r="J136" i="26"/>
  <c r="B136" i="26"/>
  <c r="J135" i="26"/>
  <c r="B135" i="26"/>
  <c r="J134" i="26"/>
  <c r="B134" i="26"/>
  <c r="J133" i="26"/>
  <c r="B133" i="26"/>
  <c r="J132" i="26"/>
  <c r="B132" i="26"/>
  <c r="J131" i="26"/>
  <c r="B131" i="26"/>
  <c r="J130" i="26"/>
  <c r="B130" i="26"/>
  <c r="J129" i="26"/>
  <c r="B129" i="26"/>
  <c r="J128" i="26"/>
  <c r="B128" i="26"/>
  <c r="J127" i="26"/>
  <c r="B127" i="26"/>
  <c r="J126" i="26"/>
  <c r="B126" i="26"/>
  <c r="J125" i="26"/>
  <c r="B125" i="26"/>
  <c r="J124" i="26"/>
  <c r="B124" i="26"/>
  <c r="J123" i="26"/>
  <c r="B123" i="26"/>
  <c r="J122" i="26"/>
  <c r="B122" i="26"/>
  <c r="J121" i="26"/>
  <c r="B121" i="26"/>
  <c r="J120" i="26"/>
  <c r="B120" i="26"/>
  <c r="J119" i="26"/>
  <c r="B119" i="26"/>
  <c r="J117" i="26"/>
  <c r="B117" i="26"/>
  <c r="J116" i="26"/>
  <c r="B116" i="26"/>
  <c r="J115" i="26"/>
  <c r="B115" i="26"/>
  <c r="J114" i="26"/>
  <c r="B114" i="26"/>
  <c r="J113" i="26"/>
  <c r="B113" i="26"/>
  <c r="J112" i="26"/>
  <c r="B112" i="26"/>
  <c r="J111" i="26"/>
  <c r="B111" i="26"/>
  <c r="J110" i="26"/>
  <c r="B110" i="26"/>
  <c r="J109" i="26"/>
  <c r="B109" i="26"/>
  <c r="J108" i="26"/>
  <c r="B108" i="26"/>
  <c r="J107" i="26"/>
  <c r="B107" i="26"/>
  <c r="J106" i="26"/>
  <c r="B106" i="26"/>
  <c r="J105" i="26"/>
  <c r="B105" i="26"/>
  <c r="J104" i="26"/>
  <c r="B104" i="26"/>
  <c r="J103" i="26"/>
  <c r="B103" i="26"/>
  <c r="J102" i="26"/>
  <c r="B102" i="26"/>
  <c r="J101" i="26"/>
  <c r="B101" i="26"/>
  <c r="J100" i="26"/>
  <c r="B100" i="26"/>
  <c r="J99" i="26"/>
  <c r="B99" i="26"/>
  <c r="J98" i="26"/>
  <c r="B98" i="26"/>
  <c r="J97" i="26"/>
  <c r="B97" i="26"/>
  <c r="J93" i="26"/>
  <c r="B93" i="26"/>
  <c r="J92" i="26"/>
  <c r="B92" i="26"/>
  <c r="J91" i="26"/>
  <c r="B91" i="26"/>
  <c r="J90" i="26"/>
  <c r="B90" i="26"/>
  <c r="J89" i="26"/>
  <c r="B89" i="26"/>
  <c r="J88" i="26"/>
  <c r="B88" i="26"/>
  <c r="J87" i="26"/>
  <c r="B87" i="26"/>
  <c r="J86" i="26"/>
  <c r="B86" i="26"/>
  <c r="J82" i="26"/>
  <c r="B82" i="26"/>
  <c r="J81" i="26"/>
  <c r="B81" i="26"/>
  <c r="J80" i="26"/>
  <c r="B80" i="26"/>
  <c r="J79" i="26"/>
  <c r="B79" i="26"/>
  <c r="J78" i="26"/>
  <c r="B78" i="26"/>
  <c r="J77" i="26"/>
  <c r="B77" i="26"/>
  <c r="J76" i="26"/>
  <c r="B76" i="26"/>
  <c r="J75" i="26"/>
  <c r="B75" i="26"/>
  <c r="J74" i="26"/>
  <c r="B74" i="26"/>
  <c r="J73" i="26"/>
  <c r="B73" i="26"/>
  <c r="J72" i="26"/>
  <c r="B72" i="26"/>
  <c r="J71" i="26"/>
  <c r="B71" i="26"/>
  <c r="J70" i="26"/>
  <c r="B70" i="26"/>
  <c r="J69" i="26"/>
  <c r="B69" i="26"/>
  <c r="J68" i="26"/>
  <c r="B68" i="26"/>
  <c r="J66" i="26"/>
  <c r="B66" i="26"/>
  <c r="J65" i="26"/>
  <c r="B65" i="26"/>
  <c r="J64" i="26"/>
  <c r="B64" i="26"/>
  <c r="J63" i="26"/>
  <c r="B63" i="26"/>
  <c r="J62" i="26"/>
  <c r="B62" i="26"/>
  <c r="J61" i="26"/>
  <c r="B61" i="26"/>
  <c r="J60" i="26"/>
  <c r="B60" i="26"/>
  <c r="J59" i="26"/>
  <c r="B59" i="26"/>
  <c r="J58" i="26"/>
  <c r="B58" i="26"/>
  <c r="J57" i="26"/>
  <c r="B57" i="26"/>
  <c r="J56" i="26"/>
  <c r="B56" i="26"/>
  <c r="J55" i="26"/>
  <c r="B55" i="26"/>
  <c r="J54" i="26"/>
  <c r="B54" i="26"/>
  <c r="J53" i="26"/>
  <c r="B53" i="26"/>
  <c r="J52" i="26"/>
  <c r="B52" i="26"/>
  <c r="J51" i="26"/>
  <c r="B51" i="26"/>
  <c r="J50" i="26"/>
  <c r="B50" i="26"/>
  <c r="J49" i="26"/>
  <c r="B49" i="26"/>
  <c r="J48" i="26"/>
  <c r="B48" i="26"/>
  <c r="J47" i="26"/>
  <c r="B47" i="26"/>
  <c r="J46" i="26"/>
  <c r="B46" i="26"/>
  <c r="J45" i="26"/>
  <c r="B45" i="26"/>
  <c r="J44" i="26"/>
  <c r="B44" i="26"/>
  <c r="J43" i="26"/>
  <c r="B43" i="26"/>
  <c r="J42" i="26"/>
  <c r="B42" i="26"/>
  <c r="J41" i="26"/>
  <c r="B41" i="26"/>
  <c r="J40" i="26"/>
  <c r="B40" i="26"/>
  <c r="J39" i="26"/>
  <c r="B39" i="26"/>
  <c r="J38" i="26"/>
  <c r="B38" i="26"/>
  <c r="J37" i="26"/>
  <c r="B37" i="26"/>
  <c r="J33" i="26"/>
  <c r="B33" i="26"/>
  <c r="J32" i="26"/>
  <c r="B32" i="26"/>
  <c r="J31" i="26"/>
  <c r="B31" i="26"/>
  <c r="J30" i="26"/>
  <c r="B30" i="26"/>
  <c r="K29" i="26"/>
  <c r="J29" i="26"/>
  <c r="E29" i="26"/>
  <c r="B29" i="26"/>
  <c r="J28" i="26"/>
  <c r="B28" i="26"/>
  <c r="J27" i="26"/>
  <c r="B27" i="26"/>
  <c r="J26" i="26"/>
  <c r="B26" i="26"/>
  <c r="J25" i="26"/>
  <c r="B25" i="26"/>
  <c r="P24" i="26"/>
  <c r="O24" i="26"/>
  <c r="M24" i="26"/>
  <c r="L24" i="26"/>
  <c r="K24" i="26"/>
  <c r="J24" i="26"/>
  <c r="I24" i="26"/>
  <c r="G24" i="26"/>
  <c r="E24" i="26"/>
  <c r="C24" i="26"/>
  <c r="B24" i="26"/>
  <c r="J23" i="26"/>
  <c r="B23" i="26"/>
  <c r="P22" i="26"/>
  <c r="O22" i="26"/>
  <c r="M22" i="26"/>
  <c r="L22" i="26"/>
  <c r="K22" i="26"/>
  <c r="J22" i="26"/>
  <c r="I22" i="26"/>
  <c r="G22" i="26"/>
  <c r="E22" i="26"/>
  <c r="C22" i="26"/>
  <c r="B22" i="26"/>
  <c r="J21" i="26"/>
  <c r="B21" i="26"/>
  <c r="P20" i="26"/>
  <c r="O20" i="26"/>
  <c r="M20" i="26"/>
  <c r="L20" i="26"/>
  <c r="K20" i="26"/>
  <c r="J20" i="26"/>
  <c r="I20" i="26"/>
  <c r="G20" i="26"/>
  <c r="E20" i="26"/>
  <c r="C20" i="26"/>
  <c r="B20" i="26"/>
  <c r="J19" i="26"/>
  <c r="B19" i="26"/>
  <c r="J18" i="26"/>
  <c r="B18" i="26"/>
  <c r="J17" i="26"/>
  <c r="B17" i="26"/>
  <c r="J16" i="26"/>
  <c r="B16" i="26"/>
  <c r="O15" i="26"/>
  <c r="M15" i="26"/>
  <c r="K15" i="26"/>
  <c r="J15" i="26"/>
  <c r="I15" i="26"/>
  <c r="G15" i="26"/>
  <c r="E15" i="26"/>
  <c r="C15" i="26"/>
  <c r="B15" i="26"/>
  <c r="J14" i="26"/>
  <c r="B14" i="26"/>
  <c r="J13" i="26"/>
  <c r="B13" i="26"/>
  <c r="J12" i="26"/>
  <c r="B12" i="26"/>
  <c r="J11" i="26"/>
  <c r="B11" i="26"/>
  <c r="J10" i="26"/>
  <c r="B10" i="26"/>
  <c r="C70" i="25"/>
  <c r="M69" i="25"/>
  <c r="M70" i="25" s="1"/>
  <c r="K69" i="25"/>
  <c r="K70" i="25" s="1"/>
  <c r="C69" i="25"/>
  <c r="G64" i="25"/>
  <c r="Q63" i="25"/>
  <c r="Q64" i="25" s="1"/>
  <c r="I63" i="25"/>
  <c r="I64" i="25" s="1"/>
  <c r="G63" i="25"/>
  <c r="E63" i="25"/>
  <c r="E64" i="25" s="1"/>
  <c r="C63" i="25"/>
  <c r="C64" i="25" s="1"/>
  <c r="U59" i="25"/>
  <c r="K56" i="25"/>
  <c r="M49" i="25"/>
  <c r="M48" i="25"/>
  <c r="M44" i="25"/>
  <c r="K44" i="25"/>
  <c r="C44" i="25"/>
  <c r="M43" i="25"/>
  <c r="K43" i="25"/>
  <c r="C43" i="25"/>
  <c r="M42" i="25"/>
  <c r="K42" i="25"/>
  <c r="C42" i="25"/>
  <c r="M41" i="25"/>
  <c r="K41" i="25"/>
  <c r="C41" i="25"/>
  <c r="M40" i="25"/>
  <c r="K40" i="25"/>
  <c r="C40" i="25"/>
  <c r="M39" i="25"/>
  <c r="K39" i="25"/>
  <c r="C39" i="25"/>
  <c r="M38" i="25"/>
  <c r="K38" i="25"/>
  <c r="C38" i="25"/>
  <c r="M34" i="25"/>
  <c r="K34" i="25"/>
  <c r="C34" i="25"/>
  <c r="M33" i="25"/>
  <c r="K33" i="25"/>
  <c r="C33" i="25"/>
  <c r="M32" i="25"/>
  <c r="M57" i="25" s="1"/>
  <c r="K32" i="25"/>
  <c r="C32" i="25"/>
  <c r="U31" i="25"/>
  <c r="M30" i="25"/>
  <c r="K30" i="25"/>
  <c r="C30" i="25"/>
  <c r="U29" i="25"/>
  <c r="M28" i="25"/>
  <c r="M53" i="25" s="1"/>
  <c r="K28" i="25"/>
  <c r="C28" i="25"/>
  <c r="M27" i="25"/>
  <c r="K27" i="25"/>
  <c r="C27" i="25"/>
  <c r="M26" i="25"/>
  <c r="K26" i="25"/>
  <c r="C26" i="25"/>
  <c r="M25" i="25"/>
  <c r="K25" i="25"/>
  <c r="C25" i="25"/>
  <c r="M21" i="25"/>
  <c r="K21" i="25"/>
  <c r="C21" i="25"/>
  <c r="M20" i="25"/>
  <c r="M58" i="25" s="1"/>
  <c r="K20" i="25"/>
  <c r="K58" i="25" s="1"/>
  <c r="C20" i="25"/>
  <c r="M19" i="25"/>
  <c r="K19" i="25"/>
  <c r="K57" i="25" s="1"/>
  <c r="C19" i="25"/>
  <c r="M18" i="25"/>
  <c r="M56" i="25" s="1"/>
  <c r="K18" i="25"/>
  <c r="C18" i="25"/>
  <c r="C56" i="25" s="1"/>
  <c r="M17" i="25"/>
  <c r="M55" i="25" s="1"/>
  <c r="K17" i="25"/>
  <c r="C17" i="25"/>
  <c r="C55" i="25" s="1"/>
  <c r="M16" i="25"/>
  <c r="M54" i="25" s="1"/>
  <c r="K16" i="25"/>
  <c r="K54" i="25" s="1"/>
  <c r="C16" i="25"/>
  <c r="C54" i="25" s="1"/>
  <c r="M15" i="25"/>
  <c r="K15" i="25"/>
  <c r="K53" i="25" s="1"/>
  <c r="C15" i="25"/>
  <c r="M14" i="25"/>
  <c r="M52" i="25" s="1"/>
  <c r="K14" i="25"/>
  <c r="K52" i="25" s="1"/>
  <c r="C14" i="25"/>
  <c r="C52" i="25" s="1"/>
  <c r="M13" i="25"/>
  <c r="K13" i="25"/>
  <c r="C13" i="25"/>
  <c r="M12" i="25"/>
  <c r="K12" i="25"/>
  <c r="K50" i="25" s="1"/>
  <c r="C12" i="25"/>
  <c r="M11" i="25"/>
  <c r="K11" i="25"/>
  <c r="K49" i="25" s="1"/>
  <c r="C11" i="25"/>
  <c r="C49" i="25" s="1"/>
  <c r="M10" i="25"/>
  <c r="K10" i="25"/>
  <c r="C10" i="25"/>
  <c r="C48" i="25" s="1"/>
  <c r="J31" i="24"/>
  <c r="J28" i="24"/>
  <c r="B28" i="24"/>
  <c r="B31" i="24" s="1"/>
  <c r="J22" i="24"/>
  <c r="B22" i="24"/>
  <c r="J53" i="23"/>
  <c r="B53" i="23"/>
  <c r="B40" i="23"/>
  <c r="J29" i="23"/>
  <c r="J40" i="23" s="1"/>
  <c r="J56" i="23" s="1"/>
  <c r="J23" i="23"/>
  <c r="B23" i="23"/>
  <c r="J478" i="22"/>
  <c r="J481" i="22" s="1"/>
  <c r="B478" i="22"/>
  <c r="B481" i="22" s="1"/>
  <c r="B466" i="22"/>
  <c r="J461" i="22"/>
  <c r="J457" i="22"/>
  <c r="J453" i="22"/>
  <c r="J466" i="22" s="1"/>
  <c r="O437" i="22"/>
  <c r="M437" i="22"/>
  <c r="B437" i="22"/>
  <c r="J434" i="22"/>
  <c r="J415" i="22"/>
  <c r="J405" i="22"/>
  <c r="J367" i="22"/>
  <c r="J351" i="22"/>
  <c r="J340" i="22"/>
  <c r="J275" i="22"/>
  <c r="J266" i="22"/>
  <c r="J231" i="22"/>
  <c r="R229" i="22"/>
  <c r="B219" i="22"/>
  <c r="J217" i="22"/>
  <c r="J200" i="22"/>
  <c r="J190" i="22"/>
  <c r="J172" i="22"/>
  <c r="J154" i="22"/>
  <c r="J137" i="22"/>
  <c r="J116" i="22"/>
  <c r="J92" i="22"/>
  <c r="B92" i="22"/>
  <c r="B81" i="22"/>
  <c r="J65" i="22"/>
  <c r="J81" i="22" s="1"/>
  <c r="J34" i="22"/>
  <c r="B34" i="22"/>
  <c r="F37" i="21"/>
  <c r="H34" i="21"/>
  <c r="F34" i="21"/>
  <c r="D34" i="21"/>
  <c r="B34" i="21"/>
  <c r="B37" i="21" s="1"/>
  <c r="L33" i="21"/>
  <c r="J33" i="21"/>
  <c r="J32" i="21"/>
  <c r="L32" i="21" s="1"/>
  <c r="L31" i="21"/>
  <c r="J31" i="21"/>
  <c r="J30" i="21"/>
  <c r="L30" i="21" s="1"/>
  <c r="L29" i="21"/>
  <c r="J29" i="21"/>
  <c r="J28" i="21"/>
  <c r="L28" i="21" s="1"/>
  <c r="H25" i="21"/>
  <c r="F25" i="21"/>
  <c r="D25" i="21"/>
  <c r="B25" i="21"/>
  <c r="J24" i="21"/>
  <c r="L24" i="21" s="1"/>
  <c r="L23" i="21"/>
  <c r="J23" i="21"/>
  <c r="J22" i="21"/>
  <c r="L22" i="21" s="1"/>
  <c r="L21" i="21"/>
  <c r="J21" i="21"/>
  <c r="J20" i="21"/>
  <c r="L20" i="21" s="1"/>
  <c r="L19" i="21"/>
  <c r="J19" i="21"/>
  <c r="J18" i="21"/>
  <c r="L18" i="21" s="1"/>
  <c r="L17" i="21"/>
  <c r="J17" i="21"/>
  <c r="J16" i="21"/>
  <c r="L16" i="21" s="1"/>
  <c r="L15" i="21"/>
  <c r="J15" i="21"/>
  <c r="J14" i="21"/>
  <c r="F12" i="21"/>
  <c r="D12" i="21"/>
  <c r="B12" i="21"/>
  <c r="H11" i="21"/>
  <c r="J11" i="21" s="1"/>
  <c r="J12" i="21" s="1"/>
  <c r="J17" i="20"/>
  <c r="H17" i="20"/>
  <c r="F17" i="20"/>
  <c r="D17" i="20"/>
  <c r="B17" i="20"/>
  <c r="H14" i="20"/>
  <c r="F14" i="20"/>
  <c r="D14" i="20"/>
  <c r="B14" i="20"/>
  <c r="J13" i="20"/>
  <c r="L13" i="20" s="1"/>
  <c r="L12" i="20"/>
  <c r="J12" i="20"/>
  <c r="J11" i="20"/>
  <c r="J14" i="20" s="1"/>
  <c r="H31" i="19"/>
  <c r="F31" i="19"/>
  <c r="D31" i="19"/>
  <c r="B31" i="19"/>
  <c r="J30" i="19"/>
  <c r="L30" i="19" s="1"/>
  <c r="L31" i="19" s="1"/>
  <c r="H27" i="19"/>
  <c r="F27" i="19"/>
  <c r="F33" i="19" s="1"/>
  <c r="D27" i="19"/>
  <c r="D33" i="19" s="1"/>
  <c r="B27" i="19"/>
  <c r="J26" i="19"/>
  <c r="L26" i="19" s="1"/>
  <c r="J25" i="19"/>
  <c r="L25" i="19" s="1"/>
  <c r="J24" i="19"/>
  <c r="L24" i="19" s="1"/>
  <c r="J23" i="19"/>
  <c r="L23" i="19" s="1"/>
  <c r="J22" i="19"/>
  <c r="L22" i="19" s="1"/>
  <c r="J21" i="19"/>
  <c r="J17" i="19"/>
  <c r="H17" i="19"/>
  <c r="F17" i="19"/>
  <c r="D17" i="19"/>
  <c r="B17" i="19"/>
  <c r="L16" i="19"/>
  <c r="L17" i="19" s="1"/>
  <c r="J16" i="19"/>
  <c r="H16" i="19"/>
  <c r="J13" i="19"/>
  <c r="F13" i="19"/>
  <c r="D13" i="19"/>
  <c r="B13" i="19"/>
  <c r="B33" i="19" s="1"/>
  <c r="L12" i="19"/>
  <c r="J12" i="19"/>
  <c r="J11" i="19"/>
  <c r="L11" i="19" s="1"/>
  <c r="L13" i="19" s="1"/>
  <c r="H11" i="19"/>
  <c r="H13" i="19" s="1"/>
  <c r="H33" i="19" s="1"/>
  <c r="B39" i="18"/>
  <c r="B42" i="18" s="1"/>
  <c r="B33" i="18"/>
  <c r="B45" i="18" s="1"/>
  <c r="B30" i="18"/>
  <c r="B24" i="18"/>
  <c r="L18" i="18"/>
  <c r="J18" i="18"/>
  <c r="J17" i="18"/>
  <c r="L17" i="18" s="1"/>
  <c r="B30" i="17"/>
  <c r="B29" i="17"/>
  <c r="B28" i="17"/>
  <c r="B31" i="17" s="1"/>
  <c r="B24" i="17"/>
  <c r="B23" i="17"/>
  <c r="B22" i="17"/>
  <c r="B21" i="17"/>
  <c r="B20" i="17"/>
  <c r="P19" i="17"/>
  <c r="H19" i="17"/>
  <c r="F19" i="17"/>
  <c r="J19" i="17" s="1"/>
  <c r="L19" i="17" s="1"/>
  <c r="D19" i="17"/>
  <c r="B19" i="17"/>
  <c r="J18" i="17"/>
  <c r="H18" i="17"/>
  <c r="F18" i="17"/>
  <c r="D18" i="17"/>
  <c r="B18" i="17"/>
  <c r="B17" i="17"/>
  <c r="B16" i="17"/>
  <c r="B15" i="17"/>
  <c r="B14" i="17"/>
  <c r="B13" i="17"/>
  <c r="B12" i="17"/>
  <c r="B86" i="16"/>
  <c r="B80" i="16"/>
  <c r="L79" i="16"/>
  <c r="J79" i="16"/>
  <c r="B72" i="16"/>
  <c r="B54" i="16"/>
  <c r="B44" i="16"/>
  <c r="B57" i="16" s="1"/>
  <c r="B40" i="16"/>
  <c r="L29" i="16"/>
  <c r="B24" i="16"/>
  <c r="L56" i="15"/>
  <c r="J56" i="15"/>
  <c r="J55" i="15"/>
  <c r="L55" i="15" s="1"/>
  <c r="B54" i="15"/>
  <c r="B53" i="15"/>
  <c r="B52" i="15"/>
  <c r="B51" i="15"/>
  <c r="B50" i="15"/>
  <c r="B49" i="15"/>
  <c r="B57" i="15" s="1"/>
  <c r="B48" i="15"/>
  <c r="N45" i="15"/>
  <c r="B45" i="15"/>
  <c r="B44" i="15"/>
  <c r="B40" i="15"/>
  <c r="B39" i="15"/>
  <c r="B38" i="15"/>
  <c r="B37" i="15"/>
  <c r="B36" i="15"/>
  <c r="B35" i="15"/>
  <c r="B34" i="15"/>
  <c r="B33" i="15"/>
  <c r="B32" i="15"/>
  <c r="B31" i="15"/>
  <c r="H30" i="15"/>
  <c r="F30" i="15"/>
  <c r="D30" i="15"/>
  <c r="B30" i="15"/>
  <c r="L30" i="15" s="1"/>
  <c r="B29" i="15"/>
  <c r="B28" i="15"/>
  <c r="B41" i="15" s="1"/>
  <c r="B24" i="15"/>
  <c r="B23" i="15"/>
  <c r="B22" i="15"/>
  <c r="G21" i="15"/>
  <c r="E21" i="15"/>
  <c r="B21" i="15"/>
  <c r="B20" i="15"/>
  <c r="B19" i="15"/>
  <c r="B18" i="15"/>
  <c r="B17" i="15"/>
  <c r="B16" i="15"/>
  <c r="B15" i="15"/>
  <c r="B14" i="15"/>
  <c r="B13" i="15"/>
  <c r="B12" i="15"/>
  <c r="B11" i="15"/>
  <c r="B193" i="14"/>
  <c r="B180" i="14"/>
  <c r="B196" i="14" s="1"/>
  <c r="B170" i="14"/>
  <c r="B161" i="14"/>
  <c r="B156" i="14"/>
  <c r="B147" i="14"/>
  <c r="B133" i="14"/>
  <c r="J130" i="14"/>
  <c r="L130" i="14" s="1"/>
  <c r="B112" i="14"/>
  <c r="B95" i="14"/>
  <c r="B80" i="14"/>
  <c r="B115" i="14" s="1"/>
  <c r="B66" i="14"/>
  <c r="B59" i="14"/>
  <c r="B48" i="14"/>
  <c r="B28" i="14"/>
  <c r="J22" i="14"/>
  <c r="L22" i="14" s="1"/>
  <c r="B112" i="13"/>
  <c r="B111" i="13"/>
  <c r="B110" i="13"/>
  <c r="G109" i="13"/>
  <c r="E109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K95" i="13"/>
  <c r="I95" i="13"/>
  <c r="B94" i="13"/>
  <c r="B93" i="13"/>
  <c r="B92" i="13"/>
  <c r="B91" i="13"/>
  <c r="B90" i="13"/>
  <c r="B89" i="13"/>
  <c r="B88" i="13"/>
  <c r="B87" i="13"/>
  <c r="B95" i="13" s="1"/>
  <c r="B86" i="13"/>
  <c r="B85" i="13"/>
  <c r="B84" i="13"/>
  <c r="B83" i="13"/>
  <c r="B79" i="13"/>
  <c r="B78" i="13"/>
  <c r="B77" i="13"/>
  <c r="B76" i="13"/>
  <c r="B75" i="13"/>
  <c r="B74" i="13"/>
  <c r="B73" i="13"/>
  <c r="B72" i="13"/>
  <c r="B71" i="13"/>
  <c r="B70" i="13"/>
  <c r="B69" i="13"/>
  <c r="B80" i="13" s="1"/>
  <c r="B65" i="13"/>
  <c r="B64" i="13"/>
  <c r="B63" i="13"/>
  <c r="B62" i="13"/>
  <c r="B66" i="13" s="1"/>
  <c r="B58" i="13"/>
  <c r="B57" i="13"/>
  <c r="B56" i="13"/>
  <c r="B55" i="13"/>
  <c r="B54" i="13"/>
  <c r="B53" i="13"/>
  <c r="B52" i="13"/>
  <c r="B51" i="13"/>
  <c r="B59" i="13" s="1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48" i="13" s="1"/>
  <c r="B27" i="13"/>
  <c r="B26" i="13"/>
  <c r="B25" i="13"/>
  <c r="B24" i="13"/>
  <c r="B23" i="13"/>
  <c r="H22" i="13"/>
  <c r="F22" i="13"/>
  <c r="D22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8" i="13" s="1"/>
  <c r="G190" i="12"/>
  <c r="E190" i="12"/>
  <c r="C190" i="12"/>
  <c r="B190" i="12"/>
  <c r="B189" i="12"/>
  <c r="B188" i="12"/>
  <c r="B187" i="12"/>
  <c r="B186" i="12"/>
  <c r="B185" i="12"/>
  <c r="B184" i="12"/>
  <c r="B183" i="12"/>
  <c r="B182" i="12"/>
  <c r="B191" i="12" s="1"/>
  <c r="B181" i="12"/>
  <c r="B177" i="12"/>
  <c r="B176" i="12"/>
  <c r="B175" i="12"/>
  <c r="B174" i="12"/>
  <c r="B173" i="12"/>
  <c r="B172" i="12"/>
  <c r="B178" i="12" s="1"/>
  <c r="B171" i="12"/>
  <c r="B167" i="12"/>
  <c r="B166" i="12"/>
  <c r="B165" i="12"/>
  <c r="B164" i="12"/>
  <c r="B163" i="12"/>
  <c r="B162" i="12"/>
  <c r="B168" i="12" s="1"/>
  <c r="B158" i="12"/>
  <c r="B157" i="12"/>
  <c r="B159" i="12" s="1"/>
  <c r="B153" i="12"/>
  <c r="B151" i="12"/>
  <c r="B150" i="12"/>
  <c r="B149" i="12"/>
  <c r="B148" i="12"/>
  <c r="B144" i="12"/>
  <c r="B143" i="12"/>
  <c r="B142" i="12"/>
  <c r="B141" i="12"/>
  <c r="B140" i="12"/>
  <c r="B139" i="12"/>
  <c r="B138" i="12"/>
  <c r="B137" i="12"/>
  <c r="B136" i="12"/>
  <c r="B135" i="12"/>
  <c r="B134" i="12"/>
  <c r="B130" i="12"/>
  <c r="G129" i="12"/>
  <c r="E129" i="12"/>
  <c r="B129" i="12"/>
  <c r="H128" i="12"/>
  <c r="J128" i="12" s="1"/>
  <c r="L128" i="12" s="1"/>
  <c r="G128" i="12"/>
  <c r="F128" i="12"/>
  <c r="E128" i="12"/>
  <c r="D128" i="12"/>
  <c r="B128" i="12"/>
  <c r="G127" i="12"/>
  <c r="E127" i="12"/>
  <c r="C127" i="12"/>
  <c r="B127" i="12"/>
  <c r="B126" i="12"/>
  <c r="B125" i="12"/>
  <c r="B124" i="12"/>
  <c r="B123" i="12"/>
  <c r="B122" i="12"/>
  <c r="B121" i="12"/>
  <c r="B120" i="12"/>
  <c r="B131" i="12" s="1"/>
  <c r="B119" i="12"/>
  <c r="B118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111" i="12" s="1"/>
  <c r="B93" i="12"/>
  <c r="B92" i="12"/>
  <c r="B91" i="12"/>
  <c r="B90" i="12"/>
  <c r="B89" i="12"/>
  <c r="B88" i="12"/>
  <c r="B87" i="12"/>
  <c r="B86" i="12"/>
  <c r="B85" i="12"/>
  <c r="B84" i="12"/>
  <c r="B83" i="12"/>
  <c r="B82" i="12"/>
  <c r="B94" i="12" s="1"/>
  <c r="B78" i="12"/>
  <c r="B77" i="12"/>
  <c r="B76" i="12"/>
  <c r="B75" i="12"/>
  <c r="B74" i="12"/>
  <c r="B73" i="12"/>
  <c r="B72" i="12"/>
  <c r="B71" i="12"/>
  <c r="B70" i="12"/>
  <c r="B69" i="12"/>
  <c r="B79" i="12" s="1"/>
  <c r="B68" i="12"/>
  <c r="B64" i="12"/>
  <c r="B63" i="12"/>
  <c r="B62" i="12"/>
  <c r="B61" i="12"/>
  <c r="B65" i="12" s="1"/>
  <c r="B57" i="12"/>
  <c r="B56" i="12"/>
  <c r="B55" i="12"/>
  <c r="B54" i="12"/>
  <c r="B53" i="12"/>
  <c r="B52" i="12"/>
  <c r="B51" i="12"/>
  <c r="B50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47" i="12" s="1"/>
  <c r="B30" i="12"/>
  <c r="B26" i="12"/>
  <c r="B25" i="12"/>
  <c r="B24" i="12"/>
  <c r="B23" i="12"/>
  <c r="B27" i="12" s="1"/>
  <c r="B22" i="12"/>
  <c r="H21" i="12"/>
  <c r="J21" i="12" s="1"/>
  <c r="L21" i="12" s="1"/>
  <c r="F21" i="12"/>
  <c r="D21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111" i="11"/>
  <c r="B112" i="11" s="1"/>
  <c r="C110" i="11"/>
  <c r="B110" i="11"/>
  <c r="G109" i="11"/>
  <c r="E109" i="11"/>
  <c r="C109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79" i="11"/>
  <c r="B78" i="11"/>
  <c r="B77" i="11"/>
  <c r="B76" i="11"/>
  <c r="B75" i="11"/>
  <c r="B74" i="11"/>
  <c r="B73" i="11"/>
  <c r="B72" i="11"/>
  <c r="B71" i="11"/>
  <c r="B70" i="11"/>
  <c r="B80" i="11" s="1"/>
  <c r="B69" i="11"/>
  <c r="B65" i="11"/>
  <c r="B64" i="11"/>
  <c r="B63" i="11"/>
  <c r="B62" i="11"/>
  <c r="B66" i="11" s="1"/>
  <c r="B58" i="11"/>
  <c r="B57" i="11"/>
  <c r="B56" i="11"/>
  <c r="B55" i="11"/>
  <c r="B54" i="11"/>
  <c r="B53" i="11"/>
  <c r="B52" i="11"/>
  <c r="B51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C33" i="11"/>
  <c r="B33" i="11"/>
  <c r="B32" i="11"/>
  <c r="B31" i="11"/>
  <c r="B48" i="11" s="1"/>
  <c r="B27" i="11"/>
  <c r="B26" i="11"/>
  <c r="B25" i="11"/>
  <c r="B24" i="11"/>
  <c r="B23" i="11"/>
  <c r="H22" i="11"/>
  <c r="G22" i="11"/>
  <c r="F22" i="11"/>
  <c r="J22" i="11" s="1"/>
  <c r="L22" i="11" s="1"/>
  <c r="E22" i="11"/>
  <c r="D22" i="11"/>
  <c r="B22" i="11"/>
  <c r="B28" i="11" s="1"/>
  <c r="G21" i="11"/>
  <c r="E21" i="11"/>
  <c r="C21" i="11"/>
  <c r="B21" i="11"/>
  <c r="B20" i="11"/>
  <c r="B19" i="11"/>
  <c r="B18" i="11"/>
  <c r="B17" i="11"/>
  <c r="B16" i="11"/>
  <c r="B15" i="11"/>
  <c r="B14" i="11"/>
  <c r="B13" i="11"/>
  <c r="B12" i="11"/>
  <c r="B11" i="11"/>
  <c r="S40" i="10"/>
  <c r="S28" i="10"/>
  <c r="Q28" i="10"/>
  <c r="O28" i="10"/>
  <c r="M28" i="10"/>
  <c r="K28" i="10"/>
  <c r="I28" i="10"/>
  <c r="G28" i="10"/>
  <c r="E28" i="10"/>
  <c r="U27" i="10"/>
  <c r="S22" i="10"/>
  <c r="Q22" i="10"/>
  <c r="M22" i="10"/>
  <c r="K22" i="10"/>
  <c r="I22" i="10"/>
  <c r="E21" i="10"/>
  <c r="E22" i="10" s="1"/>
  <c r="M16" i="10"/>
  <c r="O13" i="10"/>
  <c r="O22" i="10" s="1"/>
  <c r="C1667" i="9"/>
  <c r="G15" i="8"/>
  <c r="K12" i="8"/>
  <c r="K15" i="8" s="1"/>
  <c r="I12" i="8"/>
  <c r="I15" i="8" s="1"/>
  <c r="G12" i="8"/>
  <c r="E12" i="8"/>
  <c r="E15" i="8" s="1"/>
  <c r="AG10" i="8"/>
  <c r="M8" i="8"/>
  <c r="AB109" i="7"/>
  <c r="Z109" i="7"/>
  <c r="X109" i="7"/>
  <c r="V109" i="7"/>
  <c r="T109" i="7"/>
  <c r="P109" i="7"/>
  <c r="N109" i="7"/>
  <c r="L109" i="7"/>
  <c r="J109" i="7"/>
  <c r="H109" i="7"/>
  <c r="F109" i="7"/>
  <c r="D109" i="7"/>
  <c r="O107" i="7"/>
  <c r="O105" i="7"/>
  <c r="M105" i="7"/>
  <c r="M107" i="7" s="1"/>
  <c r="K105" i="7"/>
  <c r="I105" i="7"/>
  <c r="G105" i="7"/>
  <c r="E105" i="7"/>
  <c r="E107" i="7" s="1"/>
  <c r="C105" i="7"/>
  <c r="Y104" i="7"/>
  <c r="W104" i="7"/>
  <c r="U104" i="7"/>
  <c r="S104" i="7"/>
  <c r="Q104" i="7"/>
  <c r="Y103" i="7"/>
  <c r="W103" i="7"/>
  <c r="U103" i="7"/>
  <c r="S103" i="7"/>
  <c r="AA103" i="7" s="1"/>
  <c r="AC103" i="7" s="1"/>
  <c r="Q103" i="7"/>
  <c r="Y102" i="7"/>
  <c r="Y105" i="7" s="1"/>
  <c r="W102" i="7"/>
  <c r="U102" i="7"/>
  <c r="U105" i="7" s="1"/>
  <c r="S102" i="7"/>
  <c r="S105" i="7" s="1"/>
  <c r="Q102" i="7"/>
  <c r="Y101" i="7"/>
  <c r="W101" i="7"/>
  <c r="U101" i="7"/>
  <c r="S101" i="7"/>
  <c r="AA101" i="7" s="1"/>
  <c r="Q101" i="7"/>
  <c r="O98" i="7"/>
  <c r="M98" i="7"/>
  <c r="K98" i="7"/>
  <c r="I98" i="7"/>
  <c r="G98" i="7"/>
  <c r="G107" i="7" s="1"/>
  <c r="E98" i="7"/>
  <c r="C98" i="7"/>
  <c r="Y97" i="7"/>
  <c r="W97" i="7"/>
  <c r="U97" i="7"/>
  <c r="S97" i="7"/>
  <c r="AA97" i="7" s="1"/>
  <c r="AC97" i="7" s="1"/>
  <c r="Q97" i="7"/>
  <c r="Y96" i="7"/>
  <c r="W96" i="7"/>
  <c r="U96" i="7"/>
  <c r="S96" i="7"/>
  <c r="AA96" i="7" s="1"/>
  <c r="Q96" i="7"/>
  <c r="Y95" i="7"/>
  <c r="W95" i="7"/>
  <c r="U95" i="7"/>
  <c r="S95" i="7"/>
  <c r="Q95" i="7"/>
  <c r="Y94" i="7"/>
  <c r="W94" i="7"/>
  <c r="U94" i="7"/>
  <c r="U98" i="7" s="1"/>
  <c r="S94" i="7"/>
  <c r="AA94" i="7" s="1"/>
  <c r="AC94" i="7" s="1"/>
  <c r="Q94" i="7"/>
  <c r="Y93" i="7"/>
  <c r="Y98" i="7" s="1"/>
  <c r="W93" i="7"/>
  <c r="U93" i="7"/>
  <c r="S93" i="7"/>
  <c r="Q93" i="7"/>
  <c r="Q90" i="7"/>
  <c r="O90" i="7"/>
  <c r="M90" i="7"/>
  <c r="K90" i="7"/>
  <c r="K107" i="7" s="1"/>
  <c r="I90" i="7"/>
  <c r="I107" i="7" s="1"/>
  <c r="G90" i="7"/>
  <c r="E90" i="7"/>
  <c r="C90" i="7"/>
  <c r="C107" i="7" s="1"/>
  <c r="Y89" i="7"/>
  <c r="W89" i="7"/>
  <c r="U89" i="7"/>
  <c r="S89" i="7"/>
  <c r="AA89" i="7" s="1"/>
  <c r="AC89" i="7" s="1"/>
  <c r="Q89" i="7"/>
  <c r="Y88" i="7"/>
  <c r="W88" i="7"/>
  <c r="U88" i="7"/>
  <c r="S88" i="7"/>
  <c r="AA88" i="7" s="1"/>
  <c r="AC88" i="7" s="1"/>
  <c r="Q88" i="7"/>
  <c r="Y87" i="7"/>
  <c r="W87" i="7"/>
  <c r="U87" i="7"/>
  <c r="S87" i="7"/>
  <c r="AA87" i="7" s="1"/>
  <c r="Q87" i="7"/>
  <c r="Y86" i="7"/>
  <c r="W86" i="7"/>
  <c r="U86" i="7"/>
  <c r="S86" i="7"/>
  <c r="AA86" i="7" s="1"/>
  <c r="AC86" i="7" s="1"/>
  <c r="Q86" i="7"/>
  <c r="Y85" i="7"/>
  <c r="W85" i="7"/>
  <c r="U85" i="7"/>
  <c r="S85" i="7"/>
  <c r="AA85" i="7" s="1"/>
  <c r="AC85" i="7" s="1"/>
  <c r="Q85" i="7"/>
  <c r="Y84" i="7"/>
  <c r="W84" i="7"/>
  <c r="U84" i="7"/>
  <c r="S84" i="7"/>
  <c r="S90" i="7" s="1"/>
  <c r="Q84" i="7"/>
  <c r="Y83" i="7"/>
  <c r="W83" i="7"/>
  <c r="U83" i="7"/>
  <c r="S83" i="7"/>
  <c r="AA83" i="7" s="1"/>
  <c r="Q83" i="7"/>
  <c r="Y82" i="7"/>
  <c r="W82" i="7"/>
  <c r="U82" i="7"/>
  <c r="S82" i="7"/>
  <c r="AA82" i="7" s="1"/>
  <c r="AC82" i="7" s="1"/>
  <c r="Q82" i="7"/>
  <c r="Y81" i="7"/>
  <c r="W81" i="7"/>
  <c r="W90" i="7" s="1"/>
  <c r="U81" i="7"/>
  <c r="S81" i="7"/>
  <c r="Q81" i="7"/>
  <c r="O74" i="7"/>
  <c r="M74" i="7"/>
  <c r="K74" i="7"/>
  <c r="I74" i="7"/>
  <c r="G74" i="7"/>
  <c r="E74" i="7"/>
  <c r="C74" i="7"/>
  <c r="Y73" i="7"/>
  <c r="W73" i="7"/>
  <c r="U73" i="7"/>
  <c r="S73" i="7"/>
  <c r="AA73" i="7" s="1"/>
  <c r="AC73" i="7" s="1"/>
  <c r="Q73" i="7"/>
  <c r="Y72" i="7"/>
  <c r="W72" i="7"/>
  <c r="U72" i="7"/>
  <c r="S72" i="7"/>
  <c r="Q72" i="7"/>
  <c r="Y71" i="7"/>
  <c r="W71" i="7"/>
  <c r="U71" i="7"/>
  <c r="S71" i="7"/>
  <c r="Q71" i="7"/>
  <c r="Y70" i="7"/>
  <c r="W70" i="7"/>
  <c r="U70" i="7"/>
  <c r="S70" i="7"/>
  <c r="AA70" i="7" s="1"/>
  <c r="AC70" i="7" s="1"/>
  <c r="Q70" i="7"/>
  <c r="Y69" i="7"/>
  <c r="W69" i="7"/>
  <c r="U69" i="7"/>
  <c r="S69" i="7"/>
  <c r="Q69" i="7"/>
  <c r="Y68" i="7"/>
  <c r="W68" i="7"/>
  <c r="U68" i="7"/>
  <c r="S68" i="7"/>
  <c r="AA68" i="7" s="1"/>
  <c r="Q68" i="7"/>
  <c r="Y67" i="7"/>
  <c r="W67" i="7"/>
  <c r="U67" i="7"/>
  <c r="S67" i="7"/>
  <c r="Q67" i="7"/>
  <c r="Y66" i="7"/>
  <c r="W66" i="7"/>
  <c r="U66" i="7"/>
  <c r="S66" i="7"/>
  <c r="AA66" i="7" s="1"/>
  <c r="AC66" i="7" s="1"/>
  <c r="Q66" i="7"/>
  <c r="Y65" i="7"/>
  <c r="W65" i="7"/>
  <c r="U65" i="7"/>
  <c r="S65" i="7"/>
  <c r="AA65" i="7" s="1"/>
  <c r="AC65" i="7" s="1"/>
  <c r="Q65" i="7"/>
  <c r="Y64" i="7"/>
  <c r="W64" i="7"/>
  <c r="U64" i="7"/>
  <c r="S64" i="7"/>
  <c r="Q64" i="7"/>
  <c r="Y63" i="7"/>
  <c r="W63" i="7"/>
  <c r="U63" i="7"/>
  <c r="S63" i="7"/>
  <c r="Q63" i="7"/>
  <c r="Y62" i="7"/>
  <c r="W62" i="7"/>
  <c r="W74" i="7" s="1"/>
  <c r="U62" i="7"/>
  <c r="S62" i="7"/>
  <c r="AA62" i="7" s="1"/>
  <c r="AC62" i="7" s="1"/>
  <c r="Q62" i="7"/>
  <c r="Y61" i="7"/>
  <c r="W61" i="7"/>
  <c r="U61" i="7"/>
  <c r="S61" i="7"/>
  <c r="Q61" i="7"/>
  <c r="Q74" i="7" s="1"/>
  <c r="Y60" i="7"/>
  <c r="Y74" i="7" s="1"/>
  <c r="W60" i="7"/>
  <c r="U60" i="7"/>
  <c r="S60" i="7"/>
  <c r="Q60" i="7"/>
  <c r="Y57" i="7"/>
  <c r="W57" i="7"/>
  <c r="O57" i="7"/>
  <c r="M57" i="7"/>
  <c r="K57" i="7"/>
  <c r="I57" i="7"/>
  <c r="G57" i="7"/>
  <c r="E57" i="7"/>
  <c r="C57" i="7"/>
  <c r="Y56" i="7"/>
  <c r="W56" i="7"/>
  <c r="U56" i="7"/>
  <c r="S56" i="7"/>
  <c r="AA56" i="7" s="1"/>
  <c r="Q56" i="7"/>
  <c r="Y55" i="7"/>
  <c r="W55" i="7"/>
  <c r="U55" i="7"/>
  <c r="S55" i="7"/>
  <c r="AA55" i="7" s="1"/>
  <c r="Q55" i="7"/>
  <c r="Y54" i="7"/>
  <c r="W54" i="7"/>
  <c r="U54" i="7"/>
  <c r="S54" i="7"/>
  <c r="Q54" i="7"/>
  <c r="Q57" i="7" s="1"/>
  <c r="Y53" i="7"/>
  <c r="W53" i="7"/>
  <c r="U53" i="7"/>
  <c r="U57" i="7" s="1"/>
  <c r="S53" i="7"/>
  <c r="Q53" i="7"/>
  <c r="O50" i="7"/>
  <c r="M50" i="7"/>
  <c r="K50" i="7"/>
  <c r="K77" i="7" s="1"/>
  <c r="K109" i="7" s="1"/>
  <c r="I50" i="7"/>
  <c r="G50" i="7"/>
  <c r="E50" i="7"/>
  <c r="E77" i="7" s="1"/>
  <c r="E109" i="7" s="1"/>
  <c r="C50" i="7"/>
  <c r="C77" i="7" s="1"/>
  <c r="C109" i="7" s="1"/>
  <c r="Y49" i="7"/>
  <c r="W49" i="7"/>
  <c r="U49" i="7"/>
  <c r="S49" i="7"/>
  <c r="Q49" i="7"/>
  <c r="Y48" i="7"/>
  <c r="W48" i="7"/>
  <c r="U48" i="7"/>
  <c r="S48" i="7"/>
  <c r="AA48" i="7" s="1"/>
  <c r="AC48" i="7" s="1"/>
  <c r="Q48" i="7"/>
  <c r="Y47" i="7"/>
  <c r="W47" i="7"/>
  <c r="U47" i="7"/>
  <c r="S47" i="7"/>
  <c r="AA47" i="7" s="1"/>
  <c r="Q47" i="7"/>
  <c r="Y46" i="7"/>
  <c r="W46" i="7"/>
  <c r="U46" i="7"/>
  <c r="S46" i="7"/>
  <c r="AA46" i="7" s="1"/>
  <c r="Q46" i="7"/>
  <c r="Y45" i="7"/>
  <c r="W45" i="7"/>
  <c r="U45" i="7"/>
  <c r="S45" i="7"/>
  <c r="Q45" i="7"/>
  <c r="Y44" i="7"/>
  <c r="W44" i="7"/>
  <c r="U44" i="7"/>
  <c r="S44" i="7"/>
  <c r="AA44" i="7" s="1"/>
  <c r="AC44" i="7" s="1"/>
  <c r="Q44" i="7"/>
  <c r="Y43" i="7"/>
  <c r="W43" i="7"/>
  <c r="U43" i="7"/>
  <c r="S43" i="7"/>
  <c r="AA43" i="7" s="1"/>
  <c r="AC43" i="7" s="1"/>
  <c r="Q43" i="7"/>
  <c r="Y42" i="7"/>
  <c r="W42" i="7"/>
  <c r="U42" i="7"/>
  <c r="S42" i="7"/>
  <c r="AA42" i="7" s="1"/>
  <c r="Q42" i="7"/>
  <c r="Y41" i="7"/>
  <c r="W41" i="7"/>
  <c r="U41" i="7"/>
  <c r="S41" i="7"/>
  <c r="AA41" i="7" s="1"/>
  <c r="AC41" i="7" s="1"/>
  <c r="Q41" i="7"/>
  <c r="Y40" i="7"/>
  <c r="W40" i="7"/>
  <c r="U40" i="7"/>
  <c r="S40" i="7"/>
  <c r="AA40" i="7" s="1"/>
  <c r="AC40" i="7" s="1"/>
  <c r="Q40" i="7"/>
  <c r="Y39" i="7"/>
  <c r="W39" i="7"/>
  <c r="U39" i="7"/>
  <c r="S39" i="7"/>
  <c r="S50" i="7" s="1"/>
  <c r="Q39" i="7"/>
  <c r="Y38" i="7"/>
  <c r="W38" i="7"/>
  <c r="U38" i="7"/>
  <c r="S38" i="7"/>
  <c r="AA38" i="7" s="1"/>
  <c r="Q38" i="7"/>
  <c r="Y37" i="7"/>
  <c r="W37" i="7"/>
  <c r="U37" i="7"/>
  <c r="S37" i="7"/>
  <c r="AA37" i="7" s="1"/>
  <c r="AC37" i="7" s="1"/>
  <c r="Q37" i="7"/>
  <c r="Y36" i="7"/>
  <c r="W36" i="7"/>
  <c r="U36" i="7"/>
  <c r="S36" i="7"/>
  <c r="Q36" i="7"/>
  <c r="Y35" i="7"/>
  <c r="W35" i="7"/>
  <c r="U35" i="7"/>
  <c r="U50" i="7" s="1"/>
  <c r="S35" i="7"/>
  <c r="AA35" i="7" s="1"/>
  <c r="AC35" i="7" s="1"/>
  <c r="Q35" i="7"/>
  <c r="Y34" i="7"/>
  <c r="Y50" i="7" s="1"/>
  <c r="W34" i="7"/>
  <c r="U34" i="7"/>
  <c r="S34" i="7"/>
  <c r="AA34" i="7" s="1"/>
  <c r="Q34" i="7"/>
  <c r="O31" i="7"/>
  <c r="M31" i="7"/>
  <c r="K31" i="7"/>
  <c r="I31" i="7"/>
  <c r="I77" i="7" s="1"/>
  <c r="I109" i="7" s="1"/>
  <c r="G31" i="7"/>
  <c r="E31" i="7"/>
  <c r="C31" i="7"/>
  <c r="Y30" i="7"/>
  <c r="W30" i="7"/>
  <c r="U30" i="7"/>
  <c r="S30" i="7"/>
  <c r="AA30" i="7" s="1"/>
  <c r="AC30" i="7" s="1"/>
  <c r="Q30" i="7"/>
  <c r="Y29" i="7"/>
  <c r="W29" i="7"/>
  <c r="U29" i="7"/>
  <c r="S29" i="7"/>
  <c r="AA29" i="7" s="1"/>
  <c r="Q29" i="7"/>
  <c r="Y28" i="7"/>
  <c r="W28" i="7"/>
  <c r="U28" i="7"/>
  <c r="S28" i="7"/>
  <c r="Q28" i="7"/>
  <c r="Y27" i="7"/>
  <c r="W27" i="7"/>
  <c r="U27" i="7"/>
  <c r="S27" i="7"/>
  <c r="AA27" i="7" s="1"/>
  <c r="AC27" i="7" s="1"/>
  <c r="Q27" i="7"/>
  <c r="Y26" i="7"/>
  <c r="W26" i="7"/>
  <c r="U26" i="7"/>
  <c r="S26" i="7"/>
  <c r="AA26" i="7" s="1"/>
  <c r="AC26" i="7" s="1"/>
  <c r="Q26" i="7"/>
  <c r="Y25" i="7"/>
  <c r="W25" i="7"/>
  <c r="U25" i="7"/>
  <c r="S25" i="7"/>
  <c r="Q25" i="7"/>
  <c r="Y24" i="7"/>
  <c r="W24" i="7"/>
  <c r="U24" i="7"/>
  <c r="S24" i="7"/>
  <c r="AA24" i="7" s="1"/>
  <c r="AC24" i="7" s="1"/>
  <c r="Q24" i="7"/>
  <c r="Y23" i="7"/>
  <c r="W23" i="7"/>
  <c r="U23" i="7"/>
  <c r="S23" i="7"/>
  <c r="AA23" i="7" s="1"/>
  <c r="AC23" i="7" s="1"/>
  <c r="Q23" i="7"/>
  <c r="Y22" i="7"/>
  <c r="W22" i="7"/>
  <c r="U22" i="7"/>
  <c r="S22" i="7"/>
  <c r="AA22" i="7" s="1"/>
  <c r="AC22" i="7" s="1"/>
  <c r="Q22" i="7"/>
  <c r="Y21" i="7"/>
  <c r="W21" i="7"/>
  <c r="U21" i="7"/>
  <c r="S21" i="7"/>
  <c r="AA21" i="7" s="1"/>
  <c r="Q21" i="7"/>
  <c r="Y20" i="7"/>
  <c r="W20" i="7"/>
  <c r="U20" i="7"/>
  <c r="S20" i="7"/>
  <c r="Q20" i="7"/>
  <c r="Y19" i="7"/>
  <c r="W19" i="7"/>
  <c r="U19" i="7"/>
  <c r="S19" i="7"/>
  <c r="AA19" i="7" s="1"/>
  <c r="AC19" i="7" s="1"/>
  <c r="Q19" i="7"/>
  <c r="Y18" i="7"/>
  <c r="W18" i="7"/>
  <c r="U18" i="7"/>
  <c r="S18" i="7"/>
  <c r="AA18" i="7" s="1"/>
  <c r="AC18" i="7" s="1"/>
  <c r="Q18" i="7"/>
  <c r="Y17" i="7"/>
  <c r="W17" i="7"/>
  <c r="U17" i="7"/>
  <c r="S17" i="7"/>
  <c r="Q17" i="7"/>
  <c r="Y16" i="7"/>
  <c r="W16" i="7"/>
  <c r="U16" i="7"/>
  <c r="U31" i="7" s="1"/>
  <c r="S16" i="7"/>
  <c r="AA16" i="7" s="1"/>
  <c r="AC16" i="7" s="1"/>
  <c r="Q16" i="7"/>
  <c r="Y15" i="7"/>
  <c r="W15" i="7"/>
  <c r="W31" i="7" s="1"/>
  <c r="U15" i="7"/>
  <c r="S15" i="7"/>
  <c r="S31" i="7" s="1"/>
  <c r="Q15" i="7"/>
  <c r="AB123" i="6"/>
  <c r="Z123" i="6"/>
  <c r="X123" i="6"/>
  <c r="V123" i="6"/>
  <c r="T123" i="6"/>
  <c r="P123" i="6"/>
  <c r="N123" i="6"/>
  <c r="L123" i="6"/>
  <c r="J123" i="6"/>
  <c r="H123" i="6"/>
  <c r="F123" i="6"/>
  <c r="D123" i="6"/>
  <c r="O119" i="6"/>
  <c r="M119" i="6"/>
  <c r="K119" i="6"/>
  <c r="I119" i="6"/>
  <c r="G119" i="6"/>
  <c r="E119" i="6"/>
  <c r="C119" i="6"/>
  <c r="Y118" i="6"/>
  <c r="W118" i="6"/>
  <c r="U118" i="6"/>
  <c r="S118" i="6"/>
  <c r="Q118" i="6"/>
  <c r="Y117" i="6"/>
  <c r="W117" i="6"/>
  <c r="U117" i="6"/>
  <c r="S117" i="6"/>
  <c r="Q117" i="6"/>
  <c r="Y116" i="6"/>
  <c r="W116" i="6"/>
  <c r="U116" i="6"/>
  <c r="S116" i="6"/>
  <c r="Q116" i="6"/>
  <c r="Y115" i="6"/>
  <c r="W115" i="6"/>
  <c r="U115" i="6"/>
  <c r="S115" i="6"/>
  <c r="Q115" i="6"/>
  <c r="O112" i="6"/>
  <c r="M112" i="6"/>
  <c r="K112" i="6"/>
  <c r="I112" i="6"/>
  <c r="G112" i="6"/>
  <c r="E112" i="6"/>
  <c r="C112" i="6"/>
  <c r="Y111" i="6"/>
  <c r="W111" i="6"/>
  <c r="U111" i="6"/>
  <c r="S111" i="6"/>
  <c r="Q111" i="6"/>
  <c r="Y110" i="6"/>
  <c r="W110" i="6"/>
  <c r="U110" i="6"/>
  <c r="S110" i="6"/>
  <c r="Q110" i="6"/>
  <c r="Y109" i="6"/>
  <c r="W109" i="6"/>
  <c r="U109" i="6"/>
  <c r="S109" i="6"/>
  <c r="Q109" i="6"/>
  <c r="Y108" i="6"/>
  <c r="W108" i="6"/>
  <c r="U108" i="6"/>
  <c r="S108" i="6"/>
  <c r="Q108" i="6"/>
  <c r="Y107" i="6"/>
  <c r="W107" i="6"/>
  <c r="U107" i="6"/>
  <c r="S107" i="6"/>
  <c r="Q107" i="6"/>
  <c r="O104" i="6"/>
  <c r="M104" i="6"/>
  <c r="K104" i="6"/>
  <c r="I104" i="6"/>
  <c r="G104" i="6"/>
  <c r="E104" i="6"/>
  <c r="C104" i="6"/>
  <c r="Y103" i="6"/>
  <c r="W103" i="6"/>
  <c r="U103" i="6"/>
  <c r="S103" i="6"/>
  <c r="Q103" i="6"/>
  <c r="Y102" i="6"/>
  <c r="W102" i="6"/>
  <c r="U102" i="6"/>
  <c r="S102" i="6"/>
  <c r="Q102" i="6"/>
  <c r="Y101" i="6"/>
  <c r="W101" i="6"/>
  <c r="U101" i="6"/>
  <c r="S101" i="6"/>
  <c r="Q101" i="6"/>
  <c r="Y100" i="6"/>
  <c r="W100" i="6"/>
  <c r="U100" i="6"/>
  <c r="S100" i="6"/>
  <c r="Q100" i="6"/>
  <c r="Y99" i="6"/>
  <c r="W99" i="6"/>
  <c r="U99" i="6"/>
  <c r="S99" i="6"/>
  <c r="Q99" i="6"/>
  <c r="Y98" i="6"/>
  <c r="W98" i="6"/>
  <c r="U98" i="6"/>
  <c r="S98" i="6"/>
  <c r="Q98" i="6"/>
  <c r="Y97" i="6"/>
  <c r="W97" i="6"/>
  <c r="U97" i="6"/>
  <c r="S97" i="6"/>
  <c r="Q97" i="6"/>
  <c r="Y96" i="6"/>
  <c r="W96" i="6"/>
  <c r="U96" i="6"/>
  <c r="S96" i="6"/>
  <c r="Q96" i="6"/>
  <c r="Y95" i="6"/>
  <c r="W95" i="6"/>
  <c r="U95" i="6"/>
  <c r="S95" i="6"/>
  <c r="Q95" i="6"/>
  <c r="AC92" i="6"/>
  <c r="Y92" i="6"/>
  <c r="U92" i="6"/>
  <c r="S92" i="6"/>
  <c r="O92" i="6"/>
  <c r="M92" i="6"/>
  <c r="K92" i="6"/>
  <c r="I92" i="6"/>
  <c r="G92" i="6"/>
  <c r="E92" i="6"/>
  <c r="C92" i="6"/>
  <c r="AC90" i="6"/>
  <c r="Y90" i="6"/>
  <c r="U90" i="6"/>
  <c r="S90" i="6"/>
  <c r="O90" i="6"/>
  <c r="M90" i="6"/>
  <c r="K90" i="6"/>
  <c r="I90" i="6"/>
  <c r="G90" i="6"/>
  <c r="E90" i="6"/>
  <c r="C90" i="6"/>
  <c r="W87" i="6"/>
  <c r="W92" i="6" s="1"/>
  <c r="Q87" i="6"/>
  <c r="Q90" i="6" s="1"/>
  <c r="AC83" i="6"/>
  <c r="AA83" i="6"/>
  <c r="Y83" i="6"/>
  <c r="W83" i="6"/>
  <c r="U83" i="6"/>
  <c r="S83" i="6"/>
  <c r="Q83" i="6"/>
  <c r="O83" i="6"/>
  <c r="M83" i="6"/>
  <c r="K83" i="6"/>
  <c r="I83" i="6"/>
  <c r="G83" i="6"/>
  <c r="E83" i="6"/>
  <c r="C83" i="6"/>
  <c r="O74" i="6"/>
  <c r="M74" i="6"/>
  <c r="K74" i="6"/>
  <c r="I74" i="6"/>
  <c r="G74" i="6"/>
  <c r="E74" i="6"/>
  <c r="C74" i="6"/>
  <c r="Y73" i="6"/>
  <c r="W73" i="6"/>
  <c r="U73" i="6"/>
  <c r="S73" i="6"/>
  <c r="Q73" i="6"/>
  <c r="Y72" i="6"/>
  <c r="W72" i="6"/>
  <c r="U72" i="6"/>
  <c r="S72" i="6"/>
  <c r="Q72" i="6"/>
  <c r="Y71" i="6"/>
  <c r="W71" i="6"/>
  <c r="U71" i="6"/>
  <c r="S71" i="6"/>
  <c r="Q71" i="6"/>
  <c r="Y70" i="6"/>
  <c r="W70" i="6"/>
  <c r="U70" i="6"/>
  <c r="S70" i="6"/>
  <c r="Q70" i="6"/>
  <c r="Y69" i="6"/>
  <c r="W69" i="6"/>
  <c r="U69" i="6"/>
  <c r="S69" i="6"/>
  <c r="Q69" i="6"/>
  <c r="Y68" i="6"/>
  <c r="W68" i="6"/>
  <c r="U68" i="6"/>
  <c r="S68" i="6"/>
  <c r="Q68" i="6"/>
  <c r="Y67" i="6"/>
  <c r="W67" i="6"/>
  <c r="U67" i="6"/>
  <c r="S67" i="6"/>
  <c r="Q67" i="6"/>
  <c r="Y66" i="6"/>
  <c r="W66" i="6"/>
  <c r="U66" i="6"/>
  <c r="S66" i="6"/>
  <c r="Q66" i="6"/>
  <c r="Y65" i="6"/>
  <c r="W65" i="6"/>
  <c r="U65" i="6"/>
  <c r="S65" i="6"/>
  <c r="Q65" i="6"/>
  <c r="Y64" i="6"/>
  <c r="W64" i="6"/>
  <c r="U64" i="6"/>
  <c r="S64" i="6"/>
  <c r="Q64" i="6"/>
  <c r="Y63" i="6"/>
  <c r="W63" i="6"/>
  <c r="U63" i="6"/>
  <c r="S63" i="6"/>
  <c r="Q63" i="6"/>
  <c r="Y62" i="6"/>
  <c r="W62" i="6"/>
  <c r="U62" i="6"/>
  <c r="S62" i="6"/>
  <c r="Q62" i="6"/>
  <c r="Y61" i="6"/>
  <c r="W61" i="6"/>
  <c r="U61" i="6"/>
  <c r="S61" i="6"/>
  <c r="Q61" i="6"/>
  <c r="Y60" i="6"/>
  <c r="W60" i="6"/>
  <c r="U60" i="6"/>
  <c r="S60" i="6"/>
  <c r="Q60" i="6"/>
  <c r="O57" i="6"/>
  <c r="M57" i="6"/>
  <c r="K57" i="6"/>
  <c r="I57" i="6"/>
  <c r="G57" i="6"/>
  <c r="E57" i="6"/>
  <c r="C57" i="6"/>
  <c r="Y56" i="6"/>
  <c r="W56" i="6"/>
  <c r="U56" i="6"/>
  <c r="S56" i="6"/>
  <c r="Q56" i="6"/>
  <c r="Y55" i="6"/>
  <c r="W55" i="6"/>
  <c r="U55" i="6"/>
  <c r="S55" i="6"/>
  <c r="Q55" i="6"/>
  <c r="Y54" i="6"/>
  <c r="W54" i="6"/>
  <c r="U54" i="6"/>
  <c r="S54" i="6"/>
  <c r="Q54" i="6"/>
  <c r="Y53" i="6"/>
  <c r="W53" i="6"/>
  <c r="U53" i="6"/>
  <c r="S53" i="6"/>
  <c r="Q53" i="6"/>
  <c r="O50" i="6"/>
  <c r="M50" i="6"/>
  <c r="K50" i="6"/>
  <c r="G50" i="6"/>
  <c r="E50" i="6"/>
  <c r="C50" i="6"/>
  <c r="Y49" i="6"/>
  <c r="W49" i="6"/>
  <c r="U49" i="6"/>
  <c r="S49" i="6"/>
  <c r="Q49" i="6"/>
  <c r="Y48" i="6"/>
  <c r="W48" i="6"/>
  <c r="U48" i="6"/>
  <c r="S48" i="6"/>
  <c r="Q48" i="6"/>
  <c r="Y47" i="6"/>
  <c r="W47" i="6"/>
  <c r="U47" i="6"/>
  <c r="S47" i="6"/>
  <c r="Q47" i="6"/>
  <c r="Y46" i="6"/>
  <c r="W46" i="6"/>
  <c r="U46" i="6"/>
  <c r="S46" i="6"/>
  <c r="I46" i="6"/>
  <c r="I50" i="6" s="1"/>
  <c r="Y45" i="6"/>
  <c r="W45" i="6"/>
  <c r="U45" i="6"/>
  <c r="S45" i="6"/>
  <c r="Q45" i="6"/>
  <c r="Y44" i="6"/>
  <c r="W44" i="6"/>
  <c r="U44" i="6"/>
  <c r="S44" i="6"/>
  <c r="Q44" i="6"/>
  <c r="Y43" i="6"/>
  <c r="W43" i="6"/>
  <c r="U43" i="6"/>
  <c r="S43" i="6"/>
  <c r="Q43" i="6"/>
  <c r="Y42" i="6"/>
  <c r="W42" i="6"/>
  <c r="U42" i="6"/>
  <c r="S42" i="6"/>
  <c r="Q42" i="6"/>
  <c r="Y41" i="6"/>
  <c r="W41" i="6"/>
  <c r="U41" i="6"/>
  <c r="S41" i="6"/>
  <c r="Q41" i="6"/>
  <c r="Y40" i="6"/>
  <c r="W40" i="6"/>
  <c r="U40" i="6"/>
  <c r="S40" i="6"/>
  <c r="Q40" i="6"/>
  <c r="Y39" i="6"/>
  <c r="W39" i="6"/>
  <c r="U39" i="6"/>
  <c r="S39" i="6"/>
  <c r="Q39" i="6"/>
  <c r="Y38" i="6"/>
  <c r="W38" i="6"/>
  <c r="U38" i="6"/>
  <c r="S38" i="6"/>
  <c r="Q38" i="6"/>
  <c r="Y37" i="6"/>
  <c r="W37" i="6"/>
  <c r="U37" i="6"/>
  <c r="S37" i="6"/>
  <c r="Q37" i="6"/>
  <c r="Y36" i="6"/>
  <c r="W36" i="6"/>
  <c r="U36" i="6"/>
  <c r="S36" i="6"/>
  <c r="Q36" i="6"/>
  <c r="Y35" i="6"/>
  <c r="W35" i="6"/>
  <c r="U35" i="6"/>
  <c r="S35" i="6"/>
  <c r="Q35" i="6"/>
  <c r="Y34" i="6"/>
  <c r="W34" i="6"/>
  <c r="U34" i="6"/>
  <c r="S34" i="6"/>
  <c r="Q34" i="6"/>
  <c r="O31" i="6"/>
  <c r="M31" i="6"/>
  <c r="K31" i="6"/>
  <c r="G31" i="6"/>
  <c r="E31" i="6"/>
  <c r="C31" i="6"/>
  <c r="Y30" i="6"/>
  <c r="W30" i="6"/>
  <c r="U30" i="6"/>
  <c r="S30" i="6"/>
  <c r="Q30" i="6"/>
  <c r="Y29" i="6"/>
  <c r="W29" i="6"/>
  <c r="U29" i="6"/>
  <c r="S29" i="6"/>
  <c r="Q29" i="6"/>
  <c r="Y28" i="6"/>
  <c r="W28" i="6"/>
  <c r="U28" i="6"/>
  <c r="S28" i="6"/>
  <c r="Q28" i="6"/>
  <c r="Y27" i="6"/>
  <c r="W27" i="6"/>
  <c r="U27" i="6"/>
  <c r="S27" i="6"/>
  <c r="Q27" i="6"/>
  <c r="Y26" i="6"/>
  <c r="W26" i="6"/>
  <c r="U26" i="6"/>
  <c r="S26" i="6"/>
  <c r="Q26" i="6"/>
  <c r="Y25" i="6"/>
  <c r="W25" i="6"/>
  <c r="U25" i="6"/>
  <c r="S25" i="6"/>
  <c r="Q25" i="6"/>
  <c r="Y24" i="6"/>
  <c r="W24" i="6"/>
  <c r="U24" i="6"/>
  <c r="S24" i="6"/>
  <c r="Q24" i="6"/>
  <c r="Y23" i="6"/>
  <c r="W23" i="6"/>
  <c r="U23" i="6"/>
  <c r="S23" i="6"/>
  <c r="Q23" i="6"/>
  <c r="Y22" i="6"/>
  <c r="W22" i="6"/>
  <c r="U22" i="6"/>
  <c r="S22" i="6"/>
  <c r="Q22" i="6"/>
  <c r="Y21" i="6"/>
  <c r="W21" i="6"/>
  <c r="U21" i="6"/>
  <c r="S21" i="6"/>
  <c r="Q21" i="6"/>
  <c r="Y20" i="6"/>
  <c r="W20" i="6"/>
  <c r="U20" i="6"/>
  <c r="S20" i="6"/>
  <c r="Q20" i="6"/>
  <c r="Y19" i="6"/>
  <c r="W19" i="6"/>
  <c r="U19" i="6"/>
  <c r="S19" i="6"/>
  <c r="Q19" i="6"/>
  <c r="Y18" i="6"/>
  <c r="W18" i="6"/>
  <c r="U18" i="6"/>
  <c r="S18" i="6"/>
  <c r="I18" i="6"/>
  <c r="I31" i="6" s="1"/>
  <c r="Y17" i="6"/>
  <c r="W17" i="6"/>
  <c r="U17" i="6"/>
  <c r="S17" i="6"/>
  <c r="Q17" i="6"/>
  <c r="Y16" i="6"/>
  <c r="W16" i="6"/>
  <c r="U16" i="6"/>
  <c r="S16" i="6"/>
  <c r="Q16" i="6"/>
  <c r="Y15" i="6"/>
  <c r="W15" i="6"/>
  <c r="U15" i="6"/>
  <c r="S15" i="6"/>
  <c r="Q15" i="6"/>
  <c r="AG318" i="5"/>
  <c r="AF318" i="5"/>
  <c r="AE318" i="5"/>
  <c r="AC318" i="5"/>
  <c r="AA318" i="5"/>
  <c r="Y318" i="5"/>
  <c r="W318" i="5"/>
  <c r="U318" i="5"/>
  <c r="S318" i="5"/>
  <c r="Q318" i="5"/>
  <c r="O318" i="5"/>
  <c r="M318" i="5"/>
  <c r="K318" i="5"/>
  <c r="I318" i="5"/>
  <c r="G318" i="5"/>
  <c r="E318" i="5"/>
  <c r="C318" i="5"/>
  <c r="AI317" i="5"/>
  <c r="AI318" i="5" s="1"/>
  <c r="AI312" i="5"/>
  <c r="AG312" i="5"/>
  <c r="AF312" i="5"/>
  <c r="AE312" i="5"/>
  <c r="AC312" i="5"/>
  <c r="AA312" i="5"/>
  <c r="Y312" i="5"/>
  <c r="W312" i="5"/>
  <c r="U312" i="5"/>
  <c r="S312" i="5"/>
  <c r="Q312" i="5"/>
  <c r="O312" i="5"/>
  <c r="M312" i="5"/>
  <c r="K312" i="5"/>
  <c r="I312" i="5"/>
  <c r="G312" i="5"/>
  <c r="E312" i="5"/>
  <c r="C312" i="5"/>
  <c r="AI311" i="5"/>
  <c r="AC308" i="5"/>
  <c r="AC314" i="5" s="1"/>
  <c r="AC321" i="5" s="1"/>
  <c r="Q308" i="5"/>
  <c r="Q314" i="5" s="1"/>
  <c r="Q321" i="5" s="1"/>
  <c r="AI307" i="5"/>
  <c r="AG306" i="5"/>
  <c r="AF306" i="5"/>
  <c r="AE306" i="5"/>
  <c r="AC306" i="5"/>
  <c r="AA306" i="5"/>
  <c r="Y306" i="5"/>
  <c r="W306" i="5"/>
  <c r="U306" i="5"/>
  <c r="S306" i="5"/>
  <c r="Q306" i="5"/>
  <c r="O306" i="5"/>
  <c r="M306" i="5"/>
  <c r="K306" i="5"/>
  <c r="I306" i="5"/>
  <c r="G306" i="5"/>
  <c r="E306" i="5"/>
  <c r="C306" i="5"/>
  <c r="AG305" i="5"/>
  <c r="AF305" i="5"/>
  <c r="AE305" i="5"/>
  <c r="AC305" i="5"/>
  <c r="AA305" i="5"/>
  <c r="Y305" i="5"/>
  <c r="W305" i="5"/>
  <c r="U305" i="5"/>
  <c r="S305" i="5"/>
  <c r="Q305" i="5"/>
  <c r="O305" i="5"/>
  <c r="M305" i="5"/>
  <c r="K305" i="5"/>
  <c r="I305" i="5"/>
  <c r="G305" i="5"/>
  <c r="E305" i="5"/>
  <c r="C305" i="5"/>
  <c r="AI305" i="5" s="1"/>
  <c r="AG304" i="5"/>
  <c r="AE304" i="5"/>
  <c r="AC304" i="5"/>
  <c r="AA304" i="5"/>
  <c r="Y304" i="5"/>
  <c r="W304" i="5"/>
  <c r="U304" i="5"/>
  <c r="S304" i="5"/>
  <c r="Q304" i="5"/>
  <c r="O304" i="5"/>
  <c r="M304" i="5"/>
  <c r="K304" i="5"/>
  <c r="I304" i="5"/>
  <c r="G304" i="5"/>
  <c r="E304" i="5"/>
  <c r="C304" i="5"/>
  <c r="AG303" i="5"/>
  <c r="AF303" i="5"/>
  <c r="AE303" i="5"/>
  <c r="AC303" i="5"/>
  <c r="AA303" i="5"/>
  <c r="Y303" i="5"/>
  <c r="W303" i="5"/>
  <c r="U303" i="5"/>
  <c r="S303" i="5"/>
  <c r="Q303" i="5"/>
  <c r="O303" i="5"/>
  <c r="M303" i="5"/>
  <c r="K303" i="5"/>
  <c r="I303" i="5"/>
  <c r="G303" i="5"/>
  <c r="E303" i="5"/>
  <c r="C303" i="5"/>
  <c r="AI303" i="5" s="1"/>
  <c r="AG302" i="5"/>
  <c r="AF302" i="5"/>
  <c r="AE302" i="5"/>
  <c r="AC302" i="5"/>
  <c r="AA302" i="5"/>
  <c r="Y302" i="5"/>
  <c r="W302" i="5"/>
  <c r="U302" i="5"/>
  <c r="S302" i="5"/>
  <c r="Q302" i="5"/>
  <c r="O302" i="5"/>
  <c r="M302" i="5"/>
  <c r="K302" i="5"/>
  <c r="I302" i="5"/>
  <c r="G302" i="5"/>
  <c r="E302" i="5"/>
  <c r="C302" i="5"/>
  <c r="AI302" i="5" s="1"/>
  <c r="AG301" i="5"/>
  <c r="AF301" i="5"/>
  <c r="AE301" i="5"/>
  <c r="AC301" i="5"/>
  <c r="AA301" i="5"/>
  <c r="Y301" i="5"/>
  <c r="W301" i="5"/>
  <c r="U301" i="5"/>
  <c r="S301" i="5"/>
  <c r="Q301" i="5"/>
  <c r="O301" i="5"/>
  <c r="M301" i="5"/>
  <c r="K301" i="5"/>
  <c r="I301" i="5"/>
  <c r="G301" i="5"/>
  <c r="E301" i="5"/>
  <c r="C301" i="5"/>
  <c r="AG300" i="5"/>
  <c r="AF300" i="5"/>
  <c r="AE300" i="5"/>
  <c r="AC300" i="5"/>
  <c r="AA300" i="5"/>
  <c r="Y300" i="5"/>
  <c r="W300" i="5"/>
  <c r="U300" i="5"/>
  <c r="S300" i="5"/>
  <c r="Q300" i="5"/>
  <c r="O300" i="5"/>
  <c r="M300" i="5"/>
  <c r="K300" i="5"/>
  <c r="I300" i="5"/>
  <c r="G300" i="5"/>
  <c r="E300" i="5"/>
  <c r="C300" i="5"/>
  <c r="AG299" i="5"/>
  <c r="AF299" i="5"/>
  <c r="AE299" i="5"/>
  <c r="AC299" i="5"/>
  <c r="AA299" i="5"/>
  <c r="Y299" i="5"/>
  <c r="W299" i="5"/>
  <c r="U299" i="5"/>
  <c r="S299" i="5"/>
  <c r="Q299" i="5"/>
  <c r="O299" i="5"/>
  <c r="M299" i="5"/>
  <c r="K299" i="5"/>
  <c r="I299" i="5"/>
  <c r="G299" i="5"/>
  <c r="E299" i="5"/>
  <c r="AI299" i="5" s="1"/>
  <c r="C299" i="5"/>
  <c r="AG298" i="5"/>
  <c r="AF298" i="5"/>
  <c r="AE298" i="5"/>
  <c r="AC298" i="5"/>
  <c r="AA298" i="5"/>
  <c r="Y298" i="5"/>
  <c r="Y308" i="5" s="1"/>
  <c r="Y314" i="5" s="1"/>
  <c r="Y321" i="5" s="1"/>
  <c r="W298" i="5"/>
  <c r="U298" i="5"/>
  <c r="S298" i="5"/>
  <c r="Q298" i="5"/>
  <c r="O298" i="5"/>
  <c r="M298" i="5"/>
  <c r="K298" i="5"/>
  <c r="I298" i="5"/>
  <c r="I308" i="5" s="1"/>
  <c r="I314" i="5" s="1"/>
  <c r="I321" i="5" s="1"/>
  <c r="G298" i="5"/>
  <c r="E298" i="5"/>
  <c r="C298" i="5"/>
  <c r="AG297" i="5"/>
  <c r="AG308" i="5" s="1"/>
  <c r="AG314" i="5" s="1"/>
  <c r="AG321" i="5" s="1"/>
  <c r="AF297" i="5"/>
  <c r="AE297" i="5"/>
  <c r="AC297" i="5"/>
  <c r="AA297" i="5"/>
  <c r="AA308" i="5" s="1"/>
  <c r="AA314" i="5" s="1"/>
  <c r="AA321" i="5" s="1"/>
  <c r="Y297" i="5"/>
  <c r="W297" i="5"/>
  <c r="U297" i="5"/>
  <c r="S297" i="5"/>
  <c r="S308" i="5" s="1"/>
  <c r="S314" i="5" s="1"/>
  <c r="S321" i="5" s="1"/>
  <c r="Q297" i="5"/>
  <c r="O297" i="5"/>
  <c r="M297" i="5"/>
  <c r="M308" i="5" s="1"/>
  <c r="M314" i="5" s="1"/>
  <c r="M321" i="5" s="1"/>
  <c r="K297" i="5"/>
  <c r="I297" i="5"/>
  <c r="G297" i="5"/>
  <c r="E297" i="5"/>
  <c r="C297" i="5"/>
  <c r="AI297" i="5" s="1"/>
  <c r="AG296" i="5"/>
  <c r="AF296" i="5"/>
  <c r="AE296" i="5"/>
  <c r="AC296" i="5"/>
  <c r="AA296" i="5"/>
  <c r="Y296" i="5"/>
  <c r="W296" i="5"/>
  <c r="U296" i="5"/>
  <c r="S296" i="5"/>
  <c r="Q296" i="5"/>
  <c r="O296" i="5"/>
  <c r="M296" i="5"/>
  <c r="K296" i="5"/>
  <c r="K308" i="5" s="1"/>
  <c r="K314" i="5" s="1"/>
  <c r="K321" i="5" s="1"/>
  <c r="I296" i="5"/>
  <c r="G296" i="5"/>
  <c r="C296" i="5"/>
  <c r="AG293" i="5"/>
  <c r="AF293" i="5"/>
  <c r="AE293" i="5"/>
  <c r="AC293" i="5"/>
  <c r="AA293" i="5"/>
  <c r="Y293" i="5"/>
  <c r="W293" i="5"/>
  <c r="U293" i="5"/>
  <c r="S293" i="5"/>
  <c r="Q293" i="5"/>
  <c r="O293" i="5"/>
  <c r="M293" i="5"/>
  <c r="K293" i="5"/>
  <c r="I293" i="5"/>
  <c r="G293" i="5"/>
  <c r="E293" i="5"/>
  <c r="C293" i="5"/>
  <c r="AI292" i="5"/>
  <c r="AI291" i="5"/>
  <c r="AI290" i="5"/>
  <c r="AI289" i="5"/>
  <c r="AI288" i="5"/>
  <c r="AI287" i="5"/>
  <c r="AI286" i="5"/>
  <c r="AG283" i="5"/>
  <c r="AF283" i="5"/>
  <c r="AF304" i="5" s="1"/>
  <c r="AE283" i="5"/>
  <c r="AC283" i="5"/>
  <c r="AA283" i="5"/>
  <c r="Y283" i="5"/>
  <c r="W283" i="5"/>
  <c r="U283" i="5"/>
  <c r="S283" i="5"/>
  <c r="Q283" i="5"/>
  <c r="O283" i="5"/>
  <c r="M283" i="5"/>
  <c r="K283" i="5"/>
  <c r="I283" i="5"/>
  <c r="G283" i="5"/>
  <c r="E283" i="5"/>
  <c r="C283" i="5"/>
  <c r="AI282" i="5"/>
  <c r="AI281" i="5"/>
  <c r="AI280" i="5"/>
  <c r="AI279" i="5"/>
  <c r="AI278" i="5"/>
  <c r="AI277" i="5"/>
  <c r="AI276" i="5"/>
  <c r="AI283" i="5" s="1"/>
  <c r="AG273" i="5"/>
  <c r="AF273" i="5"/>
  <c r="AE273" i="5"/>
  <c r="AC273" i="5"/>
  <c r="AA273" i="5"/>
  <c r="Y273" i="5"/>
  <c r="W273" i="5"/>
  <c r="U273" i="5"/>
  <c r="S273" i="5"/>
  <c r="Q273" i="5"/>
  <c r="O273" i="5"/>
  <c r="M273" i="5"/>
  <c r="K273" i="5"/>
  <c r="I273" i="5"/>
  <c r="G273" i="5"/>
  <c r="C273" i="5"/>
  <c r="AI272" i="5"/>
  <c r="AI271" i="5"/>
  <c r="AI270" i="5"/>
  <c r="AI269" i="5"/>
  <c r="AI268" i="5"/>
  <c r="AI267" i="5"/>
  <c r="AI266" i="5"/>
  <c r="AI265" i="5"/>
  <c r="AI264" i="5"/>
  <c r="AI263" i="5"/>
  <c r="I263" i="5"/>
  <c r="AI262" i="5"/>
  <c r="E261" i="5"/>
  <c r="AK252" i="5"/>
  <c r="AI252" i="5"/>
  <c r="AG252" i="5"/>
  <c r="AF252" i="5"/>
  <c r="AE252" i="5"/>
  <c r="AC252" i="5"/>
  <c r="AA252" i="5"/>
  <c r="Y252" i="5"/>
  <c r="W252" i="5"/>
  <c r="U252" i="5"/>
  <c r="S252" i="5"/>
  <c r="Q252" i="5"/>
  <c r="O252" i="5"/>
  <c r="M252" i="5"/>
  <c r="K252" i="5"/>
  <c r="I252" i="5"/>
  <c r="G252" i="5"/>
  <c r="E252" i="5"/>
  <c r="C252" i="5"/>
  <c r="AQ250" i="5"/>
  <c r="AQ252" i="5" s="1"/>
  <c r="AO250" i="5"/>
  <c r="AO252" i="5" s="1"/>
  <c r="AM250" i="5"/>
  <c r="AM252" i="5" s="1"/>
  <c r="AK250" i="5"/>
  <c r="AS250" i="5" s="1"/>
  <c r="AS252" i="5" s="1"/>
  <c r="AI250" i="5"/>
  <c r="AM246" i="5"/>
  <c r="AI246" i="5"/>
  <c r="AG246" i="5"/>
  <c r="AF246" i="5"/>
  <c r="AE246" i="5"/>
  <c r="AC246" i="5"/>
  <c r="AA246" i="5"/>
  <c r="Y246" i="5"/>
  <c r="W246" i="5"/>
  <c r="U246" i="5"/>
  <c r="S246" i="5"/>
  <c r="Q246" i="5"/>
  <c r="O246" i="5"/>
  <c r="M246" i="5"/>
  <c r="K246" i="5"/>
  <c r="I246" i="5"/>
  <c r="G246" i="5"/>
  <c r="E246" i="5"/>
  <c r="C246" i="5"/>
  <c r="AQ244" i="5"/>
  <c r="AQ246" i="5" s="1"/>
  <c r="AO244" i="5"/>
  <c r="AO246" i="5" s="1"/>
  <c r="AM244" i="5"/>
  <c r="AK244" i="5"/>
  <c r="AK246" i="5" s="1"/>
  <c r="AU239" i="5"/>
  <c r="AU238" i="5"/>
  <c r="AG237" i="5"/>
  <c r="AF237" i="5"/>
  <c r="AE237" i="5"/>
  <c r="AC237" i="5"/>
  <c r="AA237" i="5"/>
  <c r="Y237" i="5"/>
  <c r="W237" i="5"/>
  <c r="U237" i="5"/>
  <c r="S237" i="5"/>
  <c r="Q237" i="5"/>
  <c r="O237" i="5"/>
  <c r="M237" i="5"/>
  <c r="K237" i="5"/>
  <c r="I237" i="5"/>
  <c r="G237" i="5"/>
  <c r="E237" i="5"/>
  <c r="C237" i="5"/>
  <c r="AQ236" i="5"/>
  <c r="AO236" i="5"/>
  <c r="AM236" i="5"/>
  <c r="AK236" i="5"/>
  <c r="AS236" i="5" s="1"/>
  <c r="AU236" i="5" s="1"/>
  <c r="AI236" i="5"/>
  <c r="AQ235" i="5"/>
  <c r="AO235" i="5"/>
  <c r="AM235" i="5"/>
  <c r="AK235" i="5"/>
  <c r="AS235" i="5" s="1"/>
  <c r="AU235" i="5" s="1"/>
  <c r="AI235" i="5"/>
  <c r="AQ234" i="5"/>
  <c r="AO234" i="5"/>
  <c r="AM234" i="5"/>
  <c r="AK234" i="5"/>
  <c r="AS234" i="5" s="1"/>
  <c r="AI234" i="5"/>
  <c r="AQ233" i="5"/>
  <c r="AO233" i="5"/>
  <c r="AM233" i="5"/>
  <c r="AK233" i="5"/>
  <c r="AS233" i="5" s="1"/>
  <c r="AI233" i="5"/>
  <c r="AQ232" i="5"/>
  <c r="AO232" i="5"/>
  <c r="AM232" i="5"/>
  <c r="AK232" i="5"/>
  <c r="AI232" i="5"/>
  <c r="AQ231" i="5"/>
  <c r="AO231" i="5"/>
  <c r="AM231" i="5"/>
  <c r="AK231" i="5"/>
  <c r="AS231" i="5" s="1"/>
  <c r="AU231" i="5" s="1"/>
  <c r="AI231" i="5"/>
  <c r="AQ230" i="5"/>
  <c r="AO230" i="5"/>
  <c r="AM230" i="5"/>
  <c r="AK230" i="5"/>
  <c r="AS230" i="5" s="1"/>
  <c r="AU230" i="5" s="1"/>
  <c r="AI230" i="5"/>
  <c r="AQ229" i="5"/>
  <c r="AO229" i="5"/>
  <c r="AM229" i="5"/>
  <c r="AK229" i="5"/>
  <c r="AS229" i="5" s="1"/>
  <c r="AI229" i="5"/>
  <c r="AQ228" i="5"/>
  <c r="AO228" i="5"/>
  <c r="AM228" i="5"/>
  <c r="AK228" i="5"/>
  <c r="AI228" i="5"/>
  <c r="AQ227" i="5"/>
  <c r="AO227" i="5"/>
  <c r="AM227" i="5"/>
  <c r="AK227" i="5"/>
  <c r="AS227" i="5" s="1"/>
  <c r="AU227" i="5" s="1"/>
  <c r="AI227" i="5"/>
  <c r="AQ226" i="5"/>
  <c r="AO226" i="5"/>
  <c r="AM226" i="5"/>
  <c r="AK226" i="5"/>
  <c r="AS226" i="5" s="1"/>
  <c r="AI226" i="5"/>
  <c r="AQ225" i="5"/>
  <c r="AO225" i="5"/>
  <c r="AM225" i="5"/>
  <c r="AK225" i="5"/>
  <c r="AS225" i="5" s="1"/>
  <c r="AI225" i="5"/>
  <c r="AQ224" i="5"/>
  <c r="AQ237" i="5" s="1"/>
  <c r="AO224" i="5"/>
  <c r="AM224" i="5"/>
  <c r="AK224" i="5"/>
  <c r="AI224" i="5"/>
  <c r="AI237" i="5" s="1"/>
  <c r="AQ223" i="5"/>
  <c r="AO223" i="5"/>
  <c r="AO237" i="5" s="1"/>
  <c r="AM223" i="5"/>
  <c r="AM237" i="5" s="1"/>
  <c r="AK223" i="5"/>
  <c r="AI223" i="5"/>
  <c r="AG220" i="5"/>
  <c r="AF220" i="5"/>
  <c r="AE220" i="5"/>
  <c r="AC220" i="5"/>
  <c r="AA220" i="5"/>
  <c r="Y220" i="5"/>
  <c r="W220" i="5"/>
  <c r="U220" i="5"/>
  <c r="S220" i="5"/>
  <c r="Q220" i="5"/>
  <c r="O220" i="5"/>
  <c r="M220" i="5"/>
  <c r="K220" i="5"/>
  <c r="I220" i="5"/>
  <c r="G220" i="5"/>
  <c r="E220" i="5"/>
  <c r="C220" i="5"/>
  <c r="AQ219" i="5"/>
  <c r="AO219" i="5"/>
  <c r="AM219" i="5"/>
  <c r="AK219" i="5"/>
  <c r="AS219" i="5" s="1"/>
  <c r="AI219" i="5"/>
  <c r="AU219" i="5" s="1"/>
  <c r="AQ218" i="5"/>
  <c r="AO218" i="5"/>
  <c r="AM218" i="5"/>
  <c r="AK218" i="5"/>
  <c r="AI218" i="5"/>
  <c r="AQ217" i="5"/>
  <c r="AO217" i="5"/>
  <c r="AM217" i="5"/>
  <c r="AK217" i="5"/>
  <c r="AI217" i="5"/>
  <c r="AQ216" i="5"/>
  <c r="AO216" i="5"/>
  <c r="AM216" i="5"/>
  <c r="AK216" i="5"/>
  <c r="AS216" i="5" s="1"/>
  <c r="AU216" i="5" s="1"/>
  <c r="AI216" i="5"/>
  <c r="AQ215" i="5"/>
  <c r="AO215" i="5"/>
  <c r="AM215" i="5"/>
  <c r="AK215" i="5"/>
  <c r="AI215" i="5"/>
  <c r="AQ214" i="5"/>
  <c r="AO214" i="5"/>
  <c r="AM214" i="5"/>
  <c r="AK214" i="5"/>
  <c r="AS214" i="5" s="1"/>
  <c r="AI214" i="5"/>
  <c r="AQ213" i="5"/>
  <c r="AO213" i="5"/>
  <c r="AM213" i="5"/>
  <c r="AK213" i="5"/>
  <c r="AI213" i="5"/>
  <c r="AQ212" i="5"/>
  <c r="AO212" i="5"/>
  <c r="AM212" i="5"/>
  <c r="AK212" i="5"/>
  <c r="AS212" i="5" s="1"/>
  <c r="AU212" i="5" s="1"/>
  <c r="AI212" i="5"/>
  <c r="AQ211" i="5"/>
  <c r="AO211" i="5"/>
  <c r="AM211" i="5"/>
  <c r="AK211" i="5"/>
  <c r="AK220" i="5" s="1"/>
  <c r="AI211" i="5"/>
  <c r="AQ210" i="5"/>
  <c r="AO210" i="5"/>
  <c r="AM210" i="5"/>
  <c r="AK210" i="5"/>
  <c r="AI210" i="5"/>
  <c r="AQ209" i="5"/>
  <c r="AO209" i="5"/>
  <c r="AM209" i="5"/>
  <c r="AM220" i="5" s="1"/>
  <c r="AK209" i="5"/>
  <c r="AI209" i="5"/>
  <c r="AO206" i="5"/>
  <c r="AG206" i="5"/>
  <c r="AF206" i="5"/>
  <c r="AE206" i="5"/>
  <c r="AC206" i="5"/>
  <c r="AA206" i="5"/>
  <c r="Y206" i="5"/>
  <c r="W206" i="5"/>
  <c r="U206" i="5"/>
  <c r="S206" i="5"/>
  <c r="Q206" i="5"/>
  <c r="O206" i="5"/>
  <c r="M206" i="5"/>
  <c r="K206" i="5"/>
  <c r="I206" i="5"/>
  <c r="G206" i="5"/>
  <c r="E206" i="5"/>
  <c r="C206" i="5"/>
  <c r="AQ205" i="5"/>
  <c r="AO205" i="5"/>
  <c r="AM205" i="5"/>
  <c r="AK205" i="5"/>
  <c r="AS205" i="5" s="1"/>
  <c r="AU205" i="5" s="1"/>
  <c r="AI205" i="5"/>
  <c r="AQ204" i="5"/>
  <c r="AO204" i="5"/>
  <c r="AM204" i="5"/>
  <c r="AK204" i="5"/>
  <c r="AS204" i="5" s="1"/>
  <c r="AI204" i="5"/>
  <c r="AU204" i="5" s="1"/>
  <c r="AQ203" i="5"/>
  <c r="AO203" i="5"/>
  <c r="AM203" i="5"/>
  <c r="AK203" i="5"/>
  <c r="AS203" i="5" s="1"/>
  <c r="AI203" i="5"/>
  <c r="AQ202" i="5"/>
  <c r="AO202" i="5"/>
  <c r="AM202" i="5"/>
  <c r="AK202" i="5"/>
  <c r="AI202" i="5"/>
  <c r="AQ201" i="5"/>
  <c r="AO201" i="5"/>
  <c r="AM201" i="5"/>
  <c r="AK201" i="5"/>
  <c r="AS201" i="5" s="1"/>
  <c r="AU201" i="5" s="1"/>
  <c r="AI201" i="5"/>
  <c r="AQ200" i="5"/>
  <c r="AO200" i="5"/>
  <c r="AM200" i="5"/>
  <c r="AK200" i="5"/>
  <c r="AI200" i="5"/>
  <c r="AQ199" i="5"/>
  <c r="AO199" i="5"/>
  <c r="AM199" i="5"/>
  <c r="AK199" i="5"/>
  <c r="AS199" i="5" s="1"/>
  <c r="AI199" i="5"/>
  <c r="AQ198" i="5"/>
  <c r="AO198" i="5"/>
  <c r="AM198" i="5"/>
  <c r="AK198" i="5"/>
  <c r="AI198" i="5"/>
  <c r="AQ197" i="5"/>
  <c r="AO197" i="5"/>
  <c r="AM197" i="5"/>
  <c r="AK197" i="5"/>
  <c r="AS197" i="5" s="1"/>
  <c r="AU197" i="5" s="1"/>
  <c r="AI197" i="5"/>
  <c r="AQ196" i="5"/>
  <c r="AO196" i="5"/>
  <c r="AM196" i="5"/>
  <c r="AM206" i="5" s="1"/>
  <c r="AK196" i="5"/>
  <c r="AS196" i="5" s="1"/>
  <c r="AI196" i="5"/>
  <c r="AU196" i="5" s="1"/>
  <c r="AQ195" i="5"/>
  <c r="AO195" i="5"/>
  <c r="AM195" i="5"/>
  <c r="AK195" i="5"/>
  <c r="AK206" i="5" s="1"/>
  <c r="AI195" i="5"/>
  <c r="AG192" i="5"/>
  <c r="AF192" i="5"/>
  <c r="AE192" i="5"/>
  <c r="AC192" i="5"/>
  <c r="AA192" i="5"/>
  <c r="Y192" i="5"/>
  <c r="W192" i="5"/>
  <c r="U192" i="5"/>
  <c r="S192" i="5"/>
  <c r="Q192" i="5"/>
  <c r="O192" i="5"/>
  <c r="M192" i="5"/>
  <c r="K192" i="5"/>
  <c r="I192" i="5"/>
  <c r="G192" i="5"/>
  <c r="E192" i="5"/>
  <c r="C192" i="5"/>
  <c r="AQ191" i="5"/>
  <c r="AQ192" i="5" s="1"/>
  <c r="AO191" i="5"/>
  <c r="AM191" i="5"/>
  <c r="AK191" i="5"/>
  <c r="AI191" i="5"/>
  <c r="AQ190" i="5"/>
  <c r="AO190" i="5"/>
  <c r="AM190" i="5"/>
  <c r="AM192" i="5" s="1"/>
  <c r="AK190" i="5"/>
  <c r="AS190" i="5" s="1"/>
  <c r="AU190" i="5" s="1"/>
  <c r="AI190" i="5"/>
  <c r="AQ189" i="5"/>
  <c r="AO189" i="5"/>
  <c r="AM189" i="5"/>
  <c r="AK189" i="5"/>
  <c r="AS189" i="5" s="1"/>
  <c r="AU189" i="5" s="1"/>
  <c r="AI189" i="5"/>
  <c r="AQ188" i="5"/>
  <c r="AO188" i="5"/>
  <c r="AM188" i="5"/>
  <c r="AK188" i="5"/>
  <c r="AI188" i="5"/>
  <c r="AG185" i="5"/>
  <c r="AF185" i="5"/>
  <c r="AE185" i="5"/>
  <c r="AC185" i="5"/>
  <c r="AA185" i="5"/>
  <c r="Y185" i="5"/>
  <c r="W185" i="5"/>
  <c r="U185" i="5"/>
  <c r="S185" i="5"/>
  <c r="Q185" i="5"/>
  <c r="O185" i="5"/>
  <c r="M185" i="5"/>
  <c r="K185" i="5"/>
  <c r="I185" i="5"/>
  <c r="G185" i="5"/>
  <c r="E185" i="5"/>
  <c r="C185" i="5"/>
  <c r="AQ184" i="5"/>
  <c r="AQ185" i="5" s="1"/>
  <c r="AO184" i="5"/>
  <c r="AM184" i="5"/>
  <c r="AK184" i="5"/>
  <c r="AI184" i="5"/>
  <c r="AQ183" i="5"/>
  <c r="AO183" i="5"/>
  <c r="AM183" i="5"/>
  <c r="AK183" i="5"/>
  <c r="AS183" i="5" s="1"/>
  <c r="AU183" i="5" s="1"/>
  <c r="AI183" i="5"/>
  <c r="AQ182" i="5"/>
  <c r="AO182" i="5"/>
  <c r="AM182" i="5"/>
  <c r="AK182" i="5"/>
  <c r="AS182" i="5" s="1"/>
  <c r="AU182" i="5" s="1"/>
  <c r="AI182" i="5"/>
  <c r="AQ181" i="5"/>
  <c r="AO181" i="5"/>
  <c r="AM181" i="5"/>
  <c r="AK181" i="5"/>
  <c r="AI181" i="5"/>
  <c r="AQ180" i="5"/>
  <c r="AO180" i="5"/>
  <c r="AM180" i="5"/>
  <c r="AK180" i="5"/>
  <c r="AS180" i="5" s="1"/>
  <c r="AU180" i="5" s="1"/>
  <c r="AI180" i="5"/>
  <c r="AQ179" i="5"/>
  <c r="AO179" i="5"/>
  <c r="AM179" i="5"/>
  <c r="AK179" i="5"/>
  <c r="AS179" i="5" s="1"/>
  <c r="AU179" i="5" s="1"/>
  <c r="AI179" i="5"/>
  <c r="AQ178" i="5"/>
  <c r="AO178" i="5"/>
  <c r="AM178" i="5"/>
  <c r="AM185" i="5" s="1"/>
  <c r="AK178" i="5"/>
  <c r="AS178" i="5" s="1"/>
  <c r="AU178" i="5" s="1"/>
  <c r="AI178" i="5"/>
  <c r="AQ177" i="5"/>
  <c r="AO177" i="5"/>
  <c r="AO185" i="5" s="1"/>
  <c r="AM177" i="5"/>
  <c r="AK177" i="5"/>
  <c r="AK185" i="5" s="1"/>
  <c r="AI177" i="5"/>
  <c r="AQ174" i="5"/>
  <c r="AG174" i="5"/>
  <c r="AF174" i="5"/>
  <c r="AF240" i="5" s="1"/>
  <c r="AE174" i="5"/>
  <c r="AC174" i="5"/>
  <c r="AA174" i="5"/>
  <c r="Y174" i="5"/>
  <c r="W174" i="5"/>
  <c r="U174" i="5"/>
  <c r="S174" i="5"/>
  <c r="Q174" i="5"/>
  <c r="Q240" i="5" s="1"/>
  <c r="O174" i="5"/>
  <c r="M174" i="5"/>
  <c r="K174" i="5"/>
  <c r="I174" i="5"/>
  <c r="G174" i="5"/>
  <c r="E174" i="5"/>
  <c r="C174" i="5"/>
  <c r="AQ173" i="5"/>
  <c r="AO173" i="5"/>
  <c r="AM173" i="5"/>
  <c r="AK173" i="5"/>
  <c r="AS173" i="5" s="1"/>
  <c r="AU173" i="5" s="1"/>
  <c r="AI173" i="5"/>
  <c r="AQ172" i="5"/>
  <c r="AO172" i="5"/>
  <c r="AM172" i="5"/>
  <c r="AK172" i="5"/>
  <c r="AS172" i="5" s="1"/>
  <c r="AU172" i="5" s="1"/>
  <c r="AI172" i="5"/>
  <c r="AQ171" i="5"/>
  <c r="AO171" i="5"/>
  <c r="AM171" i="5"/>
  <c r="AK171" i="5"/>
  <c r="AS171" i="5" s="1"/>
  <c r="AI171" i="5"/>
  <c r="AQ170" i="5"/>
  <c r="AO170" i="5"/>
  <c r="AM170" i="5"/>
  <c r="AK170" i="5"/>
  <c r="AS170" i="5" s="1"/>
  <c r="AU170" i="5" s="1"/>
  <c r="AI170" i="5"/>
  <c r="AQ169" i="5"/>
  <c r="AO169" i="5"/>
  <c r="AM169" i="5"/>
  <c r="AK169" i="5"/>
  <c r="AS169" i="5" s="1"/>
  <c r="AU169" i="5" s="1"/>
  <c r="AI169" i="5"/>
  <c r="AQ168" i="5"/>
  <c r="AO168" i="5"/>
  <c r="AM168" i="5"/>
  <c r="AK168" i="5"/>
  <c r="AS168" i="5" s="1"/>
  <c r="AI168" i="5"/>
  <c r="AU168" i="5" s="1"/>
  <c r="AQ167" i="5"/>
  <c r="AO167" i="5"/>
  <c r="AM167" i="5"/>
  <c r="AK167" i="5"/>
  <c r="AS167" i="5" s="1"/>
  <c r="AI167" i="5"/>
  <c r="AQ166" i="5"/>
  <c r="AO166" i="5"/>
  <c r="AM166" i="5"/>
  <c r="AK166" i="5"/>
  <c r="AI166" i="5"/>
  <c r="AQ165" i="5"/>
  <c r="AO165" i="5"/>
  <c r="AM165" i="5"/>
  <c r="AK165" i="5"/>
  <c r="AS165" i="5" s="1"/>
  <c r="AU165" i="5" s="1"/>
  <c r="AI165" i="5"/>
  <c r="AQ164" i="5"/>
  <c r="AO164" i="5"/>
  <c r="AM164" i="5"/>
  <c r="AK164" i="5"/>
  <c r="AS164" i="5" s="1"/>
  <c r="AU164" i="5" s="1"/>
  <c r="AI164" i="5"/>
  <c r="AQ163" i="5"/>
  <c r="AO163" i="5"/>
  <c r="AM163" i="5"/>
  <c r="AK163" i="5"/>
  <c r="AS163" i="5" s="1"/>
  <c r="AI163" i="5"/>
  <c r="AQ162" i="5"/>
  <c r="AO162" i="5"/>
  <c r="AM162" i="5"/>
  <c r="AK162" i="5"/>
  <c r="AS162" i="5" s="1"/>
  <c r="AU162" i="5" s="1"/>
  <c r="AI162" i="5"/>
  <c r="AQ161" i="5"/>
  <c r="AO161" i="5"/>
  <c r="AM161" i="5"/>
  <c r="AK161" i="5"/>
  <c r="AS161" i="5" s="1"/>
  <c r="AU161" i="5" s="1"/>
  <c r="AI161" i="5"/>
  <c r="AQ160" i="5"/>
  <c r="AO160" i="5"/>
  <c r="AM160" i="5"/>
  <c r="AK160" i="5"/>
  <c r="AS160" i="5" s="1"/>
  <c r="AI160" i="5"/>
  <c r="AU160" i="5" s="1"/>
  <c r="AQ159" i="5"/>
  <c r="AO159" i="5"/>
  <c r="AM159" i="5"/>
  <c r="AK159" i="5"/>
  <c r="AS159" i="5" s="1"/>
  <c r="AI159" i="5"/>
  <c r="AQ158" i="5"/>
  <c r="AO158" i="5"/>
  <c r="AM158" i="5"/>
  <c r="AK158" i="5"/>
  <c r="AI158" i="5"/>
  <c r="AQ157" i="5"/>
  <c r="AO157" i="5"/>
  <c r="AO174" i="5" s="1"/>
  <c r="AM157" i="5"/>
  <c r="AM174" i="5" s="1"/>
  <c r="AK157" i="5"/>
  <c r="AI157" i="5"/>
  <c r="AG154" i="5"/>
  <c r="AF154" i="5"/>
  <c r="AE154" i="5"/>
  <c r="AC154" i="5"/>
  <c r="AC240" i="5" s="1"/>
  <c r="AA154" i="5"/>
  <c r="Y154" i="5"/>
  <c r="Y240" i="5" s="1"/>
  <c r="W154" i="5"/>
  <c r="W240" i="5" s="1"/>
  <c r="U154" i="5"/>
  <c r="U240" i="5" s="1"/>
  <c r="S154" i="5"/>
  <c r="Q154" i="5"/>
  <c r="O154" i="5"/>
  <c r="O240" i="5" s="1"/>
  <c r="M154" i="5"/>
  <c r="M240" i="5" s="1"/>
  <c r="K154" i="5"/>
  <c r="I154" i="5"/>
  <c r="G154" i="5"/>
  <c r="G240" i="5" s="1"/>
  <c r="E154" i="5"/>
  <c r="E240" i="5" s="1"/>
  <c r="C154" i="5"/>
  <c r="AQ153" i="5"/>
  <c r="AO153" i="5"/>
  <c r="AM153" i="5"/>
  <c r="AK153" i="5"/>
  <c r="AS153" i="5" s="1"/>
  <c r="AI153" i="5"/>
  <c r="AU153" i="5" s="1"/>
  <c r="AQ152" i="5"/>
  <c r="AO152" i="5"/>
  <c r="AM152" i="5"/>
  <c r="AK152" i="5"/>
  <c r="AS152" i="5" s="1"/>
  <c r="AI152" i="5"/>
  <c r="AQ151" i="5"/>
  <c r="AO151" i="5"/>
  <c r="AM151" i="5"/>
  <c r="AK151" i="5"/>
  <c r="AI151" i="5"/>
  <c r="AQ150" i="5"/>
  <c r="AO150" i="5"/>
  <c r="AM150" i="5"/>
  <c r="AK150" i="5"/>
  <c r="AS150" i="5" s="1"/>
  <c r="AU150" i="5" s="1"/>
  <c r="AI150" i="5"/>
  <c r="AQ149" i="5"/>
  <c r="AO149" i="5"/>
  <c r="AM149" i="5"/>
  <c r="AK149" i="5"/>
  <c r="AS149" i="5" s="1"/>
  <c r="AU149" i="5" s="1"/>
  <c r="AI149" i="5"/>
  <c r="AQ148" i="5"/>
  <c r="AO148" i="5"/>
  <c r="AM148" i="5"/>
  <c r="AK148" i="5"/>
  <c r="AS148" i="5" s="1"/>
  <c r="AI148" i="5"/>
  <c r="AQ147" i="5"/>
  <c r="AO147" i="5"/>
  <c r="AM147" i="5"/>
  <c r="AK147" i="5"/>
  <c r="AI147" i="5"/>
  <c r="AQ146" i="5"/>
  <c r="AO146" i="5"/>
  <c r="AM146" i="5"/>
  <c r="AK146" i="5"/>
  <c r="AS146" i="5" s="1"/>
  <c r="AU146" i="5" s="1"/>
  <c r="AI146" i="5"/>
  <c r="AQ145" i="5"/>
  <c r="AO145" i="5"/>
  <c r="AM145" i="5"/>
  <c r="AK145" i="5"/>
  <c r="AS145" i="5" s="1"/>
  <c r="AI145" i="5"/>
  <c r="AU145" i="5" s="1"/>
  <c r="AQ144" i="5"/>
  <c r="AO144" i="5"/>
  <c r="AM144" i="5"/>
  <c r="AK144" i="5"/>
  <c r="AS144" i="5" s="1"/>
  <c r="AI144" i="5"/>
  <c r="AQ143" i="5"/>
  <c r="AO143" i="5"/>
  <c r="AM143" i="5"/>
  <c r="AK143" i="5"/>
  <c r="AI143" i="5"/>
  <c r="AQ142" i="5"/>
  <c r="AO142" i="5"/>
  <c r="AM142" i="5"/>
  <c r="AK142" i="5"/>
  <c r="AS142" i="5" s="1"/>
  <c r="AU142" i="5" s="1"/>
  <c r="AI142" i="5"/>
  <c r="AQ141" i="5"/>
  <c r="AO141" i="5"/>
  <c r="AM141" i="5"/>
  <c r="AK141" i="5"/>
  <c r="AS141" i="5" s="1"/>
  <c r="AU141" i="5" s="1"/>
  <c r="AI141" i="5"/>
  <c r="AQ140" i="5"/>
  <c r="AO140" i="5"/>
  <c r="AM140" i="5"/>
  <c r="AK140" i="5"/>
  <c r="AK154" i="5" s="1"/>
  <c r="AI140" i="5"/>
  <c r="AQ139" i="5"/>
  <c r="AQ154" i="5" s="1"/>
  <c r="AO139" i="5"/>
  <c r="AM139" i="5"/>
  <c r="AM154" i="5" s="1"/>
  <c r="AM240" i="5" s="1"/>
  <c r="AK139" i="5"/>
  <c r="AI139" i="5"/>
  <c r="AG134" i="5"/>
  <c r="AF134" i="5"/>
  <c r="AE134" i="5"/>
  <c r="AC134" i="5"/>
  <c r="AA134" i="5"/>
  <c r="Y134" i="5"/>
  <c r="W134" i="5"/>
  <c r="U134" i="5"/>
  <c r="S134" i="5"/>
  <c r="Q134" i="5"/>
  <c r="O134" i="5"/>
  <c r="M134" i="5"/>
  <c r="K134" i="5"/>
  <c r="I134" i="5"/>
  <c r="G134" i="5"/>
  <c r="E134" i="5"/>
  <c r="C134" i="5"/>
  <c r="K132" i="5"/>
  <c r="AQ131" i="5"/>
  <c r="AO131" i="5"/>
  <c r="AM131" i="5"/>
  <c r="AK131" i="5"/>
  <c r="AI131" i="5"/>
  <c r="AQ130" i="5"/>
  <c r="AO130" i="5"/>
  <c r="AO134" i="5" s="1"/>
  <c r="AM130" i="5"/>
  <c r="AK130" i="5"/>
  <c r="AS130" i="5" s="1"/>
  <c r="AU130" i="5" s="1"/>
  <c r="AI130" i="5"/>
  <c r="AQ129" i="5"/>
  <c r="AO129" i="5"/>
  <c r="AM129" i="5"/>
  <c r="AM134" i="5" s="1"/>
  <c r="AK129" i="5"/>
  <c r="AK134" i="5" s="1"/>
  <c r="AI129" i="5"/>
  <c r="AO125" i="5"/>
  <c r="AG125" i="5"/>
  <c r="AF125" i="5"/>
  <c r="AE125" i="5"/>
  <c r="AC125" i="5"/>
  <c r="AA125" i="5"/>
  <c r="Y125" i="5"/>
  <c r="W125" i="5"/>
  <c r="U125" i="5"/>
  <c r="S125" i="5"/>
  <c r="Q125" i="5"/>
  <c r="O125" i="5"/>
  <c r="M125" i="5"/>
  <c r="K125" i="5"/>
  <c r="I125" i="5"/>
  <c r="G125" i="5"/>
  <c r="E125" i="5"/>
  <c r="C125" i="5"/>
  <c r="AU124" i="5"/>
  <c r="AQ123" i="5"/>
  <c r="AQ125" i="5" s="1"/>
  <c r="AO123" i="5"/>
  <c r="AM123" i="5"/>
  <c r="AK123" i="5"/>
  <c r="AS123" i="5" s="1"/>
  <c r="AI123" i="5"/>
  <c r="AU123" i="5" s="1"/>
  <c r="AQ122" i="5"/>
  <c r="AO122" i="5"/>
  <c r="AM122" i="5"/>
  <c r="AM125" i="5" s="1"/>
  <c r="AK122" i="5"/>
  <c r="AK125" i="5" s="1"/>
  <c r="AI122" i="5"/>
  <c r="AF119" i="5"/>
  <c r="AG116" i="5"/>
  <c r="AF116" i="5"/>
  <c r="AE116" i="5"/>
  <c r="AC116" i="5"/>
  <c r="AA116" i="5"/>
  <c r="Y116" i="5"/>
  <c r="W116" i="5"/>
  <c r="U116" i="5"/>
  <c r="S116" i="5"/>
  <c r="Q116" i="5"/>
  <c r="O116" i="5"/>
  <c r="M116" i="5"/>
  <c r="K116" i="5"/>
  <c r="I116" i="5"/>
  <c r="G116" i="5"/>
  <c r="E116" i="5"/>
  <c r="C116" i="5"/>
  <c r="AQ115" i="5"/>
  <c r="AO115" i="5"/>
  <c r="AM115" i="5"/>
  <c r="AK115" i="5"/>
  <c r="AI115" i="5"/>
  <c r="AQ114" i="5"/>
  <c r="AO114" i="5"/>
  <c r="AM114" i="5"/>
  <c r="AK114" i="5"/>
  <c r="AS114" i="5" s="1"/>
  <c r="AU114" i="5" s="1"/>
  <c r="AI114" i="5"/>
  <c r="AQ113" i="5"/>
  <c r="AO113" i="5"/>
  <c r="AM113" i="5"/>
  <c r="AK113" i="5"/>
  <c r="AS113" i="5" s="1"/>
  <c r="AU113" i="5" s="1"/>
  <c r="AI113" i="5"/>
  <c r="AQ112" i="5"/>
  <c r="AO112" i="5"/>
  <c r="AM112" i="5"/>
  <c r="AK112" i="5"/>
  <c r="AS112" i="5" s="1"/>
  <c r="AI112" i="5"/>
  <c r="AQ111" i="5"/>
  <c r="AO111" i="5"/>
  <c r="AM111" i="5"/>
  <c r="AK111" i="5"/>
  <c r="AS111" i="5" s="1"/>
  <c r="AU111" i="5" s="1"/>
  <c r="AI111" i="5"/>
  <c r="AQ110" i="5"/>
  <c r="AO110" i="5"/>
  <c r="AM110" i="5"/>
  <c r="AK110" i="5"/>
  <c r="AS110" i="5" s="1"/>
  <c r="AU110" i="5" s="1"/>
  <c r="AI110" i="5"/>
  <c r="AQ109" i="5"/>
  <c r="AO109" i="5"/>
  <c r="AM109" i="5"/>
  <c r="AK109" i="5"/>
  <c r="AS109" i="5" s="1"/>
  <c r="AI109" i="5"/>
  <c r="AQ108" i="5"/>
  <c r="AM108" i="5"/>
  <c r="AK108" i="5"/>
  <c r="U108" i="5"/>
  <c r="AI108" i="5" s="1"/>
  <c r="AQ107" i="5"/>
  <c r="AO107" i="5"/>
  <c r="AM107" i="5"/>
  <c r="AK107" i="5"/>
  <c r="AS107" i="5" s="1"/>
  <c r="AI107" i="5"/>
  <c r="AQ106" i="5"/>
  <c r="AO106" i="5"/>
  <c r="AM106" i="5"/>
  <c r="AK106" i="5"/>
  <c r="AI106" i="5"/>
  <c r="AQ105" i="5"/>
  <c r="AO105" i="5"/>
  <c r="AM105" i="5"/>
  <c r="AM116" i="5" s="1"/>
  <c r="AK105" i="5"/>
  <c r="AS105" i="5" s="1"/>
  <c r="AU105" i="5" s="1"/>
  <c r="AI105" i="5"/>
  <c r="AQ104" i="5"/>
  <c r="AM104" i="5"/>
  <c r="AK104" i="5"/>
  <c r="AI104" i="5"/>
  <c r="AU104" i="5" s="1"/>
  <c r="Y104" i="5"/>
  <c r="AO104" i="5" s="1"/>
  <c r="AS104" i="5" s="1"/>
  <c r="AQ103" i="5"/>
  <c r="AO103" i="5"/>
  <c r="AM103" i="5"/>
  <c r="AK103" i="5"/>
  <c r="AS103" i="5" s="1"/>
  <c r="AI103" i="5"/>
  <c r="AU103" i="5" s="1"/>
  <c r="AQ102" i="5"/>
  <c r="AQ116" i="5" s="1"/>
  <c r="AM102" i="5"/>
  <c r="AK102" i="5"/>
  <c r="AK116" i="5" s="1"/>
  <c r="E102" i="5"/>
  <c r="AI102" i="5" s="1"/>
  <c r="AG99" i="5"/>
  <c r="AF99" i="5"/>
  <c r="AE99" i="5"/>
  <c r="AC99" i="5"/>
  <c r="AA99" i="5"/>
  <c r="Y99" i="5"/>
  <c r="W99" i="5"/>
  <c r="S99" i="5"/>
  <c r="Q99" i="5"/>
  <c r="O99" i="5"/>
  <c r="K99" i="5"/>
  <c r="I99" i="5"/>
  <c r="G99" i="5"/>
  <c r="E99" i="5"/>
  <c r="C99" i="5"/>
  <c r="AQ98" i="5"/>
  <c r="AO98" i="5"/>
  <c r="AM98" i="5"/>
  <c r="AK98" i="5"/>
  <c r="AS98" i="5" s="1"/>
  <c r="AI98" i="5"/>
  <c r="AQ97" i="5"/>
  <c r="AO97" i="5"/>
  <c r="AM97" i="5"/>
  <c r="AK97" i="5"/>
  <c r="AS97" i="5" s="1"/>
  <c r="AU97" i="5" s="1"/>
  <c r="AI97" i="5"/>
  <c r="AQ96" i="5"/>
  <c r="AO96" i="5"/>
  <c r="AM96" i="5"/>
  <c r="AK96" i="5"/>
  <c r="AS96" i="5" s="1"/>
  <c r="AI96" i="5"/>
  <c r="AU96" i="5" s="1"/>
  <c r="AQ95" i="5"/>
  <c r="AO95" i="5"/>
  <c r="AM95" i="5"/>
  <c r="AK95" i="5"/>
  <c r="AS95" i="5" s="1"/>
  <c r="AI95" i="5"/>
  <c r="AQ94" i="5"/>
  <c r="AO94" i="5"/>
  <c r="AM94" i="5"/>
  <c r="AK94" i="5"/>
  <c r="AI94" i="5"/>
  <c r="AQ93" i="5"/>
  <c r="AO93" i="5"/>
  <c r="AM93" i="5"/>
  <c r="AK93" i="5"/>
  <c r="AS93" i="5" s="1"/>
  <c r="AU93" i="5" s="1"/>
  <c r="AI93" i="5"/>
  <c r="AS92" i="5"/>
  <c r="AQ92" i="5"/>
  <c r="AM92" i="5"/>
  <c r="AK92" i="5"/>
  <c r="AI92" i="5"/>
  <c r="AU92" i="5" s="1"/>
  <c r="U92" i="5"/>
  <c r="AO92" i="5" s="1"/>
  <c r="AQ91" i="5"/>
  <c r="AQ99" i="5" s="1"/>
  <c r="AO91" i="5"/>
  <c r="AM91" i="5"/>
  <c r="AK91" i="5"/>
  <c r="AS91" i="5" s="1"/>
  <c r="AI91" i="5"/>
  <c r="AU91" i="5" s="1"/>
  <c r="AQ90" i="5"/>
  <c r="AO90" i="5"/>
  <c r="AM90" i="5"/>
  <c r="M90" i="5"/>
  <c r="AK90" i="5" s="1"/>
  <c r="AS90" i="5" s="1"/>
  <c r="AQ89" i="5"/>
  <c r="AO89" i="5"/>
  <c r="AM89" i="5"/>
  <c r="AK89" i="5"/>
  <c r="AK99" i="5" s="1"/>
  <c r="AI89" i="5"/>
  <c r="AQ88" i="5"/>
  <c r="AM88" i="5"/>
  <c r="AK88" i="5"/>
  <c r="U88" i="5"/>
  <c r="U99" i="5" s="1"/>
  <c r="AQ87" i="5"/>
  <c r="AO87" i="5"/>
  <c r="AM87" i="5"/>
  <c r="AM99" i="5" s="1"/>
  <c r="AK87" i="5"/>
  <c r="AI87" i="5"/>
  <c r="AG84" i="5"/>
  <c r="AF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C84" i="5"/>
  <c r="AQ83" i="5"/>
  <c r="AO83" i="5"/>
  <c r="AM83" i="5"/>
  <c r="AK83" i="5"/>
  <c r="AS83" i="5" s="1"/>
  <c r="AU83" i="5" s="1"/>
  <c r="AI83" i="5"/>
  <c r="AQ82" i="5"/>
  <c r="AO82" i="5"/>
  <c r="AM82" i="5"/>
  <c r="AK82" i="5"/>
  <c r="AS82" i="5" s="1"/>
  <c r="AU82" i="5" s="1"/>
  <c r="AI82" i="5"/>
  <c r="AQ81" i="5"/>
  <c r="AO81" i="5"/>
  <c r="AM81" i="5"/>
  <c r="AK81" i="5"/>
  <c r="AS81" i="5" s="1"/>
  <c r="AI81" i="5"/>
  <c r="AQ80" i="5"/>
  <c r="AO80" i="5"/>
  <c r="AM80" i="5"/>
  <c r="AK80" i="5"/>
  <c r="AI80" i="5"/>
  <c r="AQ79" i="5"/>
  <c r="AO79" i="5"/>
  <c r="AM79" i="5"/>
  <c r="AK79" i="5"/>
  <c r="AS79" i="5" s="1"/>
  <c r="AU79" i="5" s="1"/>
  <c r="AI79" i="5"/>
  <c r="AQ78" i="5"/>
  <c r="AO78" i="5"/>
  <c r="AM78" i="5"/>
  <c r="AK78" i="5"/>
  <c r="AS78" i="5" s="1"/>
  <c r="AI78" i="5"/>
  <c r="AU78" i="5" s="1"/>
  <c r="AQ77" i="5"/>
  <c r="AO77" i="5"/>
  <c r="AM77" i="5"/>
  <c r="AK77" i="5"/>
  <c r="AS77" i="5" s="1"/>
  <c r="AI77" i="5"/>
  <c r="AQ76" i="5"/>
  <c r="AO76" i="5"/>
  <c r="AM76" i="5"/>
  <c r="AK76" i="5"/>
  <c r="AI76" i="5"/>
  <c r="AQ75" i="5"/>
  <c r="AO75" i="5"/>
  <c r="AM75" i="5"/>
  <c r="AK75" i="5"/>
  <c r="AS75" i="5" s="1"/>
  <c r="AU75" i="5" s="1"/>
  <c r="AI75" i="5"/>
  <c r="AQ74" i="5"/>
  <c r="AO74" i="5"/>
  <c r="AM74" i="5"/>
  <c r="AM84" i="5" s="1"/>
  <c r="AK74" i="5"/>
  <c r="AS74" i="5" s="1"/>
  <c r="AU74" i="5" s="1"/>
  <c r="AI74" i="5"/>
  <c r="AQ73" i="5"/>
  <c r="AQ84" i="5" s="1"/>
  <c r="AO73" i="5"/>
  <c r="AO84" i="5" s="1"/>
  <c r="AM73" i="5"/>
  <c r="AK73" i="5"/>
  <c r="AK84" i="5" s="1"/>
  <c r="AI73" i="5"/>
  <c r="AG70" i="5"/>
  <c r="AF70" i="5"/>
  <c r="AE70" i="5"/>
  <c r="AC70" i="5"/>
  <c r="AA70" i="5"/>
  <c r="Y70" i="5"/>
  <c r="W70" i="5"/>
  <c r="U70" i="5"/>
  <c r="S70" i="5"/>
  <c r="Q70" i="5"/>
  <c r="O70" i="5"/>
  <c r="M70" i="5"/>
  <c r="K70" i="5"/>
  <c r="I70" i="5"/>
  <c r="G70" i="5"/>
  <c r="E70" i="5"/>
  <c r="C70" i="5"/>
  <c r="AQ69" i="5"/>
  <c r="AO69" i="5"/>
  <c r="AM69" i="5"/>
  <c r="AK69" i="5"/>
  <c r="AI69" i="5"/>
  <c r="AQ68" i="5"/>
  <c r="AO68" i="5"/>
  <c r="AO70" i="5" s="1"/>
  <c r="AM68" i="5"/>
  <c r="AK68" i="5"/>
  <c r="AS68" i="5" s="1"/>
  <c r="AU68" i="5" s="1"/>
  <c r="AI68" i="5"/>
  <c r="AQ67" i="5"/>
  <c r="AO67" i="5"/>
  <c r="AM67" i="5"/>
  <c r="AM70" i="5" s="1"/>
  <c r="AK67" i="5"/>
  <c r="AS67" i="5" s="1"/>
  <c r="AU67" i="5" s="1"/>
  <c r="AI67" i="5"/>
  <c r="AQ66" i="5"/>
  <c r="AQ70" i="5" s="1"/>
  <c r="AO66" i="5"/>
  <c r="AM66" i="5"/>
  <c r="AK66" i="5"/>
  <c r="AK70" i="5" s="1"/>
  <c r="AI66" i="5"/>
  <c r="AG63" i="5"/>
  <c r="AF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C63" i="5"/>
  <c r="AQ62" i="5"/>
  <c r="AO62" i="5"/>
  <c r="AM62" i="5"/>
  <c r="AK62" i="5"/>
  <c r="AI62" i="5"/>
  <c r="AQ61" i="5"/>
  <c r="AO61" i="5"/>
  <c r="AM61" i="5"/>
  <c r="AK61" i="5"/>
  <c r="AS61" i="5" s="1"/>
  <c r="AU61" i="5" s="1"/>
  <c r="AI61" i="5"/>
  <c r="AQ60" i="5"/>
  <c r="AO60" i="5"/>
  <c r="AM60" i="5"/>
  <c r="AK60" i="5"/>
  <c r="AS60" i="5" s="1"/>
  <c r="AU60" i="5" s="1"/>
  <c r="AI60" i="5"/>
  <c r="AQ59" i="5"/>
  <c r="AO59" i="5"/>
  <c r="AM59" i="5"/>
  <c r="AK59" i="5"/>
  <c r="AS59" i="5" s="1"/>
  <c r="AI59" i="5"/>
  <c r="AQ58" i="5"/>
  <c r="AO58" i="5"/>
  <c r="AM58" i="5"/>
  <c r="AM63" i="5" s="1"/>
  <c r="AK58" i="5"/>
  <c r="AI58" i="5"/>
  <c r="AQ57" i="5"/>
  <c r="AO57" i="5"/>
  <c r="AM57" i="5"/>
  <c r="AK57" i="5"/>
  <c r="AS57" i="5" s="1"/>
  <c r="AU57" i="5" s="1"/>
  <c r="AI57" i="5"/>
  <c r="AQ56" i="5"/>
  <c r="AO56" i="5"/>
  <c r="AM56" i="5"/>
  <c r="AK56" i="5"/>
  <c r="AS56" i="5" s="1"/>
  <c r="AI56" i="5"/>
  <c r="AQ55" i="5"/>
  <c r="AQ63" i="5" s="1"/>
  <c r="AO55" i="5"/>
  <c r="AO63" i="5" s="1"/>
  <c r="AM55" i="5"/>
  <c r="AK55" i="5"/>
  <c r="AI55" i="5"/>
  <c r="AG52" i="5"/>
  <c r="AG119" i="5" s="1"/>
  <c r="AF52" i="5"/>
  <c r="AE52" i="5"/>
  <c r="AC52" i="5"/>
  <c r="AA52" i="5"/>
  <c r="AA119" i="5" s="1"/>
  <c r="W52" i="5"/>
  <c r="U52" i="5"/>
  <c r="S52" i="5"/>
  <c r="Q52" i="5"/>
  <c r="O52" i="5"/>
  <c r="M52" i="5"/>
  <c r="K52" i="5"/>
  <c r="K119" i="5" s="1"/>
  <c r="I52" i="5"/>
  <c r="G52" i="5"/>
  <c r="E52" i="5"/>
  <c r="C52" i="5"/>
  <c r="C119" i="5" s="1"/>
  <c r="AQ51" i="5"/>
  <c r="AO51" i="5"/>
  <c r="AM51" i="5"/>
  <c r="AK51" i="5"/>
  <c r="AI51" i="5"/>
  <c r="AQ50" i="5"/>
  <c r="AO50" i="5"/>
  <c r="AM50" i="5"/>
  <c r="AK50" i="5"/>
  <c r="AS50" i="5" s="1"/>
  <c r="AU50" i="5" s="1"/>
  <c r="AI50" i="5"/>
  <c r="AQ49" i="5"/>
  <c r="AQ52" i="5" s="1"/>
  <c r="AO49" i="5"/>
  <c r="AM49" i="5"/>
  <c r="AK49" i="5"/>
  <c r="AS49" i="5" s="1"/>
  <c r="AI49" i="5"/>
  <c r="AQ48" i="5"/>
  <c r="AM48" i="5"/>
  <c r="AK48" i="5"/>
  <c r="Y48" i="5"/>
  <c r="Y52" i="5" s="1"/>
  <c r="Y119" i="5" s="1"/>
  <c r="AQ47" i="5"/>
  <c r="AO47" i="5"/>
  <c r="AM47" i="5"/>
  <c r="AK47" i="5"/>
  <c r="AS47" i="5" s="1"/>
  <c r="AI47" i="5"/>
  <c r="AQ46" i="5"/>
  <c r="AO46" i="5"/>
  <c r="AM46" i="5"/>
  <c r="AK46" i="5"/>
  <c r="AI46" i="5"/>
  <c r="AQ45" i="5"/>
  <c r="AO45" i="5"/>
  <c r="AM45" i="5"/>
  <c r="AK45" i="5"/>
  <c r="AS45" i="5" s="1"/>
  <c r="AU45" i="5" s="1"/>
  <c r="AI45" i="5"/>
  <c r="AQ44" i="5"/>
  <c r="AO44" i="5"/>
  <c r="AM44" i="5"/>
  <c r="AK44" i="5"/>
  <c r="AS44" i="5" s="1"/>
  <c r="AU44" i="5" s="1"/>
  <c r="AI44" i="5"/>
  <c r="AQ43" i="5"/>
  <c r="AO43" i="5"/>
  <c r="AM43" i="5"/>
  <c r="AK43" i="5"/>
  <c r="AS43" i="5" s="1"/>
  <c r="AI43" i="5"/>
  <c r="AQ42" i="5"/>
  <c r="AO42" i="5"/>
  <c r="AM42" i="5"/>
  <c r="AK42" i="5"/>
  <c r="AS42" i="5" s="1"/>
  <c r="AU42" i="5" s="1"/>
  <c r="AI42" i="5"/>
  <c r="AQ41" i="5"/>
  <c r="AO41" i="5"/>
  <c r="AM41" i="5"/>
  <c r="AK41" i="5"/>
  <c r="AS41" i="5" s="1"/>
  <c r="AU41" i="5" s="1"/>
  <c r="AI41" i="5"/>
  <c r="AQ40" i="5"/>
  <c r="AO40" i="5"/>
  <c r="AM40" i="5"/>
  <c r="AK40" i="5"/>
  <c r="AS40" i="5" s="1"/>
  <c r="AI40" i="5"/>
  <c r="AQ39" i="5"/>
  <c r="AO39" i="5"/>
  <c r="AM39" i="5"/>
  <c r="AK39" i="5"/>
  <c r="AS39" i="5" s="1"/>
  <c r="AI39" i="5"/>
  <c r="AQ38" i="5"/>
  <c r="AO38" i="5"/>
  <c r="AM38" i="5"/>
  <c r="AK38" i="5"/>
  <c r="AI38" i="5"/>
  <c r="AQ37" i="5"/>
  <c r="AO37" i="5"/>
  <c r="AM37" i="5"/>
  <c r="AK37" i="5"/>
  <c r="AS37" i="5" s="1"/>
  <c r="AU37" i="5" s="1"/>
  <c r="AI37" i="5"/>
  <c r="AQ36" i="5"/>
  <c r="AO36" i="5"/>
  <c r="AM36" i="5"/>
  <c r="AM52" i="5" s="1"/>
  <c r="AK36" i="5"/>
  <c r="AS36" i="5" s="1"/>
  <c r="AU36" i="5" s="1"/>
  <c r="AI36" i="5"/>
  <c r="AQ35" i="5"/>
  <c r="AO35" i="5"/>
  <c r="AM35" i="5"/>
  <c r="AK35" i="5"/>
  <c r="AI35" i="5"/>
  <c r="AG32" i="5"/>
  <c r="AF32" i="5"/>
  <c r="AE32" i="5"/>
  <c r="AE119" i="5" s="1"/>
  <c r="AC32" i="5"/>
  <c r="AC119" i="5" s="1"/>
  <c r="AC255" i="5" s="1"/>
  <c r="AA32" i="5"/>
  <c r="Y32" i="5"/>
  <c r="W32" i="5"/>
  <c r="W119" i="5" s="1"/>
  <c r="W255" i="5" s="1"/>
  <c r="U32" i="5"/>
  <c r="S32" i="5"/>
  <c r="S119" i="5" s="1"/>
  <c r="Q32" i="5"/>
  <c r="Q119" i="5" s="1"/>
  <c r="Q255" i="5" s="1"/>
  <c r="O32" i="5"/>
  <c r="O119" i="5" s="1"/>
  <c r="M32" i="5"/>
  <c r="K32" i="5"/>
  <c r="I32" i="5"/>
  <c r="I119" i="5" s="1"/>
  <c r="G32" i="5"/>
  <c r="G119" i="5" s="1"/>
  <c r="G255" i="5" s="1"/>
  <c r="E32" i="5"/>
  <c r="E119" i="5" s="1"/>
  <c r="E255" i="5" s="1"/>
  <c r="C32" i="5"/>
  <c r="AQ31" i="5"/>
  <c r="AO31" i="5"/>
  <c r="AM31" i="5"/>
  <c r="AK31" i="5"/>
  <c r="AI31" i="5"/>
  <c r="AQ30" i="5"/>
  <c r="AO30" i="5"/>
  <c r="AM30" i="5"/>
  <c r="AK30" i="5"/>
  <c r="AS30" i="5" s="1"/>
  <c r="AU30" i="5" s="1"/>
  <c r="AI30" i="5"/>
  <c r="AQ29" i="5"/>
  <c r="AO29" i="5"/>
  <c r="AM29" i="5"/>
  <c r="AK29" i="5"/>
  <c r="AS29" i="5" s="1"/>
  <c r="AU29" i="5" s="1"/>
  <c r="AI29" i="5"/>
  <c r="AQ28" i="5"/>
  <c r="AO28" i="5"/>
  <c r="AM28" i="5"/>
  <c r="AK28" i="5"/>
  <c r="AS28" i="5" s="1"/>
  <c r="AI28" i="5"/>
  <c r="AS27" i="5"/>
  <c r="AO27" i="5"/>
  <c r="AI27" i="5"/>
  <c r="AQ26" i="5"/>
  <c r="AO26" i="5"/>
  <c r="AM26" i="5"/>
  <c r="AK26" i="5"/>
  <c r="AS26" i="5" s="1"/>
  <c r="AU26" i="5" s="1"/>
  <c r="AI26" i="5"/>
  <c r="AQ25" i="5"/>
  <c r="AO25" i="5"/>
  <c r="AM25" i="5"/>
  <c r="AK25" i="5"/>
  <c r="AS25" i="5" s="1"/>
  <c r="AI25" i="5"/>
  <c r="AU25" i="5" s="1"/>
  <c r="AQ24" i="5"/>
  <c r="AO24" i="5"/>
  <c r="AM24" i="5"/>
  <c r="AK24" i="5"/>
  <c r="AS24" i="5" s="1"/>
  <c r="AI24" i="5"/>
  <c r="AQ23" i="5"/>
  <c r="AO23" i="5"/>
  <c r="AM23" i="5"/>
  <c r="AK23" i="5"/>
  <c r="AI23" i="5"/>
  <c r="AQ22" i="5"/>
  <c r="AO22" i="5"/>
  <c r="AM22" i="5"/>
  <c r="AK22" i="5"/>
  <c r="AS22" i="5" s="1"/>
  <c r="AU22" i="5" s="1"/>
  <c r="AI22" i="5"/>
  <c r="AQ21" i="5"/>
  <c r="AO21" i="5"/>
  <c r="AM21" i="5"/>
  <c r="AK21" i="5"/>
  <c r="AS21" i="5" s="1"/>
  <c r="AU21" i="5" s="1"/>
  <c r="AI21" i="5"/>
  <c r="AQ20" i="5"/>
  <c r="AO20" i="5"/>
  <c r="AM20" i="5"/>
  <c r="AK20" i="5"/>
  <c r="AS20" i="5" s="1"/>
  <c r="AI20" i="5"/>
  <c r="AQ19" i="5"/>
  <c r="AO19" i="5"/>
  <c r="AM19" i="5"/>
  <c r="AK19" i="5"/>
  <c r="AI19" i="5"/>
  <c r="AQ18" i="5"/>
  <c r="AO18" i="5"/>
  <c r="AM18" i="5"/>
  <c r="AM32" i="5" s="1"/>
  <c r="AK18" i="5"/>
  <c r="AS18" i="5" s="1"/>
  <c r="AU18" i="5" s="1"/>
  <c r="AI18" i="5"/>
  <c r="AQ17" i="5"/>
  <c r="AO17" i="5"/>
  <c r="AM17" i="5"/>
  <c r="AK17" i="5"/>
  <c r="AS17" i="5" s="1"/>
  <c r="AI17" i="5"/>
  <c r="AU17" i="5" s="1"/>
  <c r="AQ16" i="5"/>
  <c r="AO16" i="5"/>
  <c r="AO32" i="5" s="1"/>
  <c r="AM16" i="5"/>
  <c r="AK16" i="5"/>
  <c r="AS16" i="5" s="1"/>
  <c r="AI16" i="5"/>
  <c r="AQ15" i="5"/>
  <c r="AQ32" i="5" s="1"/>
  <c r="AO15" i="5"/>
  <c r="AM15" i="5"/>
  <c r="AK15" i="5"/>
  <c r="AI15" i="5"/>
  <c r="Y15" i="4"/>
  <c r="T209" i="4"/>
  <c r="R209" i="4"/>
  <c r="P209" i="4"/>
  <c r="N209" i="4"/>
  <c r="L209" i="4"/>
  <c r="J209" i="4"/>
  <c r="H209" i="4"/>
  <c r="D209" i="4"/>
  <c r="F208" i="4"/>
  <c r="AA211" i="4" s="1"/>
  <c r="T205" i="4"/>
  <c r="T206" i="4" s="1"/>
  <c r="L205" i="4"/>
  <c r="L206" i="4" s="1"/>
  <c r="J205" i="4"/>
  <c r="J206" i="4" s="1"/>
  <c r="H205" i="4"/>
  <c r="H206" i="4" s="1"/>
  <c r="F205" i="4"/>
  <c r="F206" i="4" s="1"/>
  <c r="D205" i="4"/>
  <c r="D206" i="4" s="1"/>
  <c r="P202" i="4"/>
  <c r="V202" i="4"/>
  <c r="T202" i="4"/>
  <c r="R202" i="4"/>
  <c r="N202" i="4"/>
  <c r="L202" i="4"/>
  <c r="J202" i="4"/>
  <c r="H202" i="4"/>
  <c r="F202" i="4"/>
  <c r="D202" i="4"/>
  <c r="V198" i="4"/>
  <c r="R198" i="4"/>
  <c r="P198" i="4"/>
  <c r="N157" i="4"/>
  <c r="N158" i="4" s="1"/>
  <c r="J198" i="4"/>
  <c r="H198" i="4"/>
  <c r="F157" i="4"/>
  <c r="F158" i="4" s="1"/>
  <c r="D198" i="4"/>
  <c r="J193" i="4"/>
  <c r="J194" i="4" s="1"/>
  <c r="H193" i="4"/>
  <c r="H194" i="4" s="1"/>
  <c r="F193" i="4"/>
  <c r="F194" i="4" s="1"/>
  <c r="D193" i="4"/>
  <c r="D194" i="4" s="1"/>
  <c r="N188" i="4"/>
  <c r="L188" i="4"/>
  <c r="D188" i="4"/>
  <c r="N187" i="4"/>
  <c r="L187" i="4"/>
  <c r="D187" i="4"/>
  <c r="N186" i="4"/>
  <c r="L186" i="4"/>
  <c r="D186" i="4"/>
  <c r="N185" i="4"/>
  <c r="L185" i="4"/>
  <c r="D185" i="4"/>
  <c r="N184" i="4"/>
  <c r="L184" i="4"/>
  <c r="D184" i="4"/>
  <c r="N183" i="4"/>
  <c r="L183" i="4"/>
  <c r="D183" i="4"/>
  <c r="N182" i="4"/>
  <c r="L182" i="4"/>
  <c r="D182" i="4"/>
  <c r="N178" i="4"/>
  <c r="L178" i="4"/>
  <c r="D178" i="4"/>
  <c r="N177" i="4"/>
  <c r="L177" i="4"/>
  <c r="D177" i="4"/>
  <c r="N176" i="4"/>
  <c r="L176" i="4"/>
  <c r="D176" i="4"/>
  <c r="N175" i="4"/>
  <c r="L175" i="4"/>
  <c r="D175" i="4"/>
  <c r="N174" i="4"/>
  <c r="L174" i="4"/>
  <c r="D174" i="4"/>
  <c r="N173" i="4"/>
  <c r="L173" i="4"/>
  <c r="D173" i="4"/>
  <c r="N172" i="4"/>
  <c r="L172" i="4"/>
  <c r="D172" i="4"/>
  <c r="AG168" i="4"/>
  <c r="L166" i="4"/>
  <c r="T128" i="4"/>
  <c r="N165" i="4"/>
  <c r="N128" i="4" s="1"/>
  <c r="D165" i="4"/>
  <c r="D128" i="4" s="1"/>
  <c r="N164" i="4"/>
  <c r="N127" i="4" s="1"/>
  <c r="D164" i="4"/>
  <c r="N163" i="4"/>
  <c r="D163" i="4"/>
  <c r="D126" i="4" s="1"/>
  <c r="N162" i="4"/>
  <c r="D162" i="4"/>
  <c r="D125" i="4" s="1"/>
  <c r="N161" i="4"/>
  <c r="D161" i="4"/>
  <c r="R157" i="4"/>
  <c r="R158" i="4" s="1"/>
  <c r="P157" i="4"/>
  <c r="P158" i="4" s="1"/>
  <c r="J157" i="4"/>
  <c r="J158" i="4" s="1"/>
  <c r="H157" i="4"/>
  <c r="H158" i="4" s="1"/>
  <c r="D157" i="4"/>
  <c r="D158" i="4" s="1"/>
  <c r="N154" i="4"/>
  <c r="N153" i="4"/>
  <c r="L153" i="4"/>
  <c r="L154" i="4" s="1"/>
  <c r="D153" i="4"/>
  <c r="N149" i="4"/>
  <c r="L149" i="4"/>
  <c r="D149" i="4"/>
  <c r="N148" i="4"/>
  <c r="L148" i="4"/>
  <c r="D148" i="4"/>
  <c r="N147" i="4"/>
  <c r="L147" i="4"/>
  <c r="D147" i="4"/>
  <c r="N146" i="4"/>
  <c r="L146" i="4"/>
  <c r="D146" i="4"/>
  <c r="N145" i="4"/>
  <c r="L145" i="4"/>
  <c r="D145" i="4"/>
  <c r="N144" i="4"/>
  <c r="L144" i="4"/>
  <c r="D144" i="4"/>
  <c r="N143" i="4"/>
  <c r="L143" i="4"/>
  <c r="D143" i="4"/>
  <c r="N142" i="4"/>
  <c r="L142" i="4"/>
  <c r="D142" i="4"/>
  <c r="N141" i="4"/>
  <c r="L141" i="4"/>
  <c r="D141" i="4"/>
  <c r="N140" i="4"/>
  <c r="L140" i="4"/>
  <c r="D140" i="4"/>
  <c r="N139" i="4"/>
  <c r="L139" i="4"/>
  <c r="D139" i="4"/>
  <c r="N138" i="4"/>
  <c r="L138" i="4"/>
  <c r="D138" i="4"/>
  <c r="L128" i="4"/>
  <c r="O127" i="4"/>
  <c r="L127" i="4"/>
  <c r="J127" i="4"/>
  <c r="N126" i="4"/>
  <c r="L126" i="4"/>
  <c r="N125" i="4"/>
  <c r="L125" i="4"/>
  <c r="L124" i="4"/>
  <c r="J124" i="4"/>
  <c r="D124" i="4"/>
  <c r="T121" i="4"/>
  <c r="R121" i="4"/>
  <c r="P121" i="4"/>
  <c r="N121" i="4"/>
  <c r="L121" i="4"/>
  <c r="D120" i="4"/>
  <c r="D86" i="4" s="1"/>
  <c r="D119" i="4"/>
  <c r="D118" i="4"/>
  <c r="D84" i="4" s="1"/>
  <c r="D117" i="4"/>
  <c r="D116" i="4"/>
  <c r="AD13" i="4"/>
  <c r="R108" i="4"/>
  <c r="P108" i="4"/>
  <c r="N108" i="4"/>
  <c r="L108" i="4"/>
  <c r="J104" i="4"/>
  <c r="J106" i="4" s="1"/>
  <c r="J108" i="4" s="1"/>
  <c r="H104" i="4"/>
  <c r="H106" i="4" s="1"/>
  <c r="H108" i="4" s="1"/>
  <c r="D104" i="4"/>
  <c r="D106" i="4" s="1"/>
  <c r="D108" i="4" s="1"/>
  <c r="D109" i="4" s="1"/>
  <c r="AQ99" i="4"/>
  <c r="AQ11" i="4" s="1"/>
  <c r="AN99" i="4"/>
  <c r="AN11" i="4" s="1"/>
  <c r="AE99" i="4"/>
  <c r="AE11" i="4" s="1"/>
  <c r="R99" i="4"/>
  <c r="P99" i="4"/>
  <c r="N99" i="4"/>
  <c r="L99" i="4"/>
  <c r="J95" i="4"/>
  <c r="J97" i="4" s="1"/>
  <c r="J99" i="4" s="1"/>
  <c r="AM99" i="4" s="1"/>
  <c r="AM11" i="4" s="1"/>
  <c r="D95" i="4"/>
  <c r="AD10" i="4"/>
  <c r="T86" i="4"/>
  <c r="R86" i="4"/>
  <c r="P86" i="4"/>
  <c r="N86" i="4"/>
  <c r="L86" i="4"/>
  <c r="T85" i="4"/>
  <c r="R85" i="4"/>
  <c r="P85" i="4"/>
  <c r="N85" i="4"/>
  <c r="L85" i="4"/>
  <c r="D85" i="4"/>
  <c r="T84" i="4"/>
  <c r="R84" i="4"/>
  <c r="P84" i="4"/>
  <c r="N84" i="4"/>
  <c r="L84" i="4"/>
  <c r="T83" i="4"/>
  <c r="R83" i="4"/>
  <c r="P83" i="4"/>
  <c r="N83" i="4"/>
  <c r="L83" i="4"/>
  <c r="D83" i="4"/>
  <c r="T82" i="4"/>
  <c r="R82" i="4"/>
  <c r="P82" i="4"/>
  <c r="N82" i="4"/>
  <c r="L82" i="4"/>
  <c r="D77" i="4"/>
  <c r="D76" i="4"/>
  <c r="D75" i="4"/>
  <c r="D74" i="4"/>
  <c r="D73" i="4"/>
  <c r="D72" i="4"/>
  <c r="D71" i="4"/>
  <c r="J64" i="4"/>
  <c r="H64" i="4"/>
  <c r="F64" i="4"/>
  <c r="D64" i="4"/>
  <c r="D63" i="4"/>
  <c r="D62" i="4"/>
  <c r="F61" i="4"/>
  <c r="D61" i="4"/>
  <c r="D66" i="4" s="1"/>
  <c r="J54" i="4"/>
  <c r="H54" i="4"/>
  <c r="D54" i="4"/>
  <c r="J53" i="4"/>
  <c r="J56" i="4" s="1"/>
  <c r="H53" i="4"/>
  <c r="F53" i="4"/>
  <c r="D53" i="4"/>
  <c r="D56" i="4" s="1"/>
  <c r="D46" i="4"/>
  <c r="D45" i="4"/>
  <c r="D44" i="4"/>
  <c r="D43" i="4"/>
  <c r="D42" i="4"/>
  <c r="D41" i="4"/>
  <c r="D40" i="4"/>
  <c r="AN30" i="4"/>
  <c r="AS17" i="4"/>
  <c r="AT17" i="4" s="1"/>
  <c r="AM18" i="4"/>
  <c r="AB18" i="4"/>
  <c r="AQ15" i="4"/>
  <c r="AL15" i="4"/>
  <c r="AK15" i="4"/>
  <c r="AC15" i="4"/>
  <c r="AQ14" i="4"/>
  <c r="AO14" i="4"/>
  <c r="AN14" i="4"/>
  <c r="AL14" i="4"/>
  <c r="AK14" i="4"/>
  <c r="AK20" i="4" s="1"/>
  <c r="Y14" i="4"/>
  <c r="AO13" i="4"/>
  <c r="AN13" i="4"/>
  <c r="AL13" i="4"/>
  <c r="AK13" i="4"/>
  <c r="AG13" i="4"/>
  <c r="AE13" i="4"/>
  <c r="Y13" i="4"/>
  <c r="X13" i="4"/>
  <c r="AQ12" i="4"/>
  <c r="AO12" i="4"/>
  <c r="AL12" i="4"/>
  <c r="AG12" i="4"/>
  <c r="AF12" i="4"/>
  <c r="AC12" i="4"/>
  <c r="Z12" i="4"/>
  <c r="Y12" i="4"/>
  <c r="AO11" i="4"/>
  <c r="AL11" i="4"/>
  <c r="AK11" i="4"/>
  <c r="AG11" i="4"/>
  <c r="Y11" i="4"/>
  <c r="X11" i="4"/>
  <c r="AQ10" i="4"/>
  <c r="AO10" i="4"/>
  <c r="AN10" i="4"/>
  <c r="AL10" i="4"/>
  <c r="AJ10" i="4"/>
  <c r="AJ20" i="4" s="1"/>
  <c r="AI20" i="4"/>
  <c r="AH12" i="4"/>
  <c r="AG10" i="4"/>
  <c r="AF10" i="4"/>
  <c r="Y10" i="4"/>
  <c r="Y20" i="4" s="1"/>
  <c r="X10" i="4"/>
  <c r="O27" i="3"/>
  <c r="I27" i="3"/>
  <c r="S26" i="3"/>
  <c r="S27" i="3" s="1"/>
  <c r="O26" i="3"/>
  <c r="M26" i="3"/>
  <c r="M27" i="3" s="1"/>
  <c r="K26" i="3"/>
  <c r="K27" i="3" s="1"/>
  <c r="I26" i="3"/>
  <c r="G26" i="3"/>
  <c r="G27" i="3" s="1"/>
  <c r="E26" i="3"/>
  <c r="E27" i="3" s="1"/>
  <c r="C26" i="3"/>
  <c r="C27" i="3" s="1"/>
  <c r="S23" i="3"/>
  <c r="M23" i="3"/>
  <c r="K23" i="3"/>
  <c r="I23" i="3"/>
  <c r="G23" i="3"/>
  <c r="E23" i="3"/>
  <c r="C23" i="3"/>
  <c r="S22" i="3"/>
  <c r="Q22" i="3"/>
  <c r="Q26" i="3" s="1"/>
  <c r="Q27" i="3" s="1"/>
  <c r="Q30" i="3" s="1"/>
  <c r="O22" i="3"/>
  <c r="M22" i="3"/>
  <c r="N205" i="4" s="1"/>
  <c r="N206" i="4" s="1"/>
  <c r="S19" i="3"/>
  <c r="Q19" i="3"/>
  <c r="O19" i="3"/>
  <c r="M19" i="3"/>
  <c r="I19" i="3"/>
  <c r="G19" i="3"/>
  <c r="E19" i="3"/>
  <c r="C19" i="3"/>
  <c r="O18" i="3"/>
  <c r="K18" i="3"/>
  <c r="U18" i="3" s="1"/>
  <c r="U15" i="3"/>
  <c r="S15" i="3"/>
  <c r="Q15" i="3"/>
  <c r="O15" i="3"/>
  <c r="M15" i="3"/>
  <c r="K15" i="3"/>
  <c r="I15" i="3"/>
  <c r="G15" i="3"/>
  <c r="E15" i="3"/>
  <c r="C15" i="3"/>
  <c r="U14" i="3"/>
  <c r="G11" i="3"/>
  <c r="E11" i="3"/>
  <c r="I10" i="3"/>
  <c r="I11" i="3" s="1"/>
  <c r="I30" i="3" s="1"/>
  <c r="C10" i="3"/>
  <c r="C11" i="3" s="1"/>
  <c r="M67" i="2"/>
  <c r="K67" i="2"/>
  <c r="C67" i="2"/>
  <c r="I61" i="2"/>
  <c r="G61" i="2"/>
  <c r="E61" i="2"/>
  <c r="C61" i="2"/>
  <c r="S60" i="2"/>
  <c r="S10" i="3" s="1"/>
  <c r="S11" i="3" s="1"/>
  <c r="Q60" i="2"/>
  <c r="Q10" i="3" s="1"/>
  <c r="Q11" i="3" s="1"/>
  <c r="O60" i="2"/>
  <c r="O61" i="2" s="1"/>
  <c r="M60" i="2"/>
  <c r="N193" i="4" s="1"/>
  <c r="N194" i="4" s="1"/>
  <c r="K60" i="2"/>
  <c r="K63" i="25" s="1"/>
  <c r="K64" i="25" s="1"/>
  <c r="M55" i="2"/>
  <c r="K55" i="2"/>
  <c r="C55" i="2"/>
  <c r="M54" i="2"/>
  <c r="K54" i="2"/>
  <c r="C54" i="2"/>
  <c r="M53" i="2"/>
  <c r="K53" i="2"/>
  <c r="C53" i="2"/>
  <c r="M52" i="2"/>
  <c r="K52" i="2"/>
  <c r="C52" i="2"/>
  <c r="M51" i="2"/>
  <c r="K51" i="2"/>
  <c r="C51" i="2"/>
  <c r="M50" i="2"/>
  <c r="K50" i="2"/>
  <c r="C50" i="2"/>
  <c r="M49" i="2"/>
  <c r="K49" i="2"/>
  <c r="C49" i="2"/>
  <c r="M48" i="2"/>
  <c r="K48" i="2"/>
  <c r="C48" i="2"/>
  <c r="M47" i="2"/>
  <c r="K47" i="2"/>
  <c r="C47" i="2"/>
  <c r="M46" i="2"/>
  <c r="M57" i="2" s="1"/>
  <c r="K46" i="2"/>
  <c r="C46" i="2"/>
  <c r="M45" i="2"/>
  <c r="K45" i="2"/>
  <c r="K57" i="2" s="1"/>
  <c r="C45" i="2"/>
  <c r="M42" i="2"/>
  <c r="K42" i="2"/>
  <c r="C42" i="2"/>
  <c r="M32" i="2"/>
  <c r="K32" i="2"/>
  <c r="C32" i="2"/>
  <c r="M22" i="2"/>
  <c r="K22" i="2"/>
  <c r="C22" i="2"/>
  <c r="J64" i="1"/>
  <c r="H64" i="1"/>
  <c r="D64" i="1"/>
  <c r="L62" i="1"/>
  <c r="L64" i="1" s="1"/>
  <c r="J57" i="1"/>
  <c r="D57" i="1"/>
  <c r="D50" i="1"/>
  <c r="D37" i="1"/>
  <c r="L35" i="1"/>
  <c r="N35" i="1" s="1"/>
  <c r="J27" i="1"/>
  <c r="H27" i="1"/>
  <c r="D27" i="1"/>
  <c r="F25" i="1"/>
  <c r="F54" i="4" s="1"/>
  <c r="L24" i="1"/>
  <c r="D19" i="1"/>
  <c r="I121" i="6" l="1"/>
  <c r="S74" i="6"/>
  <c r="AA64" i="6"/>
  <c r="AA68" i="6"/>
  <c r="AC68" i="6" s="1"/>
  <c r="AA72" i="6"/>
  <c r="AC72" i="6" s="1"/>
  <c r="O77" i="6"/>
  <c r="AA36" i="6"/>
  <c r="AC36" i="6" s="1"/>
  <c r="AA40" i="6"/>
  <c r="AC40" i="6" s="1"/>
  <c r="AA48" i="6"/>
  <c r="AC48" i="6" s="1"/>
  <c r="S57" i="6"/>
  <c r="Q57" i="6"/>
  <c r="AA87" i="6"/>
  <c r="AA92" i="6" s="1"/>
  <c r="W90" i="6"/>
  <c r="W104" i="6"/>
  <c r="AA97" i="6"/>
  <c r="AC97" i="6" s="1"/>
  <c r="AA101" i="6"/>
  <c r="AC101" i="6" s="1"/>
  <c r="AA109" i="6"/>
  <c r="AC109" i="6" s="1"/>
  <c r="W119" i="6"/>
  <c r="AA117" i="6"/>
  <c r="AC117" i="6" s="1"/>
  <c r="AA20" i="6"/>
  <c r="AC20" i="6" s="1"/>
  <c r="AA24" i="6"/>
  <c r="AC24" i="6" s="1"/>
  <c r="AA28" i="6"/>
  <c r="AC28" i="6" s="1"/>
  <c r="G77" i="6"/>
  <c r="W31" i="6"/>
  <c r="AA17" i="6"/>
  <c r="AC17" i="6" s="1"/>
  <c r="I77" i="6"/>
  <c r="I123" i="6" s="1"/>
  <c r="K77" i="6"/>
  <c r="W57" i="6"/>
  <c r="S119" i="6"/>
  <c r="Y50" i="6"/>
  <c r="M77" i="6"/>
  <c r="O121" i="6"/>
  <c r="O123" i="6" s="1"/>
  <c r="Q18" i="6"/>
  <c r="AA21" i="6"/>
  <c r="AC21" i="6" s="1"/>
  <c r="AA25" i="6"/>
  <c r="AC25" i="6" s="1"/>
  <c r="AA29" i="6"/>
  <c r="AC29" i="6" s="1"/>
  <c r="AA37" i="6"/>
  <c r="AA41" i="6"/>
  <c r="AC41" i="6" s="1"/>
  <c r="AA45" i="6"/>
  <c r="AC45" i="6" s="1"/>
  <c r="C77" i="6"/>
  <c r="Y57" i="6"/>
  <c r="AA61" i="6"/>
  <c r="AC61" i="6" s="1"/>
  <c r="AA65" i="6"/>
  <c r="AC65" i="6" s="1"/>
  <c r="AA69" i="6"/>
  <c r="AC69" i="6" s="1"/>
  <c r="AA73" i="6"/>
  <c r="AC73" i="6" s="1"/>
  <c r="Y104" i="6"/>
  <c r="AA98" i="6"/>
  <c r="AC98" i="6" s="1"/>
  <c r="S112" i="6"/>
  <c r="AA118" i="6"/>
  <c r="AC118" i="6" s="1"/>
  <c r="Y31" i="6"/>
  <c r="AA18" i="6"/>
  <c r="AA22" i="6"/>
  <c r="AC22" i="6" s="1"/>
  <c r="AA26" i="6"/>
  <c r="AA30" i="6"/>
  <c r="AC30" i="6" s="1"/>
  <c r="AA34" i="6"/>
  <c r="S50" i="6"/>
  <c r="AA42" i="6"/>
  <c r="AC42" i="6" s="1"/>
  <c r="AA62" i="6"/>
  <c r="AC62" i="6" s="1"/>
  <c r="AA70" i="6"/>
  <c r="AC70" i="6" s="1"/>
  <c r="U104" i="6"/>
  <c r="AA103" i="6"/>
  <c r="AC103" i="6" s="1"/>
  <c r="AA107" i="6"/>
  <c r="AC107" i="6" s="1"/>
  <c r="W112" i="6"/>
  <c r="K121" i="6"/>
  <c r="U31" i="6"/>
  <c r="AA23" i="6"/>
  <c r="AC23" i="6" s="1"/>
  <c r="U50" i="6"/>
  <c r="AA39" i="6"/>
  <c r="AC39" i="6" s="1"/>
  <c r="AA43" i="6"/>
  <c r="AC43" i="6" s="1"/>
  <c r="AA47" i="6"/>
  <c r="AC47" i="6" s="1"/>
  <c r="AA56" i="6"/>
  <c r="AC56" i="6" s="1"/>
  <c r="U74" i="6"/>
  <c r="Y74" i="6"/>
  <c r="AA67" i="6"/>
  <c r="AC67" i="6" s="1"/>
  <c r="AA71" i="6"/>
  <c r="AC71" i="6" s="1"/>
  <c r="S104" i="6"/>
  <c r="AA100" i="6"/>
  <c r="AC100" i="6" s="1"/>
  <c r="AA108" i="6"/>
  <c r="AC108" i="6" s="1"/>
  <c r="U119" i="6"/>
  <c r="AA116" i="6"/>
  <c r="AC116" i="6" s="1"/>
  <c r="G121" i="6"/>
  <c r="G123" i="6" s="1"/>
  <c r="AF20" i="4"/>
  <c r="H56" i="4"/>
  <c r="T87" i="4"/>
  <c r="D48" i="4"/>
  <c r="D150" i="4"/>
  <c r="L189" i="4"/>
  <c r="F209" i="4"/>
  <c r="M50" i="25"/>
  <c r="S63" i="25"/>
  <c r="S61" i="2"/>
  <c r="S30" i="3"/>
  <c r="K61" i="2"/>
  <c r="K63" i="2" s="1"/>
  <c r="K70" i="2" s="1"/>
  <c r="N189" i="4"/>
  <c r="N150" i="4"/>
  <c r="N168" i="4" s="1"/>
  <c r="R193" i="4"/>
  <c r="R194" i="4" s="1"/>
  <c r="K22" i="25"/>
  <c r="K35" i="25"/>
  <c r="L193" i="4"/>
  <c r="L194" i="4" s="1"/>
  <c r="L150" i="4"/>
  <c r="C57" i="2"/>
  <c r="C63" i="2" s="1"/>
  <c r="C70" i="2" s="1"/>
  <c r="Q61" i="2"/>
  <c r="N179" i="4"/>
  <c r="T193" i="4"/>
  <c r="T194" i="4" s="1"/>
  <c r="M22" i="25"/>
  <c r="C50" i="25"/>
  <c r="K55" i="25"/>
  <c r="C58" i="25"/>
  <c r="C45" i="25"/>
  <c r="M51" i="25"/>
  <c r="D79" i="4"/>
  <c r="D89" i="4" s="1"/>
  <c r="D90" i="4" s="1"/>
  <c r="T64" i="4"/>
  <c r="V64" i="4" s="1"/>
  <c r="N87" i="4"/>
  <c r="N89" i="4" s="1"/>
  <c r="AL20" i="4"/>
  <c r="L87" i="4"/>
  <c r="L89" i="4" s="1"/>
  <c r="AD20" i="4"/>
  <c r="R87" i="4"/>
  <c r="R89" i="4" s="1"/>
  <c r="L129" i="4"/>
  <c r="L131" i="4" s="1"/>
  <c r="J156" i="26"/>
  <c r="B416" i="26"/>
  <c r="B34" i="26"/>
  <c r="N166" i="4"/>
  <c r="J67" i="26"/>
  <c r="J139" i="26"/>
  <c r="B454" i="26"/>
  <c r="B462" i="26"/>
  <c r="B479" i="26"/>
  <c r="B482" i="26" s="1"/>
  <c r="B469" i="22"/>
  <c r="B94" i="26"/>
  <c r="J368" i="26"/>
  <c r="J454" i="26"/>
  <c r="B56" i="23"/>
  <c r="J34" i="26"/>
  <c r="J458" i="26"/>
  <c r="A3" i="14"/>
  <c r="A3" i="17"/>
  <c r="A3" i="15"/>
  <c r="A3" i="11"/>
  <c r="A3" i="20"/>
  <c r="A3" i="7"/>
  <c r="A3" i="3"/>
  <c r="A3" i="2"/>
  <c r="A3" i="12"/>
  <c r="A3" i="6"/>
  <c r="L198" i="4"/>
  <c r="L157" i="4"/>
  <c r="L158" i="4" s="1"/>
  <c r="L168" i="4" s="1"/>
  <c r="T198" i="4"/>
  <c r="T157" i="4"/>
  <c r="T158" i="4" s="1"/>
  <c r="F64" i="1"/>
  <c r="AH20" i="4"/>
  <c r="AO18" i="4"/>
  <c r="Z16" i="4"/>
  <c r="AS16" i="4" s="1"/>
  <c r="AT16" i="4" s="1"/>
  <c r="F19" i="1"/>
  <c r="F40" i="4"/>
  <c r="L11" i="1"/>
  <c r="F41" i="4"/>
  <c r="L12" i="1"/>
  <c r="N12" i="1" s="1"/>
  <c r="H42" i="4"/>
  <c r="H43" i="4"/>
  <c r="H44" i="4"/>
  <c r="J45" i="4"/>
  <c r="J46" i="4"/>
  <c r="H61" i="4"/>
  <c r="T61" i="4" s="1"/>
  <c r="H37" i="1"/>
  <c r="L32" i="1"/>
  <c r="H62" i="4"/>
  <c r="J63" i="4"/>
  <c r="L47" i="1"/>
  <c r="N47" i="1" s="1"/>
  <c r="F76" i="4"/>
  <c r="L48" i="1"/>
  <c r="N48" i="1" s="1"/>
  <c r="F77" i="4"/>
  <c r="F95" i="4"/>
  <c r="L55" i="1"/>
  <c r="F57" i="1"/>
  <c r="I10" i="25"/>
  <c r="J138" i="4"/>
  <c r="I45" i="2"/>
  <c r="I22" i="2"/>
  <c r="E11" i="25"/>
  <c r="E49" i="25" s="1"/>
  <c r="C12" i="10"/>
  <c r="F139" i="4"/>
  <c r="E46" i="2"/>
  <c r="U11" i="2"/>
  <c r="U46" i="2" s="1"/>
  <c r="S11" i="25"/>
  <c r="T139" i="4"/>
  <c r="S46" i="2"/>
  <c r="Q12" i="25"/>
  <c r="R140" i="4"/>
  <c r="Q47" i="2"/>
  <c r="I48" i="2"/>
  <c r="I13" i="25"/>
  <c r="J141" i="4"/>
  <c r="E14" i="25"/>
  <c r="E52" i="25" s="1"/>
  <c r="C15" i="10"/>
  <c r="E49" i="2"/>
  <c r="F142" i="4"/>
  <c r="Q15" i="25"/>
  <c r="Q50" i="2"/>
  <c r="R143" i="4"/>
  <c r="I16" i="25"/>
  <c r="I54" i="25" s="1"/>
  <c r="J144" i="4"/>
  <c r="I51" i="2"/>
  <c r="G17" i="25"/>
  <c r="G52" i="2"/>
  <c r="H145" i="4"/>
  <c r="Q18" i="25"/>
  <c r="Q56" i="25" s="1"/>
  <c r="R146" i="4"/>
  <c r="Q53" i="2"/>
  <c r="O19" i="25"/>
  <c r="P147" i="4"/>
  <c r="O54" i="2"/>
  <c r="G20" i="25"/>
  <c r="H148" i="4"/>
  <c r="G55" i="2"/>
  <c r="T149" i="4"/>
  <c r="U21" i="2"/>
  <c r="S21" i="25"/>
  <c r="I25" i="25"/>
  <c r="J172" i="4"/>
  <c r="I32" i="2"/>
  <c r="G26" i="25"/>
  <c r="H173" i="4"/>
  <c r="Q27" i="25"/>
  <c r="R174" i="4"/>
  <c r="O28" i="25"/>
  <c r="P175" i="4"/>
  <c r="H176" i="4"/>
  <c r="G30" i="25"/>
  <c r="T177" i="4"/>
  <c r="S32" i="25"/>
  <c r="U30" i="2"/>
  <c r="O34" i="25"/>
  <c r="O33" i="25"/>
  <c r="P178" i="4"/>
  <c r="I42" i="2"/>
  <c r="I38" i="25"/>
  <c r="J182" i="4"/>
  <c r="F183" i="4"/>
  <c r="E39" i="25"/>
  <c r="Q40" i="25"/>
  <c r="R184" i="4"/>
  <c r="I41" i="25"/>
  <c r="J185" i="4"/>
  <c r="G42" i="25"/>
  <c r="H186" i="4"/>
  <c r="Q43" i="25"/>
  <c r="R187" i="4"/>
  <c r="O44" i="25"/>
  <c r="P188" i="4"/>
  <c r="G69" i="25"/>
  <c r="G70" i="25" s="1"/>
  <c r="G67" i="2"/>
  <c r="H153" i="4"/>
  <c r="H154" i="4" s="1"/>
  <c r="D13" i="13"/>
  <c r="D13" i="11"/>
  <c r="D12" i="12"/>
  <c r="F14" i="13"/>
  <c r="F13" i="12"/>
  <c r="F14" i="11"/>
  <c r="F17" i="13"/>
  <c r="F16" i="12"/>
  <c r="F17" i="11"/>
  <c r="F20" i="13"/>
  <c r="F19" i="12"/>
  <c r="F20" i="11"/>
  <c r="J21" i="14"/>
  <c r="L21" i="14" s="1"/>
  <c r="H21" i="13"/>
  <c r="H20" i="12"/>
  <c r="H21" i="11"/>
  <c r="F23" i="13"/>
  <c r="F22" i="12"/>
  <c r="F23" i="11"/>
  <c r="J24" i="14"/>
  <c r="L24" i="14" s="1"/>
  <c r="H24" i="11"/>
  <c r="H24" i="13"/>
  <c r="H23" i="12"/>
  <c r="D25" i="12"/>
  <c r="D26" i="13"/>
  <c r="D26" i="11"/>
  <c r="H27" i="11"/>
  <c r="J27" i="14"/>
  <c r="L27" i="14" s="1"/>
  <c r="H27" i="13"/>
  <c r="H26" i="12"/>
  <c r="F33" i="13"/>
  <c r="F33" i="11"/>
  <c r="F32" i="12"/>
  <c r="J37" i="14"/>
  <c r="L37" i="14" s="1"/>
  <c r="H37" i="13"/>
  <c r="H36" i="12"/>
  <c r="J36" i="12" s="1"/>
  <c r="L36" i="12" s="1"/>
  <c r="H37" i="11"/>
  <c r="F40" i="13"/>
  <c r="F39" i="12"/>
  <c r="F40" i="11"/>
  <c r="D43" i="13"/>
  <c r="D42" i="12"/>
  <c r="D43" i="11"/>
  <c r="J44" i="14"/>
  <c r="L44" i="14" s="1"/>
  <c r="H44" i="11"/>
  <c r="H43" i="12"/>
  <c r="H44" i="13"/>
  <c r="D45" i="12"/>
  <c r="D46" i="13"/>
  <c r="D46" i="11"/>
  <c r="H46" i="12"/>
  <c r="H47" i="11"/>
  <c r="J47" i="14"/>
  <c r="L47" i="14" s="1"/>
  <c r="H47" i="13"/>
  <c r="F53" i="13"/>
  <c r="F53" i="11"/>
  <c r="F52" i="12"/>
  <c r="J54" i="14"/>
  <c r="L54" i="14" s="1"/>
  <c r="H54" i="11"/>
  <c r="H53" i="12"/>
  <c r="J53" i="12" s="1"/>
  <c r="L53" i="12" s="1"/>
  <c r="H54" i="13"/>
  <c r="D55" i="12"/>
  <c r="D56" i="13"/>
  <c r="D56" i="11"/>
  <c r="H56" i="12"/>
  <c r="H57" i="11"/>
  <c r="J57" i="14"/>
  <c r="L57" i="14" s="1"/>
  <c r="H57" i="13"/>
  <c r="J57" i="13" s="1"/>
  <c r="L57" i="13" s="1"/>
  <c r="F63" i="13"/>
  <c r="F63" i="11"/>
  <c r="F62" i="12"/>
  <c r="H120" i="4" s="1"/>
  <c r="H86" i="4" s="1"/>
  <c r="D70" i="13"/>
  <c r="D70" i="11"/>
  <c r="D69" i="12"/>
  <c r="H71" i="11"/>
  <c r="H71" i="13"/>
  <c r="J71" i="14"/>
  <c r="L71" i="14" s="1"/>
  <c r="H70" i="12"/>
  <c r="H73" i="12"/>
  <c r="H74" i="11"/>
  <c r="J74" i="11" s="1"/>
  <c r="L74" i="11" s="1"/>
  <c r="J74" i="14"/>
  <c r="L74" i="14" s="1"/>
  <c r="H74" i="13"/>
  <c r="D77" i="13"/>
  <c r="D76" i="12"/>
  <c r="D77" i="11"/>
  <c r="D95" i="14"/>
  <c r="D83" i="13"/>
  <c r="D82" i="12"/>
  <c r="D83" i="11"/>
  <c r="D85" i="12"/>
  <c r="D86" i="11"/>
  <c r="D86" i="13"/>
  <c r="J87" i="14"/>
  <c r="L87" i="14" s="1"/>
  <c r="H86" i="12"/>
  <c r="H87" i="13"/>
  <c r="H87" i="11"/>
  <c r="D89" i="13"/>
  <c r="D88" i="12"/>
  <c r="D89" i="11"/>
  <c r="F90" i="13"/>
  <c r="F89" i="12"/>
  <c r="F90" i="11"/>
  <c r="F93" i="13"/>
  <c r="F93" i="11"/>
  <c r="F92" i="12"/>
  <c r="H100" i="11"/>
  <c r="H99" i="12"/>
  <c r="J100" i="14"/>
  <c r="L100" i="14" s="1"/>
  <c r="H100" i="13"/>
  <c r="D103" i="13"/>
  <c r="D102" i="12"/>
  <c r="D103" i="11"/>
  <c r="D105" i="12"/>
  <c r="D106" i="13"/>
  <c r="D106" i="11"/>
  <c r="F107" i="11"/>
  <c r="F106" i="12"/>
  <c r="F107" i="13"/>
  <c r="F110" i="13"/>
  <c r="F109" i="12"/>
  <c r="F110" i="11"/>
  <c r="D118" i="12"/>
  <c r="D133" i="14"/>
  <c r="J121" i="14"/>
  <c r="L121" i="14" s="1"/>
  <c r="H119" i="12"/>
  <c r="D121" i="12"/>
  <c r="H122" i="12"/>
  <c r="J124" i="14"/>
  <c r="L124" i="14" s="1"/>
  <c r="F125" i="12"/>
  <c r="F130" i="12"/>
  <c r="H134" i="12"/>
  <c r="H147" i="14"/>
  <c r="J136" i="14"/>
  <c r="F137" i="12"/>
  <c r="D140" i="12"/>
  <c r="F144" i="12"/>
  <c r="D149" i="12"/>
  <c r="F150" i="12"/>
  <c r="F153" i="12"/>
  <c r="D158" i="12"/>
  <c r="J158" i="12" s="1"/>
  <c r="L158" i="12" s="1"/>
  <c r="J164" i="14"/>
  <c r="H170" i="14"/>
  <c r="H162" i="12"/>
  <c r="D164" i="12"/>
  <c r="H165" i="12"/>
  <c r="J167" i="14"/>
  <c r="L167" i="14" s="1"/>
  <c r="F180" i="14"/>
  <c r="F171" i="12"/>
  <c r="J174" i="14"/>
  <c r="L174" i="14" s="1"/>
  <c r="H172" i="12"/>
  <c r="H175" i="12"/>
  <c r="J177" i="14"/>
  <c r="L177" i="14" s="1"/>
  <c r="J183" i="14"/>
  <c r="H181" i="12"/>
  <c r="H193" i="14"/>
  <c r="F184" i="12"/>
  <c r="D187" i="12"/>
  <c r="J190" i="14"/>
  <c r="L190" i="14" s="1"/>
  <c r="H188" i="12"/>
  <c r="D190" i="12"/>
  <c r="F12" i="15"/>
  <c r="J16" i="16"/>
  <c r="L16" i="16" s="1"/>
  <c r="H16" i="15"/>
  <c r="F20" i="15"/>
  <c r="D23" i="15"/>
  <c r="J23" i="16"/>
  <c r="L23" i="16" s="1"/>
  <c r="H24" i="15"/>
  <c r="F29" i="15"/>
  <c r="F31" i="15"/>
  <c r="F34" i="15"/>
  <c r="J37" i="16"/>
  <c r="L37" i="16" s="1"/>
  <c r="H38" i="15"/>
  <c r="J38" i="15" s="1"/>
  <c r="L38" i="15" s="1"/>
  <c r="D44" i="16"/>
  <c r="D44" i="15"/>
  <c r="D45" i="15" s="1"/>
  <c r="J47" i="16"/>
  <c r="H54" i="16"/>
  <c r="H48" i="15"/>
  <c r="D50" i="15"/>
  <c r="J50" i="16"/>
  <c r="L50" i="16" s="1"/>
  <c r="H51" i="15"/>
  <c r="H54" i="15"/>
  <c r="J53" i="16"/>
  <c r="L53" i="16" s="1"/>
  <c r="J62" i="16"/>
  <c r="H72" i="16"/>
  <c r="H89" i="16" s="1"/>
  <c r="J65" i="16"/>
  <c r="L65" i="16" s="1"/>
  <c r="F13" i="17"/>
  <c r="J15" i="18"/>
  <c r="L15" i="18" s="1"/>
  <c r="D16" i="17"/>
  <c r="J16" i="17" s="1"/>
  <c r="L16" i="17" s="1"/>
  <c r="P16" i="17" s="1"/>
  <c r="F22" i="17"/>
  <c r="H29" i="17"/>
  <c r="H34" i="22"/>
  <c r="H10" i="26"/>
  <c r="H12" i="26"/>
  <c r="H14" i="26"/>
  <c r="H16" i="26"/>
  <c r="L18" i="26"/>
  <c r="R18" i="26" s="1"/>
  <c r="H20" i="26"/>
  <c r="R23" i="22"/>
  <c r="D23" i="26"/>
  <c r="L25" i="26"/>
  <c r="H27" i="26"/>
  <c r="L29" i="26"/>
  <c r="L31" i="26"/>
  <c r="L33" i="26"/>
  <c r="N38" i="26"/>
  <c r="L40" i="26"/>
  <c r="N42" i="26"/>
  <c r="N46" i="26"/>
  <c r="N48" i="26"/>
  <c r="N50" i="26"/>
  <c r="P52" i="26"/>
  <c r="N54" i="26"/>
  <c r="P56" i="26"/>
  <c r="P60" i="26"/>
  <c r="N68" i="26"/>
  <c r="L70" i="26"/>
  <c r="N72" i="26"/>
  <c r="P74" i="26"/>
  <c r="N76" i="26"/>
  <c r="P78" i="26"/>
  <c r="P80" i="26"/>
  <c r="P82" i="26"/>
  <c r="L92" i="22"/>
  <c r="L86" i="26"/>
  <c r="P161" i="4"/>
  <c r="N88" i="26"/>
  <c r="L90" i="26"/>
  <c r="N92" i="26"/>
  <c r="F97" i="26"/>
  <c r="H162" i="4"/>
  <c r="H125" i="4" s="1"/>
  <c r="H99" i="26"/>
  <c r="H101" i="26"/>
  <c r="H116" i="22"/>
  <c r="H103" i="26"/>
  <c r="H105" i="26"/>
  <c r="L107" i="26"/>
  <c r="H109" i="26"/>
  <c r="L111" i="26"/>
  <c r="N113" i="26"/>
  <c r="L115" i="26"/>
  <c r="N117" i="26"/>
  <c r="L137" i="22"/>
  <c r="L119" i="26"/>
  <c r="L121" i="26"/>
  <c r="L123" i="26"/>
  <c r="N125" i="26"/>
  <c r="L127" i="26"/>
  <c r="N129" i="26"/>
  <c r="P131" i="26"/>
  <c r="N133" i="26"/>
  <c r="P135" i="26"/>
  <c r="P137" i="26"/>
  <c r="N141" i="26"/>
  <c r="N154" i="22"/>
  <c r="P143" i="26"/>
  <c r="N145" i="26"/>
  <c r="P147" i="26"/>
  <c r="P151" i="26"/>
  <c r="L157" i="26"/>
  <c r="L172" i="22"/>
  <c r="N159" i="26"/>
  <c r="L161" i="26"/>
  <c r="N163" i="26"/>
  <c r="P165" i="26"/>
  <c r="N167" i="26"/>
  <c r="P169" i="26"/>
  <c r="P171" i="26"/>
  <c r="P173" i="26"/>
  <c r="N190" i="22"/>
  <c r="N175" i="26"/>
  <c r="P177" i="26"/>
  <c r="N179" i="26"/>
  <c r="P181" i="26"/>
  <c r="P185" i="26"/>
  <c r="N193" i="26"/>
  <c r="N200" i="22"/>
  <c r="L195" i="26"/>
  <c r="N197" i="26"/>
  <c r="P199" i="26"/>
  <c r="N201" i="26"/>
  <c r="R201" i="26" s="1"/>
  <c r="F203" i="26"/>
  <c r="F217" i="22"/>
  <c r="D205" i="26"/>
  <c r="R203" i="22"/>
  <c r="F207" i="26"/>
  <c r="H209" i="26"/>
  <c r="F211" i="26"/>
  <c r="H213" i="26"/>
  <c r="H215" i="26"/>
  <c r="H217" i="26"/>
  <c r="N224" i="26"/>
  <c r="N231" i="22"/>
  <c r="N226" i="26"/>
  <c r="P228" i="26"/>
  <c r="N230" i="26"/>
  <c r="P233" i="26"/>
  <c r="P266" i="22"/>
  <c r="P235" i="26"/>
  <c r="P237" i="26"/>
  <c r="H240" i="26"/>
  <c r="R240" i="26" s="1"/>
  <c r="F242" i="26"/>
  <c r="H244" i="26"/>
  <c r="L246" i="26"/>
  <c r="H248" i="26"/>
  <c r="L250" i="26"/>
  <c r="L252" i="26"/>
  <c r="L254" i="26"/>
  <c r="L256" i="26"/>
  <c r="N258" i="26"/>
  <c r="L260" i="26"/>
  <c r="N262" i="26"/>
  <c r="P264" i="26"/>
  <c r="N266" i="26"/>
  <c r="F268" i="26"/>
  <c r="F275" i="22"/>
  <c r="D270" i="26"/>
  <c r="R269" i="22"/>
  <c r="F272" i="26"/>
  <c r="H274" i="26"/>
  <c r="P277" i="26"/>
  <c r="P340" i="22"/>
  <c r="N279" i="26"/>
  <c r="P281" i="26"/>
  <c r="P285" i="26"/>
  <c r="R285" i="26" s="1"/>
  <c r="D296" i="26"/>
  <c r="R295" i="22"/>
  <c r="D300" i="26"/>
  <c r="R299" i="22"/>
  <c r="F302" i="26"/>
  <c r="D304" i="26"/>
  <c r="R303" i="22"/>
  <c r="F306" i="26"/>
  <c r="F308" i="26"/>
  <c r="F310" i="26"/>
  <c r="F312" i="26"/>
  <c r="H314" i="26"/>
  <c r="F316" i="26"/>
  <c r="H318" i="26"/>
  <c r="L320" i="26"/>
  <c r="H322" i="26"/>
  <c r="L324" i="26"/>
  <c r="L326" i="26"/>
  <c r="L328" i="26"/>
  <c r="L330" i="26"/>
  <c r="N332" i="26"/>
  <c r="L334" i="26"/>
  <c r="N336" i="26"/>
  <c r="P338" i="26"/>
  <c r="N340" i="26"/>
  <c r="F351" i="22"/>
  <c r="F342" i="26"/>
  <c r="D344" i="26"/>
  <c r="R343" i="22"/>
  <c r="F346" i="26"/>
  <c r="H348" i="26"/>
  <c r="F350" i="26"/>
  <c r="F354" i="26"/>
  <c r="F356" i="26"/>
  <c r="F358" i="26"/>
  <c r="H360" i="26"/>
  <c r="F362" i="26"/>
  <c r="H364" i="26"/>
  <c r="L366" i="26"/>
  <c r="D370" i="26"/>
  <c r="R369" i="22"/>
  <c r="D405" i="22"/>
  <c r="D372" i="26"/>
  <c r="R371" i="22"/>
  <c r="D374" i="26"/>
  <c r="R373" i="22"/>
  <c r="F376" i="26"/>
  <c r="D378" i="26"/>
  <c r="R377" i="22"/>
  <c r="F380" i="26"/>
  <c r="H382" i="26"/>
  <c r="F384" i="26"/>
  <c r="H386" i="26"/>
  <c r="H388" i="26"/>
  <c r="H390" i="26"/>
  <c r="H392" i="26"/>
  <c r="L394" i="26"/>
  <c r="H396" i="26"/>
  <c r="L398" i="26"/>
  <c r="N400" i="26"/>
  <c r="L402" i="26"/>
  <c r="N404" i="26"/>
  <c r="F408" i="26"/>
  <c r="H410" i="26"/>
  <c r="F412" i="26"/>
  <c r="H414" i="26"/>
  <c r="F418" i="26"/>
  <c r="H420" i="26"/>
  <c r="H422" i="26"/>
  <c r="H424" i="26"/>
  <c r="H426" i="26"/>
  <c r="L428" i="26"/>
  <c r="H430" i="26"/>
  <c r="L432" i="26"/>
  <c r="N434" i="26"/>
  <c r="H436" i="26"/>
  <c r="L442" i="26"/>
  <c r="L444" i="26"/>
  <c r="L446" i="26"/>
  <c r="N448" i="26"/>
  <c r="L450" i="26"/>
  <c r="N452" i="26"/>
  <c r="N453" i="22"/>
  <c r="H456" i="26"/>
  <c r="H457" i="22"/>
  <c r="L475" i="26"/>
  <c r="P165" i="4"/>
  <c r="P128" i="4" s="1"/>
  <c r="N477" i="26"/>
  <c r="N23" i="23"/>
  <c r="R26" i="23"/>
  <c r="N29" i="15" s="1"/>
  <c r="D45" i="26"/>
  <c r="R28" i="23"/>
  <c r="R30" i="23"/>
  <c r="N31" i="15" s="1"/>
  <c r="R34" i="23"/>
  <c r="N35" i="15" s="1"/>
  <c r="R38" i="23"/>
  <c r="N39" i="15" s="1"/>
  <c r="P53" i="23"/>
  <c r="H40" i="4"/>
  <c r="H19" i="1"/>
  <c r="J41" i="4"/>
  <c r="J42" i="4"/>
  <c r="J43" i="4"/>
  <c r="J37" i="1"/>
  <c r="J61" i="4"/>
  <c r="L43" i="1"/>
  <c r="N43" i="1" s="1"/>
  <c r="F72" i="4"/>
  <c r="L44" i="1"/>
  <c r="N44" i="1" s="1"/>
  <c r="F73" i="4"/>
  <c r="L45" i="1"/>
  <c r="N45" i="1" s="1"/>
  <c r="F74" i="4"/>
  <c r="H75" i="4"/>
  <c r="H76" i="4"/>
  <c r="H77" i="4"/>
  <c r="H95" i="4"/>
  <c r="H97" i="4" s="1"/>
  <c r="H99" i="4" s="1"/>
  <c r="H57" i="1"/>
  <c r="O10" i="25"/>
  <c r="O22" i="2"/>
  <c r="P138" i="4"/>
  <c r="O45" i="2"/>
  <c r="G11" i="25"/>
  <c r="G49" i="25" s="1"/>
  <c r="G46" i="2"/>
  <c r="H139" i="4"/>
  <c r="E12" i="25"/>
  <c r="C13" i="10"/>
  <c r="U13" i="10" s="1"/>
  <c r="W13" i="10" s="1"/>
  <c r="E47" i="2"/>
  <c r="F140" i="4"/>
  <c r="S12" i="25"/>
  <c r="S47" i="2"/>
  <c r="U12" i="2"/>
  <c r="T140" i="4"/>
  <c r="O13" i="25"/>
  <c r="P141" i="4"/>
  <c r="O48" i="2"/>
  <c r="I14" i="25"/>
  <c r="I52" i="25" s="1"/>
  <c r="J142" i="4"/>
  <c r="I49" i="2"/>
  <c r="E15" i="25"/>
  <c r="F143" i="4"/>
  <c r="C16" i="10"/>
  <c r="U16" i="10" s="1"/>
  <c r="W16" i="10" s="1"/>
  <c r="E50" i="2"/>
  <c r="U15" i="2"/>
  <c r="T143" i="4"/>
  <c r="S15" i="25"/>
  <c r="S50" i="2"/>
  <c r="Q16" i="25"/>
  <c r="Q54" i="25" s="1"/>
  <c r="R144" i="4"/>
  <c r="Q51" i="2"/>
  <c r="I52" i="2"/>
  <c r="I17" i="25"/>
  <c r="J145" i="4"/>
  <c r="E18" i="25"/>
  <c r="E56" i="25" s="1"/>
  <c r="C19" i="10"/>
  <c r="E53" i="2"/>
  <c r="F146" i="4"/>
  <c r="Q19" i="25"/>
  <c r="Q54" i="2"/>
  <c r="R147" i="4"/>
  <c r="I20" i="25"/>
  <c r="J148" i="4"/>
  <c r="I55" i="2"/>
  <c r="G21" i="25"/>
  <c r="H149" i="4"/>
  <c r="Q25" i="25"/>
  <c r="R172" i="4"/>
  <c r="Q32" i="2"/>
  <c r="I26" i="25"/>
  <c r="J173" i="4"/>
  <c r="E27" i="25"/>
  <c r="F174" i="4"/>
  <c r="Q28" i="25"/>
  <c r="R175" i="4"/>
  <c r="I30" i="25"/>
  <c r="J176" i="4"/>
  <c r="G32" i="25"/>
  <c r="H177" i="4"/>
  <c r="Q33" i="25"/>
  <c r="R178" i="4"/>
  <c r="Q34" i="25"/>
  <c r="O38" i="25"/>
  <c r="P182" i="4"/>
  <c r="O42" i="2"/>
  <c r="I39" i="25"/>
  <c r="J183" i="4"/>
  <c r="E40" i="25"/>
  <c r="F184" i="4"/>
  <c r="S40" i="25"/>
  <c r="U37" i="2"/>
  <c r="T184" i="4"/>
  <c r="Q41" i="25"/>
  <c r="R185" i="4"/>
  <c r="J186" i="4"/>
  <c r="I42" i="25"/>
  <c r="E43" i="25"/>
  <c r="F187" i="4"/>
  <c r="Q44" i="25"/>
  <c r="R188" i="4"/>
  <c r="I69" i="25"/>
  <c r="I70" i="25" s="1"/>
  <c r="I67" i="2"/>
  <c r="J153" i="4"/>
  <c r="J154" i="4" s="1"/>
  <c r="F13" i="13"/>
  <c r="F13" i="11"/>
  <c r="F12" i="12"/>
  <c r="F16" i="13"/>
  <c r="F15" i="12"/>
  <c r="F16" i="11"/>
  <c r="J17" i="14"/>
  <c r="L17" i="14" s="1"/>
  <c r="H17" i="13"/>
  <c r="H16" i="12"/>
  <c r="H17" i="11"/>
  <c r="D18" i="12"/>
  <c r="D19" i="11"/>
  <c r="D19" i="13"/>
  <c r="H20" i="13"/>
  <c r="J20" i="14"/>
  <c r="L20" i="14" s="1"/>
  <c r="H20" i="11"/>
  <c r="H19" i="12"/>
  <c r="H23" i="11"/>
  <c r="J23" i="14"/>
  <c r="L23" i="14" s="1"/>
  <c r="H23" i="13"/>
  <c r="H22" i="12"/>
  <c r="D25" i="13"/>
  <c r="D25" i="11"/>
  <c r="D24" i="12"/>
  <c r="H26" i="11"/>
  <c r="J26" i="14"/>
  <c r="L26" i="14" s="1"/>
  <c r="H25" i="12"/>
  <c r="H26" i="13"/>
  <c r="F32" i="13"/>
  <c r="F31" i="12"/>
  <c r="F32" i="11"/>
  <c r="J33" i="14"/>
  <c r="L33" i="14" s="1"/>
  <c r="H33" i="13"/>
  <c r="H32" i="12"/>
  <c r="H33" i="11"/>
  <c r="H36" i="11"/>
  <c r="J36" i="14"/>
  <c r="L36" i="14" s="1"/>
  <c r="H35" i="12"/>
  <c r="H36" i="13"/>
  <c r="D39" i="13"/>
  <c r="D38" i="12"/>
  <c r="D39" i="11"/>
  <c r="D42" i="13"/>
  <c r="D41" i="12"/>
  <c r="D42" i="11"/>
  <c r="J43" i="14"/>
  <c r="L43" i="14" s="1"/>
  <c r="H43" i="13"/>
  <c r="H42" i="12"/>
  <c r="H43" i="11"/>
  <c r="D45" i="13"/>
  <c r="D45" i="11"/>
  <c r="D44" i="12"/>
  <c r="F46" i="13"/>
  <c r="F45" i="12"/>
  <c r="F46" i="11"/>
  <c r="D52" i="13"/>
  <c r="D51" i="12"/>
  <c r="D52" i="11"/>
  <c r="J53" i="14"/>
  <c r="L53" i="14" s="1"/>
  <c r="H53" i="13"/>
  <c r="H52" i="12"/>
  <c r="H53" i="11"/>
  <c r="D55" i="11"/>
  <c r="D54" i="12"/>
  <c r="H56" i="11"/>
  <c r="H55" i="12"/>
  <c r="J56" i="14"/>
  <c r="L56" i="14" s="1"/>
  <c r="H56" i="13"/>
  <c r="F62" i="13"/>
  <c r="F61" i="12"/>
  <c r="F62" i="11"/>
  <c r="F66" i="14"/>
  <c r="J63" i="14"/>
  <c r="L63" i="14" s="1"/>
  <c r="H62" i="12"/>
  <c r="H63" i="13"/>
  <c r="H63" i="11"/>
  <c r="D69" i="13"/>
  <c r="D80" i="14"/>
  <c r="D68" i="12"/>
  <c r="D69" i="11"/>
  <c r="H69" i="12"/>
  <c r="H70" i="11"/>
  <c r="J70" i="14"/>
  <c r="L70" i="14" s="1"/>
  <c r="H70" i="13"/>
  <c r="F73" i="13"/>
  <c r="F73" i="11"/>
  <c r="F72" i="12"/>
  <c r="D76" i="11"/>
  <c r="D76" i="13"/>
  <c r="D75" i="12"/>
  <c r="D85" i="13"/>
  <c r="D84" i="12"/>
  <c r="D85" i="11"/>
  <c r="F86" i="13"/>
  <c r="F85" i="12"/>
  <c r="F86" i="11"/>
  <c r="F89" i="13"/>
  <c r="F89" i="11"/>
  <c r="F88" i="12"/>
  <c r="F92" i="13"/>
  <c r="F91" i="12"/>
  <c r="F92" i="11"/>
  <c r="J93" i="14"/>
  <c r="L93" i="14" s="1"/>
  <c r="H93" i="11"/>
  <c r="H93" i="13"/>
  <c r="H92" i="12"/>
  <c r="F99" i="11"/>
  <c r="F98" i="12"/>
  <c r="F99" i="13"/>
  <c r="D102" i="13"/>
  <c r="D101" i="12"/>
  <c r="D102" i="11"/>
  <c r="F105" i="12"/>
  <c r="F106" i="11"/>
  <c r="F106" i="13"/>
  <c r="F109" i="13"/>
  <c r="F108" i="12"/>
  <c r="F109" i="11"/>
  <c r="J110" i="14"/>
  <c r="L110" i="14" s="1"/>
  <c r="H110" i="13"/>
  <c r="H109" i="12"/>
  <c r="H110" i="11"/>
  <c r="H133" i="14"/>
  <c r="J120" i="14"/>
  <c r="H118" i="12"/>
  <c r="D120" i="12"/>
  <c r="F121" i="12"/>
  <c r="F124" i="12"/>
  <c r="D129" i="12"/>
  <c r="H130" i="12"/>
  <c r="J132" i="14"/>
  <c r="L132" i="14" s="1"/>
  <c r="F136" i="12"/>
  <c r="J142" i="14"/>
  <c r="L142" i="14" s="1"/>
  <c r="H140" i="12"/>
  <c r="F143" i="12"/>
  <c r="F149" i="12"/>
  <c r="J155" i="14"/>
  <c r="L155" i="14" s="1"/>
  <c r="H153" i="12"/>
  <c r="D163" i="12"/>
  <c r="F164" i="12"/>
  <c r="F167" i="12"/>
  <c r="H171" i="12"/>
  <c r="J173" i="14"/>
  <c r="H180" i="14"/>
  <c r="J176" i="14"/>
  <c r="L176" i="14" s="1"/>
  <c r="H174" i="12"/>
  <c r="D177" i="12"/>
  <c r="D183" i="12"/>
  <c r="D186" i="12"/>
  <c r="J189" i="14"/>
  <c r="L189" i="14" s="1"/>
  <c r="H187" i="12"/>
  <c r="D189" i="12"/>
  <c r="F190" i="12"/>
  <c r="F11" i="15"/>
  <c r="F24" i="16"/>
  <c r="J12" i="16"/>
  <c r="L12" i="16" s="1"/>
  <c r="H12" i="15"/>
  <c r="H15" i="15"/>
  <c r="J15" i="16"/>
  <c r="L15" i="16" s="1"/>
  <c r="D19" i="15"/>
  <c r="D22" i="15"/>
  <c r="J22" i="16"/>
  <c r="L22" i="16" s="1"/>
  <c r="H23" i="15"/>
  <c r="D28" i="15"/>
  <c r="D40" i="16"/>
  <c r="H29" i="15"/>
  <c r="J28" i="16"/>
  <c r="L28" i="16" s="1"/>
  <c r="F33" i="15"/>
  <c r="J33" i="16"/>
  <c r="L33" i="16" s="1"/>
  <c r="H34" i="15"/>
  <c r="D36" i="15"/>
  <c r="J36" i="16"/>
  <c r="L36" i="16" s="1"/>
  <c r="J39" i="16"/>
  <c r="L39" i="16" s="1"/>
  <c r="H40" i="15"/>
  <c r="F44" i="15"/>
  <c r="F45" i="15" s="1"/>
  <c r="F44" i="16"/>
  <c r="D49" i="15"/>
  <c r="J49" i="16"/>
  <c r="L49" i="16" s="1"/>
  <c r="H50" i="15"/>
  <c r="F53" i="15"/>
  <c r="J71" i="16"/>
  <c r="L71" i="16" s="1"/>
  <c r="F86" i="16"/>
  <c r="H14" i="17"/>
  <c r="D17" i="17"/>
  <c r="J16" i="18"/>
  <c r="L16" i="18" s="1"/>
  <c r="H22" i="17"/>
  <c r="P164" i="4"/>
  <c r="P127" i="4" s="1"/>
  <c r="L10" i="26"/>
  <c r="L34" i="22"/>
  <c r="N12" i="26"/>
  <c r="N14" i="26"/>
  <c r="N16" i="26"/>
  <c r="N18" i="26"/>
  <c r="R21" i="22"/>
  <c r="D21" i="26"/>
  <c r="F23" i="26"/>
  <c r="N25" i="26"/>
  <c r="P27" i="26"/>
  <c r="N29" i="26"/>
  <c r="P31" i="26"/>
  <c r="P33" i="26"/>
  <c r="F37" i="26"/>
  <c r="H39" i="26"/>
  <c r="F41" i="26"/>
  <c r="H43" i="26"/>
  <c r="H65" i="22"/>
  <c r="H81" i="22" s="1"/>
  <c r="L47" i="26"/>
  <c r="H49" i="26"/>
  <c r="L51" i="26"/>
  <c r="L53" i="26"/>
  <c r="L55" i="26"/>
  <c r="L57" i="26"/>
  <c r="N59" i="26"/>
  <c r="L61" i="26"/>
  <c r="N63" i="26"/>
  <c r="P65" i="26"/>
  <c r="P68" i="26"/>
  <c r="P72" i="26"/>
  <c r="D77" i="26"/>
  <c r="R75" i="22"/>
  <c r="D81" i="26"/>
  <c r="R79" i="22"/>
  <c r="P86" i="26"/>
  <c r="P92" i="22"/>
  <c r="T161" i="4"/>
  <c r="P88" i="26"/>
  <c r="P92" i="26"/>
  <c r="R98" i="22"/>
  <c r="D100" i="26"/>
  <c r="F102" i="26"/>
  <c r="D104" i="26"/>
  <c r="R102" i="22"/>
  <c r="F106" i="26"/>
  <c r="F108" i="26"/>
  <c r="F110" i="26"/>
  <c r="F112" i="26"/>
  <c r="H114" i="26"/>
  <c r="F116" i="26"/>
  <c r="H120" i="26"/>
  <c r="F122" i="26"/>
  <c r="H124" i="26"/>
  <c r="H126" i="26"/>
  <c r="R126" i="26" s="1"/>
  <c r="H128" i="26"/>
  <c r="H130" i="26"/>
  <c r="L132" i="26"/>
  <c r="H134" i="26"/>
  <c r="L136" i="26"/>
  <c r="N138" i="26"/>
  <c r="H140" i="26"/>
  <c r="L142" i="26"/>
  <c r="L144" i="26"/>
  <c r="L146" i="26"/>
  <c r="L148" i="26"/>
  <c r="N150" i="26"/>
  <c r="L152" i="26"/>
  <c r="N154" i="26"/>
  <c r="H158" i="26"/>
  <c r="H160" i="26"/>
  <c r="H162" i="26"/>
  <c r="H164" i="26"/>
  <c r="L166" i="26"/>
  <c r="H168" i="26"/>
  <c r="L170" i="26"/>
  <c r="N172" i="26"/>
  <c r="L176" i="26"/>
  <c r="L178" i="26"/>
  <c r="R178" i="26" s="1"/>
  <c r="L180" i="26"/>
  <c r="L182" i="26"/>
  <c r="N184" i="26"/>
  <c r="L186" i="26"/>
  <c r="N188" i="26"/>
  <c r="P190" i="26"/>
  <c r="P200" i="22"/>
  <c r="P193" i="26"/>
  <c r="P197" i="26"/>
  <c r="H203" i="26"/>
  <c r="H217" i="22"/>
  <c r="L205" i="26"/>
  <c r="H207" i="26"/>
  <c r="L209" i="26"/>
  <c r="N211" i="26"/>
  <c r="L213" i="26"/>
  <c r="N215" i="26"/>
  <c r="N217" i="26"/>
  <c r="N234" i="26"/>
  <c r="L236" i="26"/>
  <c r="D239" i="26"/>
  <c r="R238" i="22"/>
  <c r="D241" i="26"/>
  <c r="R240" i="22"/>
  <c r="D243" i="26"/>
  <c r="R242" i="22"/>
  <c r="R244" i="22"/>
  <c r="D245" i="26"/>
  <c r="F247" i="26"/>
  <c r="D249" i="26"/>
  <c r="R248" i="22"/>
  <c r="F251" i="26"/>
  <c r="H253" i="26"/>
  <c r="F255" i="26"/>
  <c r="H257" i="26"/>
  <c r="H259" i="26"/>
  <c r="H261" i="26"/>
  <c r="H263" i="26"/>
  <c r="L265" i="26"/>
  <c r="D275" i="26"/>
  <c r="R274" i="22"/>
  <c r="D280" i="26"/>
  <c r="R279" i="22"/>
  <c r="D284" i="26"/>
  <c r="R283" i="22"/>
  <c r="R284" i="26" s="1"/>
  <c r="F286" i="26"/>
  <c r="D288" i="26"/>
  <c r="R287" i="22"/>
  <c r="F290" i="26"/>
  <c r="F292" i="26"/>
  <c r="F294" i="26"/>
  <c r="F296" i="26"/>
  <c r="H298" i="26"/>
  <c r="F300" i="26"/>
  <c r="H302" i="26"/>
  <c r="L304" i="26"/>
  <c r="H306" i="26"/>
  <c r="L308" i="26"/>
  <c r="L310" i="26"/>
  <c r="L312" i="26"/>
  <c r="L314" i="26"/>
  <c r="N316" i="26"/>
  <c r="L318" i="26"/>
  <c r="N320" i="26"/>
  <c r="P322" i="26"/>
  <c r="N324" i="26"/>
  <c r="P326" i="26"/>
  <c r="P328" i="26"/>
  <c r="P330" i="26"/>
  <c r="P332" i="26"/>
  <c r="P336" i="26"/>
  <c r="H342" i="26"/>
  <c r="H351" i="22"/>
  <c r="L344" i="26"/>
  <c r="H346" i="26"/>
  <c r="L348" i="26"/>
  <c r="N350" i="26"/>
  <c r="L354" i="26"/>
  <c r="L356" i="26"/>
  <c r="L358" i="26"/>
  <c r="L360" i="26"/>
  <c r="N362" i="26"/>
  <c r="L364" i="26"/>
  <c r="N366" i="26"/>
  <c r="H370" i="26"/>
  <c r="H405" i="22"/>
  <c r="H372" i="26"/>
  <c r="H374" i="26"/>
  <c r="R374" i="26" s="1"/>
  <c r="H376" i="26"/>
  <c r="L378" i="26"/>
  <c r="H380" i="26"/>
  <c r="L382" i="26"/>
  <c r="N384" i="26"/>
  <c r="L386" i="26"/>
  <c r="N388" i="26"/>
  <c r="N390" i="26"/>
  <c r="R390" i="26" s="1"/>
  <c r="N392" i="26"/>
  <c r="N394" i="26"/>
  <c r="P396" i="26"/>
  <c r="N398" i="26"/>
  <c r="P400" i="26"/>
  <c r="P404" i="26"/>
  <c r="L408" i="26"/>
  <c r="L410" i="26"/>
  <c r="N412" i="26"/>
  <c r="L414" i="26"/>
  <c r="N418" i="26"/>
  <c r="L420" i="26"/>
  <c r="N422" i="26"/>
  <c r="N424" i="26"/>
  <c r="N426" i="26"/>
  <c r="N428" i="26"/>
  <c r="P430" i="26"/>
  <c r="N432" i="26"/>
  <c r="P434" i="26"/>
  <c r="P436" i="26"/>
  <c r="P442" i="26"/>
  <c r="P444" i="26"/>
  <c r="P446" i="26"/>
  <c r="P448" i="26"/>
  <c r="P452" i="26"/>
  <c r="P453" i="22"/>
  <c r="L456" i="26"/>
  <c r="L457" i="22"/>
  <c r="H460" i="26"/>
  <c r="H461" i="22"/>
  <c r="N463" i="26"/>
  <c r="P465" i="26"/>
  <c r="F474" i="26"/>
  <c r="F478" i="22"/>
  <c r="F481" i="22" s="1"/>
  <c r="F476" i="26"/>
  <c r="H478" i="26"/>
  <c r="H45" i="26"/>
  <c r="R48" i="23"/>
  <c r="N52" i="15" s="1"/>
  <c r="R52" i="23"/>
  <c r="N56" i="15" s="1"/>
  <c r="F22" i="24"/>
  <c r="H71" i="4"/>
  <c r="H50" i="1"/>
  <c r="H72" i="4"/>
  <c r="H73" i="4"/>
  <c r="J74" i="4"/>
  <c r="J75" i="4"/>
  <c r="J76" i="4"/>
  <c r="Q10" i="25"/>
  <c r="R138" i="4"/>
  <c r="Q45" i="2"/>
  <c r="Q22" i="2"/>
  <c r="O11" i="25"/>
  <c r="O49" i="25" s="1"/>
  <c r="P139" i="4"/>
  <c r="O46" i="2"/>
  <c r="G12" i="25"/>
  <c r="H140" i="4"/>
  <c r="G47" i="2"/>
  <c r="U13" i="2"/>
  <c r="T141" i="4"/>
  <c r="S48" i="2"/>
  <c r="S13" i="25"/>
  <c r="O14" i="25"/>
  <c r="O52" i="25" s="1"/>
  <c r="P142" i="4"/>
  <c r="O49" i="2"/>
  <c r="G15" i="25"/>
  <c r="G50" i="2"/>
  <c r="H143" i="4"/>
  <c r="E16" i="25"/>
  <c r="E54" i="25" s="1"/>
  <c r="E51" i="2"/>
  <c r="C17" i="10"/>
  <c r="F144" i="4"/>
  <c r="U16" i="2"/>
  <c r="U51" i="2" s="1"/>
  <c r="S51" i="2"/>
  <c r="S16" i="25"/>
  <c r="T144" i="4"/>
  <c r="O17" i="25"/>
  <c r="P145" i="4"/>
  <c r="O52" i="2"/>
  <c r="I18" i="25"/>
  <c r="I56" i="25" s="1"/>
  <c r="J146" i="4"/>
  <c r="I53" i="2"/>
  <c r="E19" i="25"/>
  <c r="F147" i="4"/>
  <c r="C20" i="10"/>
  <c r="U20" i="10" s="1"/>
  <c r="W20" i="10" s="1"/>
  <c r="E54" i="2"/>
  <c r="U19" i="2"/>
  <c r="S19" i="25"/>
  <c r="T147" i="4"/>
  <c r="S54" i="2"/>
  <c r="Q20" i="25"/>
  <c r="Q58" i="25" s="1"/>
  <c r="R148" i="4"/>
  <c r="Q55" i="2"/>
  <c r="I21" i="25"/>
  <c r="J149" i="4"/>
  <c r="E25" i="25"/>
  <c r="F172" i="4"/>
  <c r="E32" i="2"/>
  <c r="U25" i="2"/>
  <c r="T172" i="4"/>
  <c r="S32" i="2"/>
  <c r="S25" i="25"/>
  <c r="O26" i="25"/>
  <c r="P173" i="4"/>
  <c r="I27" i="25"/>
  <c r="J174" i="4"/>
  <c r="E28" i="25"/>
  <c r="F175" i="4"/>
  <c r="T175" i="4"/>
  <c r="U28" i="2"/>
  <c r="S28" i="25"/>
  <c r="Q30" i="25"/>
  <c r="R176" i="4"/>
  <c r="I32" i="25"/>
  <c r="J177" i="4"/>
  <c r="E34" i="25"/>
  <c r="F178" i="4"/>
  <c r="S38" i="25"/>
  <c r="T182" i="4"/>
  <c r="U35" i="2"/>
  <c r="S42" i="2"/>
  <c r="P183" i="4"/>
  <c r="O39" i="25"/>
  <c r="G40" i="25"/>
  <c r="H184" i="4"/>
  <c r="E41" i="25"/>
  <c r="F185" i="4"/>
  <c r="S41" i="25"/>
  <c r="T185" i="4"/>
  <c r="U38" i="2"/>
  <c r="O42" i="25"/>
  <c r="P186" i="4"/>
  <c r="I43" i="25"/>
  <c r="J187" i="4"/>
  <c r="E44" i="25"/>
  <c r="F188" i="4"/>
  <c r="S44" i="25"/>
  <c r="U41" i="2"/>
  <c r="T188" i="4"/>
  <c r="O69" i="25"/>
  <c r="O70" i="25" s="1"/>
  <c r="O67" i="2"/>
  <c r="P153" i="4"/>
  <c r="P154" i="4" s="1"/>
  <c r="F12" i="13"/>
  <c r="F11" i="12"/>
  <c r="F12" i="11"/>
  <c r="D14" i="12"/>
  <c r="D15" i="11"/>
  <c r="D15" i="13"/>
  <c r="J16" i="14"/>
  <c r="L16" i="14" s="1"/>
  <c r="H16" i="13"/>
  <c r="H15" i="12"/>
  <c r="H16" i="11"/>
  <c r="D18" i="11"/>
  <c r="D18" i="13"/>
  <c r="D17" i="12"/>
  <c r="H19" i="13"/>
  <c r="J19" i="14"/>
  <c r="L19" i="14" s="1"/>
  <c r="H18" i="12"/>
  <c r="H19" i="11"/>
  <c r="D24" i="13"/>
  <c r="D23" i="12"/>
  <c r="D24" i="11"/>
  <c r="F25" i="13"/>
  <c r="F24" i="12"/>
  <c r="F25" i="11"/>
  <c r="D31" i="13"/>
  <c r="D31" i="11"/>
  <c r="D48" i="14"/>
  <c r="D30" i="12"/>
  <c r="H32" i="11"/>
  <c r="J32" i="14"/>
  <c r="L32" i="14" s="1"/>
  <c r="H32" i="13"/>
  <c r="H31" i="12"/>
  <c r="J35" i="14"/>
  <c r="L35" i="14" s="1"/>
  <c r="H35" i="13"/>
  <c r="H34" i="12"/>
  <c r="H35" i="11"/>
  <c r="D37" i="12"/>
  <c r="D38" i="13"/>
  <c r="D38" i="11"/>
  <c r="D41" i="13"/>
  <c r="D41" i="11"/>
  <c r="D40" i="12"/>
  <c r="F42" i="13"/>
  <c r="F41" i="12"/>
  <c r="F42" i="11"/>
  <c r="F45" i="13"/>
  <c r="F45" i="11"/>
  <c r="F44" i="12"/>
  <c r="D51" i="13"/>
  <c r="D51" i="11"/>
  <c r="D59" i="14"/>
  <c r="D50" i="12"/>
  <c r="J52" i="14"/>
  <c r="L52" i="14" s="1"/>
  <c r="H52" i="11"/>
  <c r="H52" i="13"/>
  <c r="H51" i="12"/>
  <c r="D53" i="12"/>
  <c r="D54" i="13"/>
  <c r="D54" i="11"/>
  <c r="F55" i="13"/>
  <c r="F55" i="11"/>
  <c r="F54" i="12"/>
  <c r="F58" i="13"/>
  <c r="F57" i="12"/>
  <c r="F58" i="11"/>
  <c r="H62" i="11"/>
  <c r="J62" i="14"/>
  <c r="H62" i="13"/>
  <c r="H61" i="12"/>
  <c r="H66" i="14"/>
  <c r="J65" i="14"/>
  <c r="L65" i="14" s="1"/>
  <c r="H65" i="11"/>
  <c r="H64" i="12"/>
  <c r="H65" i="13"/>
  <c r="F69" i="13"/>
  <c r="F69" i="11"/>
  <c r="F80" i="14"/>
  <c r="F68" i="12"/>
  <c r="F72" i="13"/>
  <c r="F71" i="12"/>
  <c r="F72" i="11"/>
  <c r="J76" i="14"/>
  <c r="L76" i="14" s="1"/>
  <c r="H76" i="11"/>
  <c r="H76" i="13"/>
  <c r="H75" i="12"/>
  <c r="F79" i="13"/>
  <c r="F79" i="11"/>
  <c r="F78" i="12"/>
  <c r="F85" i="13"/>
  <c r="F85" i="11"/>
  <c r="F84" i="12"/>
  <c r="F88" i="13"/>
  <c r="F87" i="12"/>
  <c r="F88" i="11"/>
  <c r="J89" i="14"/>
  <c r="L89" i="14" s="1"/>
  <c r="H89" i="11"/>
  <c r="J89" i="11" s="1"/>
  <c r="L89" i="11" s="1"/>
  <c r="H89" i="13"/>
  <c r="J89" i="13" s="1"/>
  <c r="L89" i="13" s="1"/>
  <c r="H88" i="12"/>
  <c r="J88" i="12" s="1"/>
  <c r="L88" i="12" s="1"/>
  <c r="D91" i="13"/>
  <c r="D90" i="12"/>
  <c r="D91" i="11"/>
  <c r="H91" i="12"/>
  <c r="H92" i="11"/>
  <c r="J92" i="14"/>
  <c r="L92" i="14" s="1"/>
  <c r="H92" i="13"/>
  <c r="F97" i="12"/>
  <c r="F98" i="11"/>
  <c r="F112" i="14"/>
  <c r="F98" i="13"/>
  <c r="J102" i="14"/>
  <c r="L102" i="14" s="1"/>
  <c r="H102" i="11"/>
  <c r="H101" i="12"/>
  <c r="H102" i="13"/>
  <c r="F105" i="11"/>
  <c r="F104" i="12"/>
  <c r="F105" i="13"/>
  <c r="D107" i="12"/>
  <c r="D108" i="11"/>
  <c r="D108" i="13"/>
  <c r="H109" i="11"/>
  <c r="J109" i="14"/>
  <c r="L109" i="14" s="1"/>
  <c r="H109" i="13"/>
  <c r="H108" i="12"/>
  <c r="D111" i="11"/>
  <c r="D110" i="12"/>
  <c r="D111" i="13"/>
  <c r="F120" i="12"/>
  <c r="F123" i="12"/>
  <c r="J126" i="14"/>
  <c r="L126" i="14" s="1"/>
  <c r="H124" i="12"/>
  <c r="J129" i="14"/>
  <c r="L129" i="14" s="1"/>
  <c r="H127" i="12"/>
  <c r="J131" i="14"/>
  <c r="L131" i="14" s="1"/>
  <c r="H129" i="12"/>
  <c r="F135" i="12"/>
  <c r="J138" i="14"/>
  <c r="L138" i="14" s="1"/>
  <c r="H136" i="12"/>
  <c r="J141" i="14"/>
  <c r="L141" i="14" s="1"/>
  <c r="H139" i="12"/>
  <c r="D142" i="12"/>
  <c r="F156" i="14"/>
  <c r="F148" i="12"/>
  <c r="D151" i="12"/>
  <c r="J151" i="12" s="1"/>
  <c r="L151" i="12" s="1"/>
  <c r="D55" i="13"/>
  <c r="J154" i="14"/>
  <c r="L154" i="14" s="1"/>
  <c r="F161" i="14"/>
  <c r="F157" i="12"/>
  <c r="F159" i="12" s="1"/>
  <c r="J160" i="14"/>
  <c r="L160" i="14" s="1"/>
  <c r="F163" i="12"/>
  <c r="F166" i="12"/>
  <c r="J169" i="14"/>
  <c r="L169" i="14" s="1"/>
  <c r="H167" i="12"/>
  <c r="F173" i="12"/>
  <c r="D176" i="12"/>
  <c r="D182" i="12"/>
  <c r="D185" i="12"/>
  <c r="F186" i="12"/>
  <c r="F189" i="12"/>
  <c r="H24" i="16"/>
  <c r="J11" i="16"/>
  <c r="H11" i="15"/>
  <c r="H14" i="15"/>
  <c r="J14" i="16"/>
  <c r="L14" i="16" s="1"/>
  <c r="D18" i="15"/>
  <c r="D21" i="15"/>
  <c r="F22" i="15"/>
  <c r="J27" i="16"/>
  <c r="H28" i="15"/>
  <c r="H40" i="16"/>
  <c r="D32" i="15"/>
  <c r="J32" i="16"/>
  <c r="L32" i="16" s="1"/>
  <c r="H33" i="15"/>
  <c r="D35" i="15"/>
  <c r="J35" i="16"/>
  <c r="L35" i="16" s="1"/>
  <c r="H36" i="15"/>
  <c r="F39" i="15"/>
  <c r="D48" i="15"/>
  <c r="D54" i="16"/>
  <c r="F49" i="15"/>
  <c r="F52" i="15"/>
  <c r="J67" i="16"/>
  <c r="L67" i="16" s="1"/>
  <c r="J70" i="16"/>
  <c r="L70" i="16" s="1"/>
  <c r="J76" i="16"/>
  <c r="L76" i="16" s="1"/>
  <c r="D51" i="15"/>
  <c r="J27" i="18"/>
  <c r="D28" i="17"/>
  <c r="D30" i="18"/>
  <c r="F39" i="18"/>
  <c r="F42" i="18" s="1"/>
  <c r="F11" i="26"/>
  <c r="H13" i="26"/>
  <c r="L15" i="26"/>
  <c r="H17" i="26"/>
  <c r="L19" i="26"/>
  <c r="P21" i="26"/>
  <c r="D24" i="26"/>
  <c r="R24" i="22"/>
  <c r="H26" i="26"/>
  <c r="L28" i="26"/>
  <c r="H30" i="26"/>
  <c r="L32" i="26"/>
  <c r="L37" i="26"/>
  <c r="L39" i="26"/>
  <c r="N41" i="26"/>
  <c r="L65" i="22"/>
  <c r="L81" i="22" s="1"/>
  <c r="L43" i="26"/>
  <c r="N47" i="26"/>
  <c r="P49" i="26"/>
  <c r="N51" i="26"/>
  <c r="P53" i="26"/>
  <c r="P55" i="26"/>
  <c r="P57" i="26"/>
  <c r="P59" i="26"/>
  <c r="P63" i="26"/>
  <c r="N69" i="26"/>
  <c r="N71" i="26"/>
  <c r="N73" i="26"/>
  <c r="N75" i="26"/>
  <c r="P77" i="26"/>
  <c r="N79" i="26"/>
  <c r="P81" i="26"/>
  <c r="R81" i="26" s="1"/>
  <c r="L87" i="26"/>
  <c r="N89" i="26"/>
  <c r="N91" i="26"/>
  <c r="N93" i="26"/>
  <c r="H98" i="26"/>
  <c r="F100" i="26"/>
  <c r="H102" i="26"/>
  <c r="L104" i="26"/>
  <c r="H106" i="26"/>
  <c r="L108" i="26"/>
  <c r="L110" i="26"/>
  <c r="L112" i="26"/>
  <c r="L114" i="26"/>
  <c r="N116" i="26"/>
  <c r="L120" i="26"/>
  <c r="N122" i="26"/>
  <c r="L124" i="26"/>
  <c r="N126" i="26"/>
  <c r="N128" i="26"/>
  <c r="N130" i="26"/>
  <c r="N132" i="26"/>
  <c r="P134" i="26"/>
  <c r="N136" i="26"/>
  <c r="P138" i="26"/>
  <c r="R138" i="26" s="1"/>
  <c r="P140" i="26"/>
  <c r="N142" i="26"/>
  <c r="P144" i="26"/>
  <c r="P146" i="26"/>
  <c r="P148" i="26"/>
  <c r="P150" i="26"/>
  <c r="P154" i="26"/>
  <c r="L158" i="26"/>
  <c r="N160" i="26"/>
  <c r="N162" i="26"/>
  <c r="N164" i="26"/>
  <c r="N166" i="26"/>
  <c r="R166" i="26" s="1"/>
  <c r="P168" i="26"/>
  <c r="N170" i="26"/>
  <c r="P172" i="26"/>
  <c r="N176" i="26"/>
  <c r="P178" i="26"/>
  <c r="P180" i="26"/>
  <c r="P182" i="26"/>
  <c r="P184" i="26"/>
  <c r="P188" i="26"/>
  <c r="N194" i="26"/>
  <c r="N196" i="26"/>
  <c r="N198" i="26"/>
  <c r="N200" i="26"/>
  <c r="F204" i="26"/>
  <c r="F206" i="26"/>
  <c r="F208" i="26"/>
  <c r="F210" i="26"/>
  <c r="H212" i="26"/>
  <c r="F214" i="26"/>
  <c r="H216" i="26"/>
  <c r="L218" i="26"/>
  <c r="D220" i="26"/>
  <c r="R218" i="22"/>
  <c r="P225" i="26"/>
  <c r="N227" i="26"/>
  <c r="P229" i="26"/>
  <c r="N231" i="26"/>
  <c r="P234" i="26"/>
  <c r="F239" i="26"/>
  <c r="H241" i="26"/>
  <c r="H243" i="26"/>
  <c r="H245" i="26"/>
  <c r="H247" i="26"/>
  <c r="L249" i="26"/>
  <c r="H251" i="26"/>
  <c r="L253" i="26"/>
  <c r="N255" i="26"/>
  <c r="L257" i="26"/>
  <c r="N259" i="26"/>
  <c r="N261" i="26"/>
  <c r="R261" i="26" s="1"/>
  <c r="N263" i="26"/>
  <c r="N265" i="26"/>
  <c r="F269" i="26"/>
  <c r="F271" i="26"/>
  <c r="F273" i="26"/>
  <c r="F275" i="26"/>
  <c r="P278" i="26"/>
  <c r="P280" i="26"/>
  <c r="P282" i="26"/>
  <c r="P284" i="26"/>
  <c r="P288" i="26"/>
  <c r="D293" i="26"/>
  <c r="R292" i="22"/>
  <c r="D297" i="26"/>
  <c r="R296" i="22"/>
  <c r="D299" i="26"/>
  <c r="R298" i="22"/>
  <c r="D301" i="26"/>
  <c r="R300" i="22"/>
  <c r="D303" i="26"/>
  <c r="R303" i="26" s="1"/>
  <c r="R302" i="22"/>
  <c r="F305" i="26"/>
  <c r="D307" i="26"/>
  <c r="R306" i="22"/>
  <c r="F309" i="26"/>
  <c r="H311" i="26"/>
  <c r="F313" i="26"/>
  <c r="H315" i="26"/>
  <c r="H317" i="26"/>
  <c r="H319" i="26"/>
  <c r="H321" i="26"/>
  <c r="L323" i="26"/>
  <c r="H325" i="26"/>
  <c r="L327" i="26"/>
  <c r="N329" i="26"/>
  <c r="L331" i="26"/>
  <c r="N333" i="26"/>
  <c r="N335" i="26"/>
  <c r="N337" i="26"/>
  <c r="N339" i="26"/>
  <c r="F343" i="26"/>
  <c r="F345" i="26"/>
  <c r="F347" i="26"/>
  <c r="F349" i="26"/>
  <c r="R349" i="26" s="1"/>
  <c r="H351" i="26"/>
  <c r="D353" i="26"/>
  <c r="D367" i="22"/>
  <c r="R352" i="22"/>
  <c r="F355" i="26"/>
  <c r="H357" i="26"/>
  <c r="F359" i="26"/>
  <c r="H361" i="26"/>
  <c r="H363" i="26"/>
  <c r="H365" i="26"/>
  <c r="H367" i="26"/>
  <c r="R370" i="22"/>
  <c r="D371" i="26"/>
  <c r="F373" i="26"/>
  <c r="R374" i="22"/>
  <c r="D375" i="26"/>
  <c r="F377" i="26"/>
  <c r="F379" i="26"/>
  <c r="F381" i="26"/>
  <c r="F383" i="26"/>
  <c r="R383" i="26" s="1"/>
  <c r="H385" i="26"/>
  <c r="F387" i="26"/>
  <c r="H389" i="26"/>
  <c r="L391" i="26"/>
  <c r="H393" i="26"/>
  <c r="L395" i="26"/>
  <c r="L397" i="26"/>
  <c r="L399" i="26"/>
  <c r="L401" i="26"/>
  <c r="N403" i="26"/>
  <c r="L405" i="26"/>
  <c r="H407" i="26"/>
  <c r="H415" i="22"/>
  <c r="F409" i="26"/>
  <c r="H411" i="26"/>
  <c r="H413" i="26"/>
  <c r="H415" i="26"/>
  <c r="F417" i="26"/>
  <c r="F434" i="22"/>
  <c r="H419" i="26"/>
  <c r="F421" i="26"/>
  <c r="H423" i="26"/>
  <c r="L425" i="26"/>
  <c r="H427" i="26"/>
  <c r="L429" i="26"/>
  <c r="L431" i="26"/>
  <c r="L433" i="26"/>
  <c r="L437" i="26"/>
  <c r="H441" i="26"/>
  <c r="J163" i="4"/>
  <c r="J126" i="4" s="1"/>
  <c r="L443" i="26"/>
  <c r="N445" i="26"/>
  <c r="L447" i="26"/>
  <c r="N449" i="26"/>
  <c r="N451" i="26"/>
  <c r="N453" i="26"/>
  <c r="H455" i="26"/>
  <c r="F457" i="26"/>
  <c r="D459" i="26"/>
  <c r="R458" i="22"/>
  <c r="D461" i="26"/>
  <c r="R460" i="22"/>
  <c r="D464" i="26"/>
  <c r="R463" i="22"/>
  <c r="L474" i="26"/>
  <c r="L478" i="22"/>
  <c r="L481" i="22" s="1"/>
  <c r="L476" i="26"/>
  <c r="L478" i="26"/>
  <c r="R22" i="23"/>
  <c r="N24" i="15" s="1"/>
  <c r="F44" i="26"/>
  <c r="F29" i="23"/>
  <c r="F40" i="23" s="1"/>
  <c r="R31" i="23"/>
  <c r="N32" i="15" s="1"/>
  <c r="R33" i="23"/>
  <c r="N34" i="15" s="1"/>
  <c r="R35" i="23"/>
  <c r="N36" i="15" s="1"/>
  <c r="R37" i="23"/>
  <c r="N38" i="15" s="1"/>
  <c r="H22" i="24"/>
  <c r="D28" i="24"/>
  <c r="R25" i="24"/>
  <c r="L14" i="1"/>
  <c r="N14" i="1" s="1"/>
  <c r="F43" i="4"/>
  <c r="F44" i="4"/>
  <c r="L15" i="1"/>
  <c r="N15" i="1" s="1"/>
  <c r="F45" i="4"/>
  <c r="L16" i="1"/>
  <c r="N16" i="1" s="1"/>
  <c r="H46" i="4"/>
  <c r="F62" i="4"/>
  <c r="F37" i="1"/>
  <c r="L33" i="1"/>
  <c r="N33" i="1" s="1"/>
  <c r="F63" i="4"/>
  <c r="L34" i="1"/>
  <c r="N34" i="1" s="1"/>
  <c r="J50" i="1"/>
  <c r="J71" i="4"/>
  <c r="J72" i="4"/>
  <c r="E10" i="25"/>
  <c r="E45" i="2"/>
  <c r="E22" i="2"/>
  <c r="C11" i="10"/>
  <c r="F138" i="4"/>
  <c r="Q11" i="25"/>
  <c r="Q49" i="25" s="1"/>
  <c r="Q46" i="2"/>
  <c r="R139" i="4"/>
  <c r="I12" i="25"/>
  <c r="I50" i="25" s="1"/>
  <c r="J140" i="4"/>
  <c r="I47" i="2"/>
  <c r="G13" i="25"/>
  <c r="G48" i="2"/>
  <c r="H141" i="4"/>
  <c r="Q14" i="25"/>
  <c r="Q52" i="25" s="1"/>
  <c r="R142" i="4"/>
  <c r="Q49" i="2"/>
  <c r="O15" i="25"/>
  <c r="P143" i="4"/>
  <c r="O50" i="2"/>
  <c r="G16" i="25"/>
  <c r="G54" i="25" s="1"/>
  <c r="H144" i="4"/>
  <c r="G51" i="2"/>
  <c r="S17" i="25"/>
  <c r="T145" i="4"/>
  <c r="S52" i="2"/>
  <c r="U17" i="2"/>
  <c r="O18" i="25"/>
  <c r="O56" i="25" s="1"/>
  <c r="P146" i="4"/>
  <c r="O53" i="2"/>
  <c r="G19" i="25"/>
  <c r="G54" i="2"/>
  <c r="H147" i="4"/>
  <c r="E20" i="25"/>
  <c r="E58" i="25" s="1"/>
  <c r="E55" i="2"/>
  <c r="C21" i="10"/>
  <c r="F148" i="4"/>
  <c r="S20" i="25"/>
  <c r="S55" i="2"/>
  <c r="T148" i="4"/>
  <c r="U20" i="2"/>
  <c r="U55" i="2" s="1"/>
  <c r="O21" i="25"/>
  <c r="P149" i="4"/>
  <c r="G25" i="25"/>
  <c r="H172" i="4"/>
  <c r="G32" i="2"/>
  <c r="T173" i="4"/>
  <c r="S26" i="25"/>
  <c r="U26" i="2"/>
  <c r="O27" i="25"/>
  <c r="P174" i="4"/>
  <c r="G28" i="25"/>
  <c r="H175" i="4"/>
  <c r="F176" i="4"/>
  <c r="E30" i="25"/>
  <c r="S30" i="25"/>
  <c r="T176" i="4"/>
  <c r="U29" i="2"/>
  <c r="O32" i="25"/>
  <c r="P177" i="4"/>
  <c r="I34" i="25"/>
  <c r="I33" i="25"/>
  <c r="J178" i="4"/>
  <c r="G38" i="25"/>
  <c r="H182" i="4"/>
  <c r="G42" i="2"/>
  <c r="Q39" i="25"/>
  <c r="R183" i="4"/>
  <c r="O40" i="25"/>
  <c r="P184" i="4"/>
  <c r="G41" i="25"/>
  <c r="H185" i="4"/>
  <c r="S42" i="25"/>
  <c r="T186" i="4"/>
  <c r="U39" i="2"/>
  <c r="O43" i="25"/>
  <c r="P187" i="4"/>
  <c r="G44" i="25"/>
  <c r="H188" i="4"/>
  <c r="S69" i="25"/>
  <c r="T153" i="4"/>
  <c r="T154" i="4" s="1"/>
  <c r="S67" i="2"/>
  <c r="U66" i="2"/>
  <c r="U67" i="2" s="1"/>
  <c r="D10" i="12"/>
  <c r="D11" i="11"/>
  <c r="D28" i="14"/>
  <c r="D11" i="13"/>
  <c r="D14" i="13"/>
  <c r="D13" i="12"/>
  <c r="D14" i="11"/>
  <c r="J15" i="14"/>
  <c r="L15" i="14" s="1"/>
  <c r="H15" i="13"/>
  <c r="H15" i="11"/>
  <c r="H14" i="12"/>
  <c r="J14" i="12" s="1"/>
  <c r="L14" i="12" s="1"/>
  <c r="D17" i="13"/>
  <c r="D16" i="12"/>
  <c r="D17" i="11"/>
  <c r="F18" i="13"/>
  <c r="F17" i="12"/>
  <c r="F18" i="11"/>
  <c r="F21" i="13"/>
  <c r="F21" i="11"/>
  <c r="F20" i="12"/>
  <c r="F24" i="13"/>
  <c r="F23" i="12"/>
  <c r="F24" i="11"/>
  <c r="F27" i="13"/>
  <c r="F26" i="12"/>
  <c r="F27" i="11"/>
  <c r="H31" i="11"/>
  <c r="H48" i="14"/>
  <c r="H30" i="12"/>
  <c r="H31" i="13"/>
  <c r="J31" i="14"/>
  <c r="F34" i="13"/>
  <c r="F33" i="12"/>
  <c r="F34" i="11"/>
  <c r="D37" i="13"/>
  <c r="D37" i="11"/>
  <c r="D36" i="12"/>
  <c r="F41" i="13"/>
  <c r="F41" i="11"/>
  <c r="F40" i="12"/>
  <c r="F44" i="13"/>
  <c r="F43" i="12"/>
  <c r="F44" i="11"/>
  <c r="J45" i="14"/>
  <c r="L45" i="14" s="1"/>
  <c r="H45" i="13"/>
  <c r="H44" i="12"/>
  <c r="H45" i="11"/>
  <c r="J45" i="11" s="1"/>
  <c r="L45" i="11" s="1"/>
  <c r="D47" i="13"/>
  <c r="D46" i="12"/>
  <c r="D47" i="11"/>
  <c r="F59" i="14"/>
  <c r="F51" i="13"/>
  <c r="F51" i="11"/>
  <c r="F50" i="12"/>
  <c r="F54" i="13"/>
  <c r="F53" i="12"/>
  <c r="F54" i="11"/>
  <c r="F57" i="13"/>
  <c r="F57" i="11"/>
  <c r="F56" i="12"/>
  <c r="J58" i="14"/>
  <c r="L58" i="14" s="1"/>
  <c r="H58" i="11"/>
  <c r="H58" i="13"/>
  <c r="H57" i="12"/>
  <c r="F64" i="13"/>
  <c r="F63" i="12"/>
  <c r="F64" i="11"/>
  <c r="F71" i="13"/>
  <c r="F71" i="11"/>
  <c r="F70" i="12"/>
  <c r="J72" i="14"/>
  <c r="L72" i="14" s="1"/>
  <c r="H72" i="11"/>
  <c r="H72" i="13"/>
  <c r="H71" i="12"/>
  <c r="H75" i="11"/>
  <c r="H74" i="12"/>
  <c r="J75" i="14"/>
  <c r="L75" i="14" s="1"/>
  <c r="H75" i="13"/>
  <c r="D78" i="13"/>
  <c r="D78" i="11"/>
  <c r="D77" i="12"/>
  <c r="F84" i="13"/>
  <c r="F83" i="12"/>
  <c r="F84" i="11"/>
  <c r="D87" i="13"/>
  <c r="D86" i="12"/>
  <c r="D87" i="11"/>
  <c r="J88" i="14"/>
  <c r="L88" i="14" s="1"/>
  <c r="H87" i="12"/>
  <c r="H88" i="11"/>
  <c r="H88" i="13"/>
  <c r="J88" i="13" s="1"/>
  <c r="L88" i="13" s="1"/>
  <c r="D89" i="12"/>
  <c r="D90" i="11"/>
  <c r="D90" i="13"/>
  <c r="H90" i="12"/>
  <c r="J90" i="12" s="1"/>
  <c r="L90" i="12" s="1"/>
  <c r="H91" i="13"/>
  <c r="H91" i="11"/>
  <c r="J91" i="14"/>
  <c r="L91" i="14" s="1"/>
  <c r="F94" i="13"/>
  <c r="F93" i="12"/>
  <c r="F94" i="11"/>
  <c r="J98" i="14"/>
  <c r="H98" i="11"/>
  <c r="H112" i="14"/>
  <c r="H98" i="13"/>
  <c r="H97" i="12"/>
  <c r="H101" i="13"/>
  <c r="J101" i="14"/>
  <c r="L101" i="14" s="1"/>
  <c r="H100" i="12"/>
  <c r="H101" i="11"/>
  <c r="D103" i="12"/>
  <c r="D104" i="13"/>
  <c r="D104" i="11"/>
  <c r="D107" i="13"/>
  <c r="D106" i="12"/>
  <c r="D107" i="11"/>
  <c r="J108" i="14"/>
  <c r="L108" i="14" s="1"/>
  <c r="H108" i="11"/>
  <c r="H107" i="12"/>
  <c r="J107" i="12" s="1"/>
  <c r="L107" i="12" s="1"/>
  <c r="H108" i="13"/>
  <c r="D109" i="12"/>
  <c r="D110" i="13"/>
  <c r="D110" i="11"/>
  <c r="F111" i="13"/>
  <c r="F111" i="11"/>
  <c r="F110" i="12"/>
  <c r="F119" i="12"/>
  <c r="J122" i="14"/>
  <c r="L122" i="14" s="1"/>
  <c r="H120" i="12"/>
  <c r="D122" i="12"/>
  <c r="H123" i="12"/>
  <c r="J123" i="12" s="1"/>
  <c r="L123" i="12" s="1"/>
  <c r="J125" i="14"/>
  <c r="L125" i="14" s="1"/>
  <c r="H126" i="12"/>
  <c r="J128" i="14"/>
  <c r="L128" i="14" s="1"/>
  <c r="D147" i="14"/>
  <c r="D134" i="12"/>
  <c r="H135" i="12"/>
  <c r="J137" i="14"/>
  <c r="L137" i="14" s="1"/>
  <c r="H138" i="12"/>
  <c r="J140" i="14"/>
  <c r="L140" i="14" s="1"/>
  <c r="D144" i="12"/>
  <c r="D150" i="12"/>
  <c r="J153" i="14"/>
  <c r="L153" i="14" s="1"/>
  <c r="H55" i="13"/>
  <c r="D153" i="12"/>
  <c r="J159" i="14"/>
  <c r="H161" i="14"/>
  <c r="H157" i="12"/>
  <c r="F170" i="14"/>
  <c r="F162" i="12"/>
  <c r="J165" i="14"/>
  <c r="L165" i="14" s="1"/>
  <c r="H163" i="12"/>
  <c r="J163" i="12" s="1"/>
  <c r="L163" i="12" s="1"/>
  <c r="D165" i="12"/>
  <c r="H166" i="12"/>
  <c r="J168" i="14"/>
  <c r="L168" i="14" s="1"/>
  <c r="F172" i="12"/>
  <c r="J178" i="14"/>
  <c r="L178" i="14" s="1"/>
  <c r="H176" i="12"/>
  <c r="D193" i="14"/>
  <c r="D181" i="12"/>
  <c r="F185" i="12"/>
  <c r="F188" i="12"/>
  <c r="J191" i="14"/>
  <c r="L191" i="14" s="1"/>
  <c r="H189" i="12"/>
  <c r="J189" i="12" s="1"/>
  <c r="L189" i="12" s="1"/>
  <c r="F13" i="15"/>
  <c r="D16" i="15"/>
  <c r="F21" i="15"/>
  <c r="F24" i="15"/>
  <c r="D31" i="15"/>
  <c r="J31" i="16"/>
  <c r="L31" i="16" s="1"/>
  <c r="H32" i="15"/>
  <c r="J32" i="15" s="1"/>
  <c r="L32" i="15" s="1"/>
  <c r="P32" i="15" s="1"/>
  <c r="D34" i="15"/>
  <c r="F35" i="15"/>
  <c r="F38" i="15"/>
  <c r="F48" i="15"/>
  <c r="F54" i="16"/>
  <c r="F51" i="15"/>
  <c r="J51" i="16"/>
  <c r="L51" i="16" s="1"/>
  <c r="H52" i="15"/>
  <c r="J52" i="15" s="1"/>
  <c r="L52" i="15" s="1"/>
  <c r="P52" i="15" s="1"/>
  <c r="F72" i="16"/>
  <c r="J63" i="16"/>
  <c r="L63" i="16" s="1"/>
  <c r="J66" i="16"/>
  <c r="L66" i="16" s="1"/>
  <c r="J69" i="16"/>
  <c r="L69" i="16" s="1"/>
  <c r="H80" i="16"/>
  <c r="J75" i="16"/>
  <c r="F21" i="17"/>
  <c r="J23" i="18"/>
  <c r="L23" i="18" s="1"/>
  <c r="D24" i="17"/>
  <c r="F30" i="18"/>
  <c r="F28" i="17"/>
  <c r="N11" i="26"/>
  <c r="L13" i="26"/>
  <c r="N15" i="26"/>
  <c r="P17" i="26"/>
  <c r="N19" i="26"/>
  <c r="D22" i="26"/>
  <c r="R22" i="22"/>
  <c r="H24" i="26"/>
  <c r="N26" i="26"/>
  <c r="N28" i="26"/>
  <c r="R28" i="26" s="1"/>
  <c r="P30" i="26"/>
  <c r="N32" i="26"/>
  <c r="F38" i="26"/>
  <c r="H40" i="26"/>
  <c r="H42" i="26"/>
  <c r="H46" i="26"/>
  <c r="H48" i="26"/>
  <c r="L50" i="26"/>
  <c r="H52" i="26"/>
  <c r="L54" i="26"/>
  <c r="N56" i="26"/>
  <c r="L58" i="26"/>
  <c r="N60" i="26"/>
  <c r="N62" i="26"/>
  <c r="N64" i="26"/>
  <c r="N66" i="26"/>
  <c r="R66" i="26" s="1"/>
  <c r="P69" i="26"/>
  <c r="R78" i="22"/>
  <c r="D80" i="26"/>
  <c r="P89" i="26"/>
  <c r="D97" i="26"/>
  <c r="F162" i="4"/>
  <c r="F125" i="4" s="1"/>
  <c r="R95" i="22"/>
  <c r="D99" i="26"/>
  <c r="R97" i="22"/>
  <c r="D101" i="26"/>
  <c r="D116" i="22"/>
  <c r="R99" i="22"/>
  <c r="D103" i="26"/>
  <c r="R101" i="22"/>
  <c r="F105" i="26"/>
  <c r="R105" i="22"/>
  <c r="D107" i="26"/>
  <c r="F109" i="26"/>
  <c r="H111" i="26"/>
  <c r="F113" i="26"/>
  <c r="H115" i="26"/>
  <c r="H117" i="26"/>
  <c r="F119" i="26"/>
  <c r="F137" i="22"/>
  <c r="F121" i="26"/>
  <c r="H123" i="26"/>
  <c r="F125" i="26"/>
  <c r="H127" i="26"/>
  <c r="L129" i="26"/>
  <c r="H131" i="26"/>
  <c r="L133" i="26"/>
  <c r="L135" i="26"/>
  <c r="L137" i="26"/>
  <c r="L141" i="26"/>
  <c r="L154" i="22"/>
  <c r="H143" i="26"/>
  <c r="L145" i="26"/>
  <c r="N147" i="26"/>
  <c r="L149" i="26"/>
  <c r="N151" i="26"/>
  <c r="R151" i="26" s="1"/>
  <c r="N153" i="26"/>
  <c r="N155" i="26"/>
  <c r="H172" i="22"/>
  <c r="H157" i="26"/>
  <c r="F159" i="26"/>
  <c r="H161" i="26"/>
  <c r="L163" i="26"/>
  <c r="H165" i="26"/>
  <c r="L167" i="26"/>
  <c r="L169" i="26"/>
  <c r="L171" i="26"/>
  <c r="L173" i="26"/>
  <c r="L175" i="26"/>
  <c r="L190" i="22"/>
  <c r="H177" i="26"/>
  <c r="L179" i="26"/>
  <c r="N181" i="26"/>
  <c r="L183" i="26"/>
  <c r="N185" i="26"/>
  <c r="N187" i="26"/>
  <c r="N189" i="26"/>
  <c r="N191" i="26"/>
  <c r="P194" i="26"/>
  <c r="H204" i="26"/>
  <c r="R204" i="26" s="1"/>
  <c r="L206" i="26"/>
  <c r="L208" i="26"/>
  <c r="L210" i="26"/>
  <c r="L212" i="26"/>
  <c r="N214" i="26"/>
  <c r="L216" i="26"/>
  <c r="N218" i="26"/>
  <c r="H220" i="26"/>
  <c r="D228" i="26"/>
  <c r="R226" i="22"/>
  <c r="L233" i="26"/>
  <c r="L266" i="22"/>
  <c r="L235" i="26"/>
  <c r="N237" i="26"/>
  <c r="R241" i="22"/>
  <c r="D242" i="26"/>
  <c r="F244" i="26"/>
  <c r="D246" i="26"/>
  <c r="R245" i="22"/>
  <c r="F248" i="26"/>
  <c r="F250" i="26"/>
  <c r="F252" i="26"/>
  <c r="F254" i="26"/>
  <c r="H256" i="26"/>
  <c r="F258" i="26"/>
  <c r="H260" i="26"/>
  <c r="L262" i="26"/>
  <c r="H264" i="26"/>
  <c r="L266" i="26"/>
  <c r="D272" i="26"/>
  <c r="R271" i="22"/>
  <c r="D277" i="26"/>
  <c r="D340" i="22"/>
  <c r="R276" i="22"/>
  <c r="D281" i="26"/>
  <c r="R280" i="22"/>
  <c r="D283" i="26"/>
  <c r="R282" i="22"/>
  <c r="D285" i="26"/>
  <c r="R284" i="22"/>
  <c r="D287" i="26"/>
  <c r="R286" i="22"/>
  <c r="F289" i="26"/>
  <c r="D291" i="26"/>
  <c r="R290" i="22"/>
  <c r="F293" i="26"/>
  <c r="H295" i="26"/>
  <c r="F297" i="26"/>
  <c r="R297" i="26" s="1"/>
  <c r="H299" i="26"/>
  <c r="H301" i="26"/>
  <c r="H303" i="26"/>
  <c r="H305" i="26"/>
  <c r="R305" i="26" s="1"/>
  <c r="L307" i="26"/>
  <c r="H309" i="26"/>
  <c r="L311" i="26"/>
  <c r="N313" i="26"/>
  <c r="L315" i="26"/>
  <c r="N317" i="26"/>
  <c r="N319" i="26"/>
  <c r="N321" i="26"/>
  <c r="N323" i="26"/>
  <c r="P325" i="26"/>
  <c r="N327" i="26"/>
  <c r="P329" i="26"/>
  <c r="P333" i="26"/>
  <c r="H343" i="26"/>
  <c r="L345" i="26"/>
  <c r="L347" i="26"/>
  <c r="L349" i="26"/>
  <c r="L351" i="26"/>
  <c r="L367" i="22"/>
  <c r="L353" i="26"/>
  <c r="H355" i="26"/>
  <c r="L357" i="26"/>
  <c r="N359" i="26"/>
  <c r="L361" i="26"/>
  <c r="N363" i="26"/>
  <c r="N365" i="26"/>
  <c r="N367" i="26"/>
  <c r="H369" i="26"/>
  <c r="F371" i="26"/>
  <c r="H373" i="26"/>
  <c r="L375" i="26"/>
  <c r="H377" i="26"/>
  <c r="R377" i="26" s="1"/>
  <c r="L379" i="26"/>
  <c r="L381" i="26"/>
  <c r="L383" i="26"/>
  <c r="L385" i="26"/>
  <c r="N387" i="26"/>
  <c r="L389" i="26"/>
  <c r="N391" i="26"/>
  <c r="P393" i="26"/>
  <c r="N395" i="26"/>
  <c r="P397" i="26"/>
  <c r="P399" i="26"/>
  <c r="P401" i="26"/>
  <c r="P403" i="26"/>
  <c r="L407" i="26"/>
  <c r="L415" i="22"/>
  <c r="N409" i="26"/>
  <c r="R409" i="26" s="1"/>
  <c r="L411" i="26"/>
  <c r="N413" i="26"/>
  <c r="N415" i="26"/>
  <c r="L417" i="26"/>
  <c r="L434" i="22"/>
  <c r="L419" i="26"/>
  <c r="N421" i="26"/>
  <c r="L423" i="26"/>
  <c r="N425" i="26"/>
  <c r="P427" i="26"/>
  <c r="N429" i="26"/>
  <c r="P431" i="26"/>
  <c r="P433" i="26"/>
  <c r="N437" i="26"/>
  <c r="P441" i="26"/>
  <c r="T163" i="4"/>
  <c r="T126" i="4" s="1"/>
  <c r="N443" i="26"/>
  <c r="P445" i="26"/>
  <c r="P449" i="26"/>
  <c r="L455" i="26"/>
  <c r="N457" i="26"/>
  <c r="F459" i="26"/>
  <c r="H461" i="26"/>
  <c r="P464" i="26"/>
  <c r="N466" i="26"/>
  <c r="H475" i="26"/>
  <c r="J165" i="4"/>
  <c r="J128" i="4" s="1"/>
  <c r="F477" i="26"/>
  <c r="L23" i="23"/>
  <c r="H29" i="23"/>
  <c r="H40" i="23" s="1"/>
  <c r="H44" i="26"/>
  <c r="D53" i="23"/>
  <c r="R45" i="23"/>
  <c r="R49" i="23"/>
  <c r="N53" i="15" s="1"/>
  <c r="R51" i="23"/>
  <c r="N55" i="15" s="1"/>
  <c r="P55" i="15" s="1"/>
  <c r="R11" i="24"/>
  <c r="N14" i="17" s="1"/>
  <c r="P28" i="24"/>
  <c r="D141" i="12"/>
  <c r="D37" i="15"/>
  <c r="J82" i="16"/>
  <c r="H86" i="16"/>
  <c r="J83" i="16"/>
  <c r="L83" i="16" s="1"/>
  <c r="F12" i="17"/>
  <c r="F24" i="18"/>
  <c r="H16" i="17"/>
  <c r="J19" i="18"/>
  <c r="L19" i="18" s="1"/>
  <c r="D20" i="17"/>
  <c r="H21" i="17"/>
  <c r="D23" i="17"/>
  <c r="J22" i="18"/>
  <c r="L22" i="18" s="1"/>
  <c r="H24" i="17"/>
  <c r="F30" i="17"/>
  <c r="P11" i="26"/>
  <c r="P12" i="26"/>
  <c r="P15" i="26"/>
  <c r="R20" i="22"/>
  <c r="D20" i="26"/>
  <c r="F21" i="26"/>
  <c r="F22" i="26"/>
  <c r="N23" i="26"/>
  <c r="P25" i="26"/>
  <c r="R30" i="22"/>
  <c r="D30" i="26"/>
  <c r="R33" i="22"/>
  <c r="D33" i="26"/>
  <c r="P37" i="26"/>
  <c r="P38" i="26"/>
  <c r="P39" i="26"/>
  <c r="P42" i="26"/>
  <c r="P47" i="26"/>
  <c r="D52" i="26"/>
  <c r="R50" i="22"/>
  <c r="R53" i="22"/>
  <c r="D55" i="26"/>
  <c r="D56" i="26"/>
  <c r="R54" i="22"/>
  <c r="D58" i="26"/>
  <c r="R56" i="22"/>
  <c r="R57" i="22"/>
  <c r="D59" i="26"/>
  <c r="D60" i="26"/>
  <c r="R58" i="22"/>
  <c r="F61" i="26"/>
  <c r="D62" i="26"/>
  <c r="R60" i="22"/>
  <c r="D63" i="26"/>
  <c r="R61" i="22"/>
  <c r="F64" i="26"/>
  <c r="F65" i="26"/>
  <c r="D66" i="26"/>
  <c r="R64" i="22"/>
  <c r="D68" i="26"/>
  <c r="R66" i="22"/>
  <c r="D69" i="26"/>
  <c r="R67" i="22"/>
  <c r="F70" i="26"/>
  <c r="D71" i="26"/>
  <c r="R69" i="22"/>
  <c r="R70" i="22"/>
  <c r="D72" i="26"/>
  <c r="F73" i="26"/>
  <c r="F74" i="26"/>
  <c r="D75" i="26"/>
  <c r="R73" i="22"/>
  <c r="F76" i="26"/>
  <c r="F77" i="26"/>
  <c r="F78" i="26"/>
  <c r="H79" i="26"/>
  <c r="R79" i="26" s="1"/>
  <c r="F80" i="26"/>
  <c r="F81" i="26"/>
  <c r="H82" i="26"/>
  <c r="D87" i="26"/>
  <c r="R85" i="22"/>
  <c r="R86" i="22"/>
  <c r="D88" i="26"/>
  <c r="R87" i="22"/>
  <c r="D89" i="26"/>
  <c r="F90" i="26"/>
  <c r="D91" i="26"/>
  <c r="R89" i="22"/>
  <c r="R90" i="22"/>
  <c r="D92" i="26"/>
  <c r="F93" i="26"/>
  <c r="N97" i="26"/>
  <c r="R162" i="4"/>
  <c r="R125" i="4" s="1"/>
  <c r="L98" i="26"/>
  <c r="L99" i="26"/>
  <c r="N100" i="26"/>
  <c r="N116" i="22"/>
  <c r="N101" i="26"/>
  <c r="L102" i="26"/>
  <c r="N103" i="26"/>
  <c r="N104" i="26"/>
  <c r="N105" i="26"/>
  <c r="P106" i="26"/>
  <c r="N107" i="26"/>
  <c r="N108" i="26"/>
  <c r="P109" i="26"/>
  <c r="P110" i="26"/>
  <c r="N111" i="26"/>
  <c r="P112" i="26"/>
  <c r="P113" i="26"/>
  <c r="P114" i="26"/>
  <c r="P116" i="26"/>
  <c r="P117" i="26"/>
  <c r="P119" i="26"/>
  <c r="P137" i="22"/>
  <c r="N120" i="26"/>
  <c r="P121" i="26"/>
  <c r="P122" i="26"/>
  <c r="P123" i="26"/>
  <c r="P125" i="26"/>
  <c r="P126" i="26"/>
  <c r="P129" i="26"/>
  <c r="R132" i="22"/>
  <c r="D134" i="26"/>
  <c r="D137" i="26"/>
  <c r="R135" i="22"/>
  <c r="D138" i="26"/>
  <c r="R136" i="22"/>
  <c r="R141" i="22"/>
  <c r="D143" i="26"/>
  <c r="R144" i="22"/>
  <c r="D146" i="26"/>
  <c r="D147" i="26"/>
  <c r="R145" i="22"/>
  <c r="D149" i="26"/>
  <c r="R147" i="22"/>
  <c r="R148" i="22"/>
  <c r="D150" i="26"/>
  <c r="D151" i="26"/>
  <c r="R149" i="22"/>
  <c r="F152" i="26"/>
  <c r="D153" i="26"/>
  <c r="R151" i="22"/>
  <c r="D154" i="26"/>
  <c r="R152" i="22"/>
  <c r="F155" i="26"/>
  <c r="P157" i="26"/>
  <c r="P172" i="22"/>
  <c r="P159" i="26"/>
  <c r="P160" i="26"/>
  <c r="P163" i="26"/>
  <c r="D168" i="26"/>
  <c r="R166" i="22"/>
  <c r="D171" i="26"/>
  <c r="R169" i="22"/>
  <c r="D172" i="26"/>
  <c r="R172" i="26" s="1"/>
  <c r="R170" i="22"/>
  <c r="D177" i="26"/>
  <c r="R175" i="22"/>
  <c r="R178" i="22"/>
  <c r="D180" i="26"/>
  <c r="D181" i="26"/>
  <c r="R179" i="22"/>
  <c r="D183" i="26"/>
  <c r="R181" i="22"/>
  <c r="D184" i="26"/>
  <c r="R182" i="22"/>
  <c r="D185" i="26"/>
  <c r="R183" i="22"/>
  <c r="F186" i="26"/>
  <c r="D187" i="26"/>
  <c r="R185" i="22"/>
  <c r="R186" i="22"/>
  <c r="D188" i="26"/>
  <c r="F189" i="26"/>
  <c r="F190" i="26"/>
  <c r="R190" i="26" s="1"/>
  <c r="D191" i="26"/>
  <c r="R189" i="22"/>
  <c r="D193" i="26"/>
  <c r="R191" i="22"/>
  <c r="D200" i="22"/>
  <c r="D194" i="26"/>
  <c r="R192" i="22"/>
  <c r="F195" i="26"/>
  <c r="R194" i="22"/>
  <c r="D196" i="26"/>
  <c r="D197" i="26"/>
  <c r="R195" i="22"/>
  <c r="F198" i="26"/>
  <c r="F199" i="26"/>
  <c r="D200" i="26"/>
  <c r="R198" i="22"/>
  <c r="F201" i="26"/>
  <c r="N203" i="26"/>
  <c r="N217" i="22"/>
  <c r="P204" i="26"/>
  <c r="N205" i="26"/>
  <c r="N206" i="26"/>
  <c r="P207" i="26"/>
  <c r="P208" i="26"/>
  <c r="N209" i="26"/>
  <c r="P210" i="26"/>
  <c r="P211" i="26"/>
  <c r="P212" i="26"/>
  <c r="P214" i="26"/>
  <c r="P215" i="26"/>
  <c r="P218" i="26"/>
  <c r="N220" i="26"/>
  <c r="F224" i="26"/>
  <c r="F231" i="22"/>
  <c r="F225" i="26"/>
  <c r="D226" i="26"/>
  <c r="R224" i="22"/>
  <c r="F227" i="26"/>
  <c r="F228" i="26"/>
  <c r="F229" i="26"/>
  <c r="H230" i="26"/>
  <c r="D231" i="26"/>
  <c r="R230" i="22"/>
  <c r="R232" i="22"/>
  <c r="D233" i="26"/>
  <c r="D266" i="22"/>
  <c r="D234" i="26"/>
  <c r="R233" i="22"/>
  <c r="D236" i="26"/>
  <c r="R235" i="22"/>
  <c r="R236" i="22"/>
  <c r="D237" i="26"/>
  <c r="R237" i="22"/>
  <c r="D238" i="26"/>
  <c r="N239" i="26"/>
  <c r="L240" i="26"/>
  <c r="L241" i="26"/>
  <c r="N242" i="26"/>
  <c r="N243" i="26"/>
  <c r="L244" i="26"/>
  <c r="N245" i="26"/>
  <c r="N246" i="26"/>
  <c r="N247" i="26"/>
  <c r="P248" i="26"/>
  <c r="N249" i="26"/>
  <c r="N250" i="26"/>
  <c r="P251" i="26"/>
  <c r="P252" i="26"/>
  <c r="N253" i="26"/>
  <c r="P254" i="26"/>
  <c r="P255" i="26"/>
  <c r="P256" i="26"/>
  <c r="P258" i="26"/>
  <c r="P259" i="26"/>
  <c r="P262" i="26"/>
  <c r="H275" i="22"/>
  <c r="H268" i="26"/>
  <c r="H269" i="26"/>
  <c r="L270" i="26"/>
  <c r="L271" i="26"/>
  <c r="H272" i="26"/>
  <c r="L273" i="26"/>
  <c r="L274" i="26"/>
  <c r="L275" i="26"/>
  <c r="F277" i="26"/>
  <c r="F340" i="22"/>
  <c r="F278" i="26"/>
  <c r="H279" i="26"/>
  <c r="F280" i="26"/>
  <c r="F281" i="26"/>
  <c r="H282" i="26"/>
  <c r="H283" i="26"/>
  <c r="F284" i="26"/>
  <c r="H285" i="26"/>
  <c r="H286" i="26"/>
  <c r="H287" i="26"/>
  <c r="R287" i="26" s="1"/>
  <c r="L288" i="26"/>
  <c r="H289" i="26"/>
  <c r="H290" i="26"/>
  <c r="L291" i="26"/>
  <c r="L292" i="26"/>
  <c r="H293" i="26"/>
  <c r="L294" i="26"/>
  <c r="L295" i="26"/>
  <c r="L296" i="26"/>
  <c r="N297" i="26"/>
  <c r="L298" i="26"/>
  <c r="L299" i="26"/>
  <c r="N300" i="26"/>
  <c r="N301" i="26"/>
  <c r="L302" i="26"/>
  <c r="N303" i="26"/>
  <c r="N304" i="26"/>
  <c r="N305" i="26"/>
  <c r="P306" i="26"/>
  <c r="N307" i="26"/>
  <c r="N308" i="26"/>
  <c r="P309" i="26"/>
  <c r="P310" i="26"/>
  <c r="N311" i="26"/>
  <c r="P312" i="26"/>
  <c r="P313" i="26"/>
  <c r="P314" i="26"/>
  <c r="P316" i="26"/>
  <c r="P317" i="26"/>
  <c r="P320" i="26"/>
  <c r="R324" i="22"/>
  <c r="D325" i="26"/>
  <c r="D328" i="26"/>
  <c r="R327" i="22"/>
  <c r="D329" i="26"/>
  <c r="R328" i="22"/>
  <c r="R330" i="22"/>
  <c r="D331" i="26"/>
  <c r="D332" i="26"/>
  <c r="R331" i="22"/>
  <c r="D333" i="26"/>
  <c r="R332" i="22"/>
  <c r="F334" i="26"/>
  <c r="D335" i="26"/>
  <c r="R335" i="26" s="1"/>
  <c r="R334" i="22"/>
  <c r="D336" i="26"/>
  <c r="R335" i="22"/>
  <c r="F337" i="26"/>
  <c r="F338" i="26"/>
  <c r="D339" i="26"/>
  <c r="R338" i="22"/>
  <c r="F340" i="26"/>
  <c r="N342" i="26"/>
  <c r="N351" i="22"/>
  <c r="P343" i="26"/>
  <c r="N344" i="26"/>
  <c r="N345" i="26"/>
  <c r="P346" i="26"/>
  <c r="P347" i="26"/>
  <c r="N348" i="26"/>
  <c r="P349" i="26"/>
  <c r="P350" i="26"/>
  <c r="P351" i="26"/>
  <c r="N353" i="26"/>
  <c r="N367" i="22"/>
  <c r="N354" i="26"/>
  <c r="P355" i="26"/>
  <c r="P356" i="26"/>
  <c r="N357" i="26"/>
  <c r="P358" i="26"/>
  <c r="P359" i="26"/>
  <c r="P360" i="26"/>
  <c r="P362" i="26"/>
  <c r="P363" i="26"/>
  <c r="P366" i="26"/>
  <c r="L369" i="26"/>
  <c r="L370" i="26"/>
  <c r="L405" i="22"/>
  <c r="N371" i="26"/>
  <c r="N372" i="26"/>
  <c r="L373" i="26"/>
  <c r="N374" i="26"/>
  <c r="N375" i="26"/>
  <c r="N376" i="26"/>
  <c r="P377" i="26"/>
  <c r="N378" i="26"/>
  <c r="N379" i="26"/>
  <c r="P380" i="26"/>
  <c r="P381" i="26"/>
  <c r="N382" i="26"/>
  <c r="P383" i="26"/>
  <c r="P384" i="26"/>
  <c r="P385" i="26"/>
  <c r="P387" i="26"/>
  <c r="P388" i="26"/>
  <c r="P391" i="26"/>
  <c r="D396" i="26"/>
  <c r="R395" i="22"/>
  <c r="R398" i="22"/>
  <c r="D399" i="26"/>
  <c r="D400" i="26"/>
  <c r="R399" i="22"/>
  <c r="D402" i="26"/>
  <c r="R401" i="22"/>
  <c r="R402" i="22"/>
  <c r="D403" i="26"/>
  <c r="D404" i="26"/>
  <c r="R403" i="22"/>
  <c r="F405" i="26"/>
  <c r="N407" i="26"/>
  <c r="N415" i="22"/>
  <c r="P408" i="26"/>
  <c r="P409" i="26"/>
  <c r="P410" i="26"/>
  <c r="P412" i="26"/>
  <c r="P413" i="26"/>
  <c r="P417" i="26"/>
  <c r="P434" i="22"/>
  <c r="P418" i="26"/>
  <c r="P419" i="26"/>
  <c r="P421" i="26"/>
  <c r="P422" i="26"/>
  <c r="P425" i="26"/>
  <c r="D430" i="26"/>
  <c r="R429" i="22"/>
  <c r="R432" i="22"/>
  <c r="D433" i="26"/>
  <c r="D434" i="26"/>
  <c r="R433" i="22"/>
  <c r="D441" i="26"/>
  <c r="R440" i="22"/>
  <c r="F163" i="4"/>
  <c r="F126" i="4" s="1"/>
  <c r="D444" i="26"/>
  <c r="R443" i="22"/>
  <c r="D445" i="26"/>
  <c r="R444" i="22"/>
  <c r="D447" i="26"/>
  <c r="R446" i="22"/>
  <c r="R447" i="22"/>
  <c r="D448" i="26"/>
  <c r="D449" i="26"/>
  <c r="R448" i="22"/>
  <c r="F450" i="26"/>
  <c r="D451" i="26"/>
  <c r="R450" i="22"/>
  <c r="D452" i="26"/>
  <c r="D453" i="22"/>
  <c r="R451" i="22"/>
  <c r="F453" i="26"/>
  <c r="P455" i="26"/>
  <c r="P457" i="26"/>
  <c r="N459" i="26"/>
  <c r="L461" i="22"/>
  <c r="L460" i="26"/>
  <c r="L461" i="26"/>
  <c r="F463" i="26"/>
  <c r="F464" i="26"/>
  <c r="F465" i="26"/>
  <c r="H466" i="26"/>
  <c r="P474" i="26"/>
  <c r="P478" i="22"/>
  <c r="P481" i="22" s="1"/>
  <c r="N475" i="26"/>
  <c r="R165" i="4"/>
  <c r="R128" i="4" s="1"/>
  <c r="P476" i="26"/>
  <c r="P477" i="26"/>
  <c r="P478" i="26"/>
  <c r="P23" i="23"/>
  <c r="R15" i="23"/>
  <c r="N17" i="15" s="1"/>
  <c r="R18" i="23"/>
  <c r="N20" i="15" s="1"/>
  <c r="R19" i="23"/>
  <c r="N21" i="15" s="1"/>
  <c r="L44" i="26"/>
  <c r="L29" i="23"/>
  <c r="L40" i="23" s="1"/>
  <c r="N45" i="26"/>
  <c r="F53" i="23"/>
  <c r="P22" i="24"/>
  <c r="F28" i="24"/>
  <c r="J19" i="1"/>
  <c r="J40" i="4"/>
  <c r="H41" i="4"/>
  <c r="L13" i="1"/>
  <c r="N13" i="1" s="1"/>
  <c r="F42" i="4"/>
  <c r="J44" i="4"/>
  <c r="H45" i="4"/>
  <c r="L17" i="1"/>
  <c r="N17" i="1" s="1"/>
  <c r="F46" i="4"/>
  <c r="T46" i="4" s="1"/>
  <c r="V46" i="4" s="1"/>
  <c r="J62" i="4"/>
  <c r="H63" i="4"/>
  <c r="F50" i="1"/>
  <c r="F71" i="4"/>
  <c r="L42" i="1"/>
  <c r="J73" i="4"/>
  <c r="H74" i="4"/>
  <c r="L46" i="1"/>
  <c r="N46" i="1" s="1"/>
  <c r="F75" i="4"/>
  <c r="T75" i="4" s="1"/>
  <c r="V75" i="4" s="1"/>
  <c r="G10" i="25"/>
  <c r="G22" i="2"/>
  <c r="H138" i="4"/>
  <c r="G45" i="2"/>
  <c r="U10" i="2"/>
  <c r="S10" i="25"/>
  <c r="S45" i="2"/>
  <c r="T138" i="4"/>
  <c r="S22" i="2"/>
  <c r="I46" i="2"/>
  <c r="J139" i="4"/>
  <c r="I11" i="25"/>
  <c r="I49" i="25" s="1"/>
  <c r="O12" i="25"/>
  <c r="P140" i="4"/>
  <c r="O47" i="2"/>
  <c r="E13" i="25"/>
  <c r="E51" i="25" s="1"/>
  <c r="C14" i="10"/>
  <c r="U14" i="10" s="1"/>
  <c r="W14" i="10" s="1"/>
  <c r="F141" i="4"/>
  <c r="E48" i="2"/>
  <c r="Q13" i="25"/>
  <c r="Q48" i="2"/>
  <c r="R141" i="4"/>
  <c r="G14" i="25"/>
  <c r="G52" i="25" s="1"/>
  <c r="H142" i="4"/>
  <c r="G49" i="2"/>
  <c r="S49" i="2"/>
  <c r="T142" i="4"/>
  <c r="S14" i="25"/>
  <c r="U14" i="2"/>
  <c r="U49" i="2" s="1"/>
  <c r="I50" i="2"/>
  <c r="I15" i="25"/>
  <c r="J143" i="4"/>
  <c r="O16" i="25"/>
  <c r="O54" i="25" s="1"/>
  <c r="P144" i="4"/>
  <c r="O51" i="2"/>
  <c r="E17" i="25"/>
  <c r="F145" i="4"/>
  <c r="V145" i="4" s="1"/>
  <c r="C18" i="10"/>
  <c r="U18" i="10" s="1"/>
  <c r="W18" i="10" s="1"/>
  <c r="E52" i="2"/>
  <c r="Q17" i="25"/>
  <c r="Q52" i="2"/>
  <c r="R145" i="4"/>
  <c r="G18" i="25"/>
  <c r="G56" i="25" s="1"/>
  <c r="H146" i="4"/>
  <c r="G53" i="2"/>
  <c r="S18" i="25"/>
  <c r="S53" i="2"/>
  <c r="T146" i="4"/>
  <c r="U18" i="2"/>
  <c r="U53" i="2" s="1"/>
  <c r="I54" i="2"/>
  <c r="J147" i="4"/>
  <c r="I19" i="25"/>
  <c r="I57" i="25" s="1"/>
  <c r="O20" i="25"/>
  <c r="O58" i="25" s="1"/>
  <c r="P148" i="4"/>
  <c r="O55" i="2"/>
  <c r="E21" i="25"/>
  <c r="F149" i="4"/>
  <c r="Q21" i="25"/>
  <c r="R149" i="4"/>
  <c r="O25" i="25"/>
  <c r="P172" i="4"/>
  <c r="O32" i="2"/>
  <c r="E26" i="25"/>
  <c r="F173" i="4"/>
  <c r="Q26" i="25"/>
  <c r="R173" i="4"/>
  <c r="G27" i="25"/>
  <c r="H174" i="4"/>
  <c r="T174" i="4"/>
  <c r="S27" i="25"/>
  <c r="U27" i="2"/>
  <c r="I28" i="25"/>
  <c r="J175" i="4"/>
  <c r="P176" i="4"/>
  <c r="O30" i="25"/>
  <c r="E32" i="25"/>
  <c r="F177" i="4"/>
  <c r="Q32" i="25"/>
  <c r="R177" i="4"/>
  <c r="G34" i="25"/>
  <c r="H178" i="4"/>
  <c r="G33" i="25"/>
  <c r="S33" i="25"/>
  <c r="S34" i="25"/>
  <c r="U31" i="2"/>
  <c r="T178" i="4"/>
  <c r="F182" i="4"/>
  <c r="E38" i="25"/>
  <c r="E42" i="2"/>
  <c r="Q42" i="2"/>
  <c r="Q38" i="25"/>
  <c r="R182" i="4"/>
  <c r="H183" i="4"/>
  <c r="G39" i="25"/>
  <c r="S39" i="25"/>
  <c r="T183" i="4"/>
  <c r="U36" i="2"/>
  <c r="I40" i="25"/>
  <c r="J184" i="4"/>
  <c r="O41" i="25"/>
  <c r="P185" i="4"/>
  <c r="E42" i="25"/>
  <c r="F186" i="4"/>
  <c r="Q42" i="25"/>
  <c r="R186" i="4"/>
  <c r="G43" i="25"/>
  <c r="H187" i="4"/>
  <c r="S43" i="25"/>
  <c r="T187" i="4"/>
  <c r="U40" i="2"/>
  <c r="I44" i="25"/>
  <c r="J188" i="4"/>
  <c r="E69" i="25"/>
  <c r="E70" i="25" s="1"/>
  <c r="F153" i="4"/>
  <c r="F154" i="4" s="1"/>
  <c r="E67" i="2"/>
  <c r="C26" i="10"/>
  <c r="Q69" i="25"/>
  <c r="Q70" i="25" s="1"/>
  <c r="Q67" i="2"/>
  <c r="R153" i="4"/>
  <c r="R154" i="4" s="1"/>
  <c r="H28" i="14"/>
  <c r="H11" i="13"/>
  <c r="H10" i="12"/>
  <c r="H11" i="11"/>
  <c r="J11" i="14"/>
  <c r="J12" i="14"/>
  <c r="L12" i="14" s="1"/>
  <c r="H12" i="13"/>
  <c r="H12" i="11"/>
  <c r="H11" i="12"/>
  <c r="J13" i="14"/>
  <c r="L13" i="14" s="1"/>
  <c r="H13" i="13"/>
  <c r="J13" i="13" s="1"/>
  <c r="L13" i="13" s="1"/>
  <c r="H12" i="12"/>
  <c r="J12" i="12" s="1"/>
  <c r="L12" i="12" s="1"/>
  <c r="H13" i="11"/>
  <c r="J13" i="11" s="1"/>
  <c r="L13" i="11" s="1"/>
  <c r="D21" i="13"/>
  <c r="D21" i="11"/>
  <c r="D20" i="12"/>
  <c r="D33" i="13"/>
  <c r="D33" i="11"/>
  <c r="D32" i="12"/>
  <c r="D34" i="13"/>
  <c r="D33" i="12"/>
  <c r="D34" i="11"/>
  <c r="D35" i="13"/>
  <c r="D34" i="12"/>
  <c r="D35" i="11"/>
  <c r="F36" i="13"/>
  <c r="F35" i="12"/>
  <c r="F36" i="11"/>
  <c r="F37" i="13"/>
  <c r="F37" i="11"/>
  <c r="F36" i="12"/>
  <c r="F38" i="13"/>
  <c r="F37" i="12"/>
  <c r="F38" i="11"/>
  <c r="H38" i="12"/>
  <c r="J39" i="14"/>
  <c r="L39" i="14" s="1"/>
  <c r="H39" i="11"/>
  <c r="H39" i="13"/>
  <c r="H40" i="11"/>
  <c r="H40" i="13"/>
  <c r="H39" i="12"/>
  <c r="J40" i="14"/>
  <c r="L40" i="14" s="1"/>
  <c r="J41" i="14"/>
  <c r="L41" i="14" s="1"/>
  <c r="H41" i="13"/>
  <c r="H40" i="12"/>
  <c r="J40" i="12" s="1"/>
  <c r="L40" i="12" s="1"/>
  <c r="H41" i="11"/>
  <c r="D57" i="12"/>
  <c r="D58" i="11"/>
  <c r="D58" i="13"/>
  <c r="D63" i="13"/>
  <c r="D62" i="12"/>
  <c r="F120" i="4" s="1"/>
  <c r="D63" i="11"/>
  <c r="D64" i="13"/>
  <c r="D63" i="12"/>
  <c r="D64" i="11"/>
  <c r="D65" i="13"/>
  <c r="D64" i="12"/>
  <c r="D65" i="11"/>
  <c r="D72" i="11"/>
  <c r="D72" i="13"/>
  <c r="D71" i="12"/>
  <c r="D73" i="13"/>
  <c r="D72" i="12"/>
  <c r="D73" i="11"/>
  <c r="D74" i="13"/>
  <c r="D74" i="11"/>
  <c r="D73" i="12"/>
  <c r="F75" i="13"/>
  <c r="F75" i="11"/>
  <c r="F74" i="12"/>
  <c r="F76" i="13"/>
  <c r="F75" i="12"/>
  <c r="F76" i="11"/>
  <c r="F77" i="13"/>
  <c r="F77" i="11"/>
  <c r="F76" i="12"/>
  <c r="H77" i="12"/>
  <c r="H78" i="11"/>
  <c r="H78" i="13"/>
  <c r="J78" i="14"/>
  <c r="L78" i="14" s="1"/>
  <c r="J79" i="14"/>
  <c r="L79" i="14" s="1"/>
  <c r="H79" i="11"/>
  <c r="H79" i="13"/>
  <c r="H78" i="12"/>
  <c r="H82" i="12"/>
  <c r="H83" i="13"/>
  <c r="J83" i="14"/>
  <c r="H83" i="11"/>
  <c r="H95" i="14"/>
  <c r="H83" i="12"/>
  <c r="H84" i="11"/>
  <c r="J84" i="14"/>
  <c r="L84" i="14" s="1"/>
  <c r="H84" i="13"/>
  <c r="J85" i="14"/>
  <c r="L85" i="14" s="1"/>
  <c r="H85" i="11"/>
  <c r="J85" i="11" s="1"/>
  <c r="L85" i="11" s="1"/>
  <c r="H85" i="13"/>
  <c r="J85" i="13" s="1"/>
  <c r="L85" i="13" s="1"/>
  <c r="H84" i="12"/>
  <c r="J84" i="12" s="1"/>
  <c r="L84" i="12" s="1"/>
  <c r="D93" i="13"/>
  <c r="D92" i="12"/>
  <c r="D93" i="11"/>
  <c r="D93" i="12"/>
  <c r="D94" i="11"/>
  <c r="D94" i="13"/>
  <c r="D112" i="14"/>
  <c r="D97" i="12"/>
  <c r="D98" i="13"/>
  <c r="D98" i="11"/>
  <c r="D99" i="13"/>
  <c r="D98" i="12"/>
  <c r="D99" i="11"/>
  <c r="D99" i="12"/>
  <c r="D100" i="11"/>
  <c r="D100" i="13"/>
  <c r="F101" i="11"/>
  <c r="F100" i="12"/>
  <c r="F101" i="13"/>
  <c r="F101" i="12"/>
  <c r="F102" i="11"/>
  <c r="F102" i="13"/>
  <c r="F103" i="11"/>
  <c r="F102" i="12"/>
  <c r="F103" i="13"/>
  <c r="H104" i="11"/>
  <c r="H104" i="13"/>
  <c r="H103" i="12"/>
  <c r="J104" i="14"/>
  <c r="L104" i="14" s="1"/>
  <c r="H105" i="13"/>
  <c r="J105" i="14"/>
  <c r="L105" i="14" s="1"/>
  <c r="H104" i="12"/>
  <c r="H105" i="11"/>
  <c r="J106" i="14"/>
  <c r="L106" i="14" s="1"/>
  <c r="H106" i="11"/>
  <c r="H106" i="13"/>
  <c r="J106" i="13" s="1"/>
  <c r="L106" i="13" s="1"/>
  <c r="H105" i="12"/>
  <c r="J105" i="12" s="1"/>
  <c r="L105" i="12" s="1"/>
  <c r="D124" i="12"/>
  <c r="D125" i="12"/>
  <c r="D126" i="12"/>
  <c r="F127" i="12"/>
  <c r="D136" i="12"/>
  <c r="D137" i="12"/>
  <c r="D138" i="12"/>
  <c r="F139" i="12"/>
  <c r="F140" i="12"/>
  <c r="H142" i="12"/>
  <c r="J144" i="14"/>
  <c r="L144" i="14" s="1"/>
  <c r="H143" i="12"/>
  <c r="J145" i="14"/>
  <c r="L145" i="14" s="1"/>
  <c r="J146" i="14"/>
  <c r="L146" i="14" s="1"/>
  <c r="H144" i="12"/>
  <c r="H148" i="12"/>
  <c r="J150" i="14"/>
  <c r="H156" i="14"/>
  <c r="J151" i="14"/>
  <c r="L151" i="14" s="1"/>
  <c r="H149" i="12"/>
  <c r="J149" i="12" s="1"/>
  <c r="L149" i="12" s="1"/>
  <c r="D167" i="12"/>
  <c r="D172" i="12"/>
  <c r="D173" i="12"/>
  <c r="D174" i="12"/>
  <c r="F175" i="12"/>
  <c r="F176" i="12"/>
  <c r="F177" i="12"/>
  <c r="F181" i="12"/>
  <c r="F193" i="14"/>
  <c r="F182" i="12"/>
  <c r="J185" i="14"/>
  <c r="L185" i="14" s="1"/>
  <c r="H183" i="12"/>
  <c r="J186" i="14"/>
  <c r="L186" i="14" s="1"/>
  <c r="H184" i="12"/>
  <c r="J187" i="14"/>
  <c r="L187" i="14" s="1"/>
  <c r="H185" i="12"/>
  <c r="D12" i="15"/>
  <c r="D13" i="15"/>
  <c r="D14" i="15"/>
  <c r="F15" i="15"/>
  <c r="F16" i="15"/>
  <c r="F18" i="15"/>
  <c r="H19" i="15"/>
  <c r="J18" i="16"/>
  <c r="L18" i="16" s="1"/>
  <c r="J19" i="16"/>
  <c r="L19" i="16" s="1"/>
  <c r="H20" i="15"/>
  <c r="J20" i="16"/>
  <c r="L20" i="16" s="1"/>
  <c r="H21" i="15"/>
  <c r="D38" i="15"/>
  <c r="D39" i="15"/>
  <c r="D40" i="15"/>
  <c r="D52" i="15"/>
  <c r="D53" i="15"/>
  <c r="D54" i="15"/>
  <c r="F80" i="16"/>
  <c r="F37" i="15"/>
  <c r="F141" i="12"/>
  <c r="J78" i="16"/>
  <c r="L78" i="16" s="1"/>
  <c r="H24" i="18"/>
  <c r="H12" i="17"/>
  <c r="H15" i="17"/>
  <c r="H20" i="17"/>
  <c r="J21" i="18"/>
  <c r="L21" i="18" s="1"/>
  <c r="D22" i="17"/>
  <c r="F23" i="17"/>
  <c r="J28" i="18"/>
  <c r="L28" i="18" s="1"/>
  <c r="D29" i="17"/>
  <c r="H30" i="17"/>
  <c r="J38" i="18"/>
  <c r="D39" i="18"/>
  <c r="D42" i="18" s="1"/>
  <c r="D10" i="26"/>
  <c r="D34" i="22"/>
  <c r="R10" i="22"/>
  <c r="F164" i="4"/>
  <c r="F127" i="4" s="1"/>
  <c r="D11" i="26"/>
  <c r="R11" i="22"/>
  <c r="D12" i="26"/>
  <c r="R12" i="22"/>
  <c r="F13" i="26"/>
  <c r="R14" i="22"/>
  <c r="D14" i="26"/>
  <c r="R15" i="22"/>
  <c r="D15" i="26"/>
  <c r="F16" i="26"/>
  <c r="F17" i="26"/>
  <c r="D18" i="26"/>
  <c r="R18" i="22"/>
  <c r="F19" i="26"/>
  <c r="F20" i="26"/>
  <c r="R20" i="26" s="1"/>
  <c r="L21" i="26"/>
  <c r="P23" i="26"/>
  <c r="D25" i="26"/>
  <c r="R25" i="22"/>
  <c r="F26" i="26"/>
  <c r="F27" i="26"/>
  <c r="D28" i="26"/>
  <c r="R28" i="22"/>
  <c r="F29" i="26"/>
  <c r="F30" i="26"/>
  <c r="F31" i="26"/>
  <c r="H32" i="26"/>
  <c r="F33" i="26"/>
  <c r="D37" i="26"/>
  <c r="R37" i="22"/>
  <c r="R38" i="22"/>
  <c r="D38" i="26"/>
  <c r="R40" i="22"/>
  <c r="D40" i="26"/>
  <c r="D41" i="26"/>
  <c r="R41" i="22"/>
  <c r="R42" i="22"/>
  <c r="D42" i="26"/>
  <c r="F43" i="26"/>
  <c r="R43" i="26" s="1"/>
  <c r="F65" i="22"/>
  <c r="D46" i="26"/>
  <c r="R44" i="22"/>
  <c r="D47" i="26"/>
  <c r="R45" i="22"/>
  <c r="F48" i="26"/>
  <c r="F49" i="26"/>
  <c r="D50" i="26"/>
  <c r="R50" i="26" s="1"/>
  <c r="R48" i="22"/>
  <c r="F51" i="26"/>
  <c r="F52" i="26"/>
  <c r="F53" i="26"/>
  <c r="H54" i="26"/>
  <c r="F55" i="26"/>
  <c r="F56" i="26"/>
  <c r="H57" i="26"/>
  <c r="H58" i="26"/>
  <c r="F59" i="26"/>
  <c r="H60" i="26"/>
  <c r="H61" i="26"/>
  <c r="H62" i="26"/>
  <c r="L63" i="26"/>
  <c r="H64" i="26"/>
  <c r="H65" i="26"/>
  <c r="L66" i="26"/>
  <c r="F68" i="26"/>
  <c r="H69" i="26"/>
  <c r="H70" i="26"/>
  <c r="H71" i="26"/>
  <c r="L72" i="26"/>
  <c r="H73" i="26"/>
  <c r="H74" i="26"/>
  <c r="L75" i="26"/>
  <c r="L76" i="26"/>
  <c r="H77" i="26"/>
  <c r="L78" i="26"/>
  <c r="L79" i="26"/>
  <c r="L80" i="26"/>
  <c r="N81" i="26"/>
  <c r="L82" i="26"/>
  <c r="H86" i="26"/>
  <c r="H92" i="22"/>
  <c r="H87" i="26"/>
  <c r="F88" i="26"/>
  <c r="H89" i="26"/>
  <c r="H90" i="26"/>
  <c r="H91" i="26"/>
  <c r="L92" i="26"/>
  <c r="H93" i="26"/>
  <c r="P97" i="26"/>
  <c r="T162" i="4"/>
  <c r="T125" i="4" s="1"/>
  <c r="P98" i="26"/>
  <c r="P100" i="26"/>
  <c r="P101" i="26"/>
  <c r="P116" i="22"/>
  <c r="P104" i="26"/>
  <c r="D109" i="26"/>
  <c r="R107" i="22"/>
  <c r="R110" i="22"/>
  <c r="D112" i="26"/>
  <c r="D113" i="26"/>
  <c r="R111" i="22"/>
  <c r="D115" i="26"/>
  <c r="R113" i="22"/>
  <c r="R114" i="22"/>
  <c r="D116" i="26"/>
  <c r="D117" i="26"/>
  <c r="R115" i="22"/>
  <c r="D121" i="26"/>
  <c r="R119" i="22"/>
  <c r="D122" i="26"/>
  <c r="R120" i="22"/>
  <c r="R122" i="22"/>
  <c r="D124" i="26"/>
  <c r="D125" i="26"/>
  <c r="R123" i="22"/>
  <c r="R124" i="22"/>
  <c r="D126" i="26"/>
  <c r="F127" i="26"/>
  <c r="D128" i="26"/>
  <c r="R126" i="22"/>
  <c r="D129" i="26"/>
  <c r="R127" i="22"/>
  <c r="F130" i="26"/>
  <c r="F131" i="26"/>
  <c r="D132" i="26"/>
  <c r="R130" i="22"/>
  <c r="F133" i="26"/>
  <c r="F134" i="26"/>
  <c r="F135" i="26"/>
  <c r="H136" i="26"/>
  <c r="F137" i="26"/>
  <c r="F138" i="26"/>
  <c r="F140" i="26"/>
  <c r="D141" i="26"/>
  <c r="D154" i="22"/>
  <c r="R139" i="22"/>
  <c r="F142" i="26"/>
  <c r="F143" i="26"/>
  <c r="F144" i="26"/>
  <c r="H145" i="26"/>
  <c r="F146" i="26"/>
  <c r="F147" i="26"/>
  <c r="H148" i="26"/>
  <c r="H149" i="26"/>
  <c r="F150" i="26"/>
  <c r="H151" i="26"/>
  <c r="H152" i="26"/>
  <c r="H153" i="26"/>
  <c r="L154" i="26"/>
  <c r="H155" i="26"/>
  <c r="D158" i="26"/>
  <c r="R156" i="22"/>
  <c r="R157" i="22"/>
  <c r="D159" i="26"/>
  <c r="D160" i="26"/>
  <c r="R158" i="22"/>
  <c r="F161" i="26"/>
  <c r="R160" i="22"/>
  <c r="D162" i="26"/>
  <c r="R161" i="22"/>
  <c r="D163" i="26"/>
  <c r="F164" i="26"/>
  <c r="F165" i="26"/>
  <c r="R164" i="22"/>
  <c r="D166" i="26"/>
  <c r="F167" i="26"/>
  <c r="F168" i="26"/>
  <c r="F169" i="26"/>
  <c r="H170" i="26"/>
  <c r="F171" i="26"/>
  <c r="F172" i="26"/>
  <c r="H173" i="26"/>
  <c r="D175" i="26"/>
  <c r="D190" i="22"/>
  <c r="R173" i="22"/>
  <c r="F176" i="26"/>
  <c r="F177" i="26"/>
  <c r="F178" i="26"/>
  <c r="H179" i="26"/>
  <c r="F180" i="26"/>
  <c r="F181" i="26"/>
  <c r="H182" i="26"/>
  <c r="H183" i="26"/>
  <c r="F184" i="26"/>
  <c r="H185" i="26"/>
  <c r="H186" i="26"/>
  <c r="H187" i="26"/>
  <c r="L188" i="26"/>
  <c r="H189" i="26"/>
  <c r="H190" i="26"/>
  <c r="L191" i="26"/>
  <c r="F193" i="26"/>
  <c r="F200" i="22"/>
  <c r="H194" i="26"/>
  <c r="H195" i="26"/>
  <c r="H196" i="26"/>
  <c r="L197" i="26"/>
  <c r="H198" i="26"/>
  <c r="H199" i="26"/>
  <c r="L200" i="26"/>
  <c r="L201" i="26"/>
  <c r="R205" i="22"/>
  <c r="D207" i="26"/>
  <c r="R208" i="22"/>
  <c r="D210" i="26"/>
  <c r="D211" i="26"/>
  <c r="R209" i="22"/>
  <c r="D213" i="26"/>
  <c r="R211" i="22"/>
  <c r="R212" i="22"/>
  <c r="D214" i="26"/>
  <c r="R213" i="22"/>
  <c r="D215" i="26"/>
  <c r="F216" i="26"/>
  <c r="D217" i="26"/>
  <c r="R215" i="22"/>
  <c r="D218" i="26"/>
  <c r="R216" i="22"/>
  <c r="P220" i="26"/>
  <c r="H231" i="22"/>
  <c r="H224" i="26"/>
  <c r="H225" i="26"/>
  <c r="L226" i="26"/>
  <c r="L227" i="26"/>
  <c r="H228" i="26"/>
  <c r="L229" i="26"/>
  <c r="L230" i="26"/>
  <c r="H231" i="26"/>
  <c r="F266" i="22"/>
  <c r="F233" i="26"/>
  <c r="F234" i="26"/>
  <c r="H235" i="26"/>
  <c r="H236" i="26"/>
  <c r="F237" i="26"/>
  <c r="H238" i="26"/>
  <c r="P239" i="26"/>
  <c r="P240" i="26"/>
  <c r="P242" i="26"/>
  <c r="P243" i="26"/>
  <c r="P246" i="26"/>
  <c r="D251" i="26"/>
  <c r="R250" i="22"/>
  <c r="D254" i="26"/>
  <c r="R253" i="22"/>
  <c r="D255" i="26"/>
  <c r="R254" i="22"/>
  <c r="D257" i="26"/>
  <c r="R256" i="22"/>
  <c r="D258" i="26"/>
  <c r="R257" i="22"/>
  <c r="D259" i="26"/>
  <c r="R258" i="22"/>
  <c r="F260" i="26"/>
  <c r="D261" i="26"/>
  <c r="R260" i="22"/>
  <c r="R261" i="22"/>
  <c r="D262" i="26"/>
  <c r="F263" i="26"/>
  <c r="F264" i="26"/>
  <c r="D265" i="26"/>
  <c r="R264" i="22"/>
  <c r="F266" i="26"/>
  <c r="N268" i="26"/>
  <c r="N275" i="22"/>
  <c r="P269" i="26"/>
  <c r="N270" i="26"/>
  <c r="N271" i="26"/>
  <c r="P272" i="26"/>
  <c r="P273" i="26"/>
  <c r="N274" i="26"/>
  <c r="P275" i="26"/>
  <c r="H277" i="26"/>
  <c r="H340" i="22"/>
  <c r="L278" i="26"/>
  <c r="L279" i="26"/>
  <c r="L280" i="26"/>
  <c r="N281" i="26"/>
  <c r="L282" i="26"/>
  <c r="L283" i="26"/>
  <c r="N284" i="26"/>
  <c r="N285" i="26"/>
  <c r="L286" i="26"/>
  <c r="N287" i="26"/>
  <c r="N288" i="26"/>
  <c r="N289" i="26"/>
  <c r="P290" i="26"/>
  <c r="N291" i="26"/>
  <c r="N292" i="26"/>
  <c r="P293" i="26"/>
  <c r="P294" i="26"/>
  <c r="N295" i="26"/>
  <c r="P296" i="26"/>
  <c r="P297" i="26"/>
  <c r="P298" i="26"/>
  <c r="P300" i="26"/>
  <c r="P301" i="26"/>
  <c r="P304" i="26"/>
  <c r="D309" i="26"/>
  <c r="R308" i="22"/>
  <c r="D312" i="26"/>
  <c r="R311" i="22"/>
  <c r="D313" i="26"/>
  <c r="R312" i="22"/>
  <c r="D315" i="26"/>
  <c r="R314" i="22"/>
  <c r="D316" i="26"/>
  <c r="R315" i="22"/>
  <c r="D317" i="26"/>
  <c r="R316" i="22"/>
  <c r="F318" i="26"/>
  <c r="D319" i="26"/>
  <c r="R318" i="22"/>
  <c r="D320" i="26"/>
  <c r="R319" i="22"/>
  <c r="F321" i="26"/>
  <c r="F322" i="26"/>
  <c r="D323" i="26"/>
  <c r="R322" i="22"/>
  <c r="F324" i="26"/>
  <c r="F325" i="26"/>
  <c r="F326" i="26"/>
  <c r="H327" i="26"/>
  <c r="F328" i="26"/>
  <c r="F329" i="26"/>
  <c r="H330" i="26"/>
  <c r="H331" i="26"/>
  <c r="F332" i="26"/>
  <c r="H333" i="26"/>
  <c r="H334" i="26"/>
  <c r="H335" i="26"/>
  <c r="L336" i="26"/>
  <c r="H337" i="26"/>
  <c r="H338" i="26"/>
  <c r="L339" i="26"/>
  <c r="L340" i="26"/>
  <c r="D346" i="26"/>
  <c r="R345" i="22"/>
  <c r="D349" i="26"/>
  <c r="R348" i="22"/>
  <c r="R349" i="22"/>
  <c r="D350" i="26"/>
  <c r="R354" i="22"/>
  <c r="D355" i="26"/>
  <c r="R355" i="26" s="1"/>
  <c r="D358" i="26"/>
  <c r="R357" i="22"/>
  <c r="D359" i="26"/>
  <c r="R358" i="22"/>
  <c r="D361" i="26"/>
  <c r="R360" i="22"/>
  <c r="R361" i="22"/>
  <c r="D362" i="26"/>
  <c r="D363" i="26"/>
  <c r="R362" i="22"/>
  <c r="F364" i="26"/>
  <c r="R364" i="22"/>
  <c r="D365" i="26"/>
  <c r="R365" i="22"/>
  <c r="D366" i="26"/>
  <c r="F367" i="26"/>
  <c r="P369" i="26"/>
  <c r="P371" i="26"/>
  <c r="P372" i="26"/>
  <c r="P375" i="26"/>
  <c r="D380" i="26"/>
  <c r="R379" i="22"/>
  <c r="D383" i="26"/>
  <c r="R382" i="22"/>
  <c r="D384" i="26"/>
  <c r="R383" i="22"/>
  <c r="D386" i="26"/>
  <c r="R385" i="22"/>
  <c r="D387" i="26"/>
  <c r="R386" i="22"/>
  <c r="D388" i="26"/>
  <c r="R387" i="22"/>
  <c r="F389" i="26"/>
  <c r="D390" i="26"/>
  <c r="R389" i="22"/>
  <c r="R390" i="22"/>
  <c r="D391" i="26"/>
  <c r="F392" i="26"/>
  <c r="F393" i="26"/>
  <c r="D394" i="26"/>
  <c r="R393" i="22"/>
  <c r="F395" i="26"/>
  <c r="F396" i="26"/>
  <c r="F397" i="26"/>
  <c r="H398" i="26"/>
  <c r="F399" i="26"/>
  <c r="F400" i="26"/>
  <c r="H401" i="26"/>
  <c r="R401" i="26" s="1"/>
  <c r="H402" i="26"/>
  <c r="F403" i="26"/>
  <c r="H404" i="26"/>
  <c r="H405" i="26"/>
  <c r="D408" i="26"/>
  <c r="R407" i="22"/>
  <c r="D409" i="26"/>
  <c r="R408" i="22"/>
  <c r="D411" i="26"/>
  <c r="R410" i="22"/>
  <c r="R411" i="22"/>
  <c r="D412" i="26"/>
  <c r="D413" i="26"/>
  <c r="R412" i="22"/>
  <c r="F414" i="26"/>
  <c r="D415" i="26"/>
  <c r="R414" i="22"/>
  <c r="D417" i="26"/>
  <c r="D434" i="22"/>
  <c r="R416" i="22"/>
  <c r="D418" i="26"/>
  <c r="R417" i="22"/>
  <c r="D420" i="26"/>
  <c r="R419" i="22"/>
  <c r="D421" i="26"/>
  <c r="R420" i="22"/>
  <c r="R421" i="22"/>
  <c r="D422" i="26"/>
  <c r="F423" i="26"/>
  <c r="D424" i="26"/>
  <c r="R423" i="22"/>
  <c r="D425" i="26"/>
  <c r="R425" i="26" s="1"/>
  <c r="R424" i="22"/>
  <c r="F426" i="26"/>
  <c r="F427" i="26"/>
  <c r="R427" i="22"/>
  <c r="D428" i="26"/>
  <c r="F429" i="26"/>
  <c r="F430" i="26"/>
  <c r="F431" i="26"/>
  <c r="H432" i="26"/>
  <c r="F433" i="26"/>
  <c r="F434" i="26"/>
  <c r="F436" i="26"/>
  <c r="D437" i="26"/>
  <c r="R436" i="22"/>
  <c r="F441" i="26"/>
  <c r="H163" i="4"/>
  <c r="H126" i="4" s="1"/>
  <c r="F442" i="26"/>
  <c r="H443" i="26"/>
  <c r="F444" i="26"/>
  <c r="F445" i="26"/>
  <c r="H446" i="26"/>
  <c r="H447" i="26"/>
  <c r="F448" i="26"/>
  <c r="H449" i="26"/>
  <c r="H450" i="26"/>
  <c r="H451" i="26"/>
  <c r="L452" i="26"/>
  <c r="L453" i="22"/>
  <c r="H453" i="26"/>
  <c r="D456" i="26"/>
  <c r="D457" i="22"/>
  <c r="R455" i="22"/>
  <c r="R457" i="22" s="1"/>
  <c r="D457" i="26"/>
  <c r="R456" i="22"/>
  <c r="P459" i="26"/>
  <c r="P460" i="26"/>
  <c r="P461" i="22"/>
  <c r="L463" i="26"/>
  <c r="H464" i="26"/>
  <c r="L465" i="26"/>
  <c r="L466" i="26"/>
  <c r="D476" i="26"/>
  <c r="R475" i="22"/>
  <c r="D477" i="26"/>
  <c r="R476" i="22"/>
  <c r="R10" i="23"/>
  <c r="D23" i="23"/>
  <c r="R13" i="23"/>
  <c r="N15" i="15" s="1"/>
  <c r="H53" i="23"/>
  <c r="R13" i="24"/>
  <c r="N16" i="17" s="1"/>
  <c r="R16" i="24"/>
  <c r="R17" i="24"/>
  <c r="N20" i="17" s="1"/>
  <c r="R19" i="24"/>
  <c r="N22" i="17" s="1"/>
  <c r="R20" i="24"/>
  <c r="N23" i="17" s="1"/>
  <c r="R21" i="24"/>
  <c r="N24" i="17" s="1"/>
  <c r="H28" i="24"/>
  <c r="H31" i="24" s="1"/>
  <c r="F11" i="13"/>
  <c r="F28" i="14"/>
  <c r="F10" i="12"/>
  <c r="F11" i="11"/>
  <c r="D12" i="13"/>
  <c r="D12" i="11"/>
  <c r="D11" i="12"/>
  <c r="J14" i="14"/>
  <c r="L14" i="14" s="1"/>
  <c r="H13" i="12"/>
  <c r="J13" i="12" s="1"/>
  <c r="L13" i="12" s="1"/>
  <c r="H14" i="11"/>
  <c r="H14" i="13"/>
  <c r="F15" i="13"/>
  <c r="F15" i="11"/>
  <c r="F14" i="12"/>
  <c r="D16" i="11"/>
  <c r="D16" i="13"/>
  <c r="D15" i="12"/>
  <c r="H17" i="12"/>
  <c r="J17" i="12" s="1"/>
  <c r="L17" i="12" s="1"/>
  <c r="H18" i="13"/>
  <c r="J18" i="14"/>
  <c r="L18" i="14" s="1"/>
  <c r="H18" i="11"/>
  <c r="F19" i="13"/>
  <c r="F18" i="12"/>
  <c r="F19" i="11"/>
  <c r="D20" i="13"/>
  <c r="D20" i="11"/>
  <c r="D19" i="12"/>
  <c r="D23" i="13"/>
  <c r="D23" i="11"/>
  <c r="D22" i="12"/>
  <c r="H25" i="11"/>
  <c r="J25" i="14"/>
  <c r="L25" i="14" s="1"/>
  <c r="H25" i="13"/>
  <c r="H24" i="12"/>
  <c r="J24" i="12" s="1"/>
  <c r="L24" i="12" s="1"/>
  <c r="F26" i="13"/>
  <c r="F25" i="12"/>
  <c r="F26" i="11"/>
  <c r="D27" i="13"/>
  <c r="D27" i="11"/>
  <c r="D26" i="12"/>
  <c r="F31" i="13"/>
  <c r="F30" i="12"/>
  <c r="F31" i="11"/>
  <c r="F48" i="14"/>
  <c r="D31" i="12"/>
  <c r="D32" i="13"/>
  <c r="D32" i="11"/>
  <c r="H34" i="11"/>
  <c r="H34" i="13"/>
  <c r="J34" i="13" s="1"/>
  <c r="L34" i="13" s="1"/>
  <c r="H33" i="12"/>
  <c r="J34" i="14"/>
  <c r="L34" i="14" s="1"/>
  <c r="F35" i="13"/>
  <c r="F35" i="11"/>
  <c r="F34" i="12"/>
  <c r="D35" i="12"/>
  <c r="D36" i="13"/>
  <c r="D36" i="11"/>
  <c r="H38" i="11"/>
  <c r="J38" i="14"/>
  <c r="L38" i="14" s="1"/>
  <c r="H37" i="12"/>
  <c r="J37" i="12" s="1"/>
  <c r="L37" i="12" s="1"/>
  <c r="H38" i="13"/>
  <c r="J38" i="13" s="1"/>
  <c r="L38" i="13" s="1"/>
  <c r="F39" i="13"/>
  <c r="F39" i="11"/>
  <c r="F38" i="12"/>
  <c r="D39" i="12"/>
  <c r="D40" i="11"/>
  <c r="D40" i="13"/>
  <c r="J42" i="14"/>
  <c r="L42" i="14" s="1"/>
  <c r="H42" i="11"/>
  <c r="J42" i="11" s="1"/>
  <c r="L42" i="11" s="1"/>
  <c r="H42" i="13"/>
  <c r="J42" i="13" s="1"/>
  <c r="L42" i="13" s="1"/>
  <c r="H41" i="12"/>
  <c r="F43" i="13"/>
  <c r="F43" i="11"/>
  <c r="F42" i="12"/>
  <c r="D43" i="12"/>
  <c r="D44" i="13"/>
  <c r="D44" i="11"/>
  <c r="H46" i="11"/>
  <c r="J46" i="11" s="1"/>
  <c r="L46" i="11" s="1"/>
  <c r="H45" i="12"/>
  <c r="J46" i="14"/>
  <c r="L46" i="14" s="1"/>
  <c r="H46" i="13"/>
  <c r="J46" i="13" s="1"/>
  <c r="L46" i="13" s="1"/>
  <c r="F47" i="13"/>
  <c r="F47" i="11"/>
  <c r="F46" i="12"/>
  <c r="J51" i="14"/>
  <c r="H59" i="14"/>
  <c r="H51" i="13"/>
  <c r="H50" i="12"/>
  <c r="H51" i="11"/>
  <c r="F52" i="13"/>
  <c r="F51" i="12"/>
  <c r="F52" i="11"/>
  <c r="D53" i="13"/>
  <c r="D52" i="12"/>
  <c r="D53" i="11"/>
  <c r="J55" i="14"/>
  <c r="L55" i="14" s="1"/>
  <c r="H54" i="12"/>
  <c r="J54" i="12" s="1"/>
  <c r="L54" i="12" s="1"/>
  <c r="H55" i="11"/>
  <c r="J55" i="11" s="1"/>
  <c r="L55" i="11" s="1"/>
  <c r="F56" i="13"/>
  <c r="F55" i="12"/>
  <c r="F56" i="11"/>
  <c r="D57" i="13"/>
  <c r="D56" i="12"/>
  <c r="D57" i="11"/>
  <c r="D62" i="11"/>
  <c r="D66" i="14"/>
  <c r="D62" i="13"/>
  <c r="D61" i="12"/>
  <c r="H63" i="12"/>
  <c r="H64" i="11"/>
  <c r="J64" i="14"/>
  <c r="L64" i="14" s="1"/>
  <c r="H64" i="13"/>
  <c r="J64" i="13" s="1"/>
  <c r="L64" i="13" s="1"/>
  <c r="F65" i="13"/>
  <c r="F65" i="11"/>
  <c r="F64" i="12"/>
  <c r="H80" i="14"/>
  <c r="H68" i="12"/>
  <c r="J69" i="14"/>
  <c r="H69" i="13"/>
  <c r="H69" i="11"/>
  <c r="F70" i="13"/>
  <c r="F69" i="12"/>
  <c r="F70" i="11"/>
  <c r="D71" i="13"/>
  <c r="D70" i="12"/>
  <c r="D71" i="11"/>
  <c r="H72" i="12"/>
  <c r="J72" i="12" s="1"/>
  <c r="L72" i="12" s="1"/>
  <c r="H73" i="13"/>
  <c r="J73" i="14"/>
  <c r="L73" i="14" s="1"/>
  <c r="H73" i="11"/>
  <c r="F74" i="13"/>
  <c r="F73" i="12"/>
  <c r="F74" i="11"/>
  <c r="D75" i="13"/>
  <c r="D74" i="12"/>
  <c r="D75" i="11"/>
  <c r="H76" i="12"/>
  <c r="J77" i="14"/>
  <c r="L77" i="14" s="1"/>
  <c r="H77" i="13"/>
  <c r="J77" i="13" s="1"/>
  <c r="L77" i="13" s="1"/>
  <c r="H77" i="11"/>
  <c r="J77" i="11" s="1"/>
  <c r="L77" i="11" s="1"/>
  <c r="F78" i="13"/>
  <c r="F77" i="12"/>
  <c r="F78" i="11"/>
  <c r="D79" i="13"/>
  <c r="D78" i="12"/>
  <c r="D79" i="11"/>
  <c r="F83" i="13"/>
  <c r="F83" i="11"/>
  <c r="F95" i="14"/>
  <c r="F82" i="12"/>
  <c r="D84" i="13"/>
  <c r="D83" i="12"/>
  <c r="D84" i="11"/>
  <c r="J86" i="14"/>
  <c r="L86" i="14" s="1"/>
  <c r="H86" i="11"/>
  <c r="J86" i="11" s="1"/>
  <c r="L86" i="11" s="1"/>
  <c r="H86" i="13"/>
  <c r="H85" i="12"/>
  <c r="J85" i="12" s="1"/>
  <c r="L85" i="12" s="1"/>
  <c r="F87" i="13"/>
  <c r="F87" i="11"/>
  <c r="F86" i="12"/>
  <c r="D87" i="12"/>
  <c r="D88" i="13"/>
  <c r="D88" i="11"/>
  <c r="H90" i="11"/>
  <c r="J90" i="11" s="1"/>
  <c r="L90" i="11" s="1"/>
  <c r="H90" i="13"/>
  <c r="J90" i="14"/>
  <c r="L90" i="14" s="1"/>
  <c r="H89" i="12"/>
  <c r="J89" i="12" s="1"/>
  <c r="L89" i="12" s="1"/>
  <c r="F91" i="13"/>
  <c r="F91" i="11"/>
  <c r="F90" i="12"/>
  <c r="D92" i="13"/>
  <c r="D91" i="12"/>
  <c r="D92" i="11"/>
  <c r="H94" i="11"/>
  <c r="H94" i="13"/>
  <c r="J94" i="14"/>
  <c r="L94" i="14" s="1"/>
  <c r="H93" i="12"/>
  <c r="H98" i="12"/>
  <c r="J99" i="14"/>
  <c r="L99" i="14" s="1"/>
  <c r="H99" i="11"/>
  <c r="H99" i="13"/>
  <c r="J99" i="13" s="1"/>
  <c r="L99" i="13" s="1"/>
  <c r="F99" i="12"/>
  <c r="F100" i="11"/>
  <c r="F100" i="13"/>
  <c r="D101" i="11"/>
  <c r="D100" i="12"/>
  <c r="D101" i="13"/>
  <c r="H102" i="12"/>
  <c r="J102" i="12" s="1"/>
  <c r="L102" i="12" s="1"/>
  <c r="H103" i="13"/>
  <c r="H103" i="11"/>
  <c r="J103" i="14"/>
  <c r="L103" i="14" s="1"/>
  <c r="F103" i="12"/>
  <c r="F104" i="11"/>
  <c r="F104" i="13"/>
  <c r="D105" i="13"/>
  <c r="D105" i="11"/>
  <c r="D104" i="12"/>
  <c r="J107" i="14"/>
  <c r="L107" i="14" s="1"/>
  <c r="H106" i="12"/>
  <c r="H107" i="11"/>
  <c r="H107" i="13"/>
  <c r="J107" i="13" s="1"/>
  <c r="L107" i="13" s="1"/>
  <c r="F107" i="12"/>
  <c r="F108" i="11"/>
  <c r="F108" i="13"/>
  <c r="D109" i="11"/>
  <c r="D108" i="12"/>
  <c r="D109" i="13"/>
  <c r="H110" i="12"/>
  <c r="J110" i="12" s="1"/>
  <c r="L110" i="12" s="1"/>
  <c r="H111" i="13"/>
  <c r="J111" i="13" s="1"/>
  <c r="L111" i="13" s="1"/>
  <c r="H111" i="11"/>
  <c r="J111" i="14"/>
  <c r="L111" i="14" s="1"/>
  <c r="F118" i="12"/>
  <c r="F133" i="14"/>
  <c r="D119" i="12"/>
  <c r="J123" i="14"/>
  <c r="L123" i="14" s="1"/>
  <c r="H121" i="12"/>
  <c r="J121" i="12" s="1"/>
  <c r="L121" i="12" s="1"/>
  <c r="F122" i="12"/>
  <c r="D123" i="12"/>
  <c r="H125" i="12"/>
  <c r="J125" i="12" s="1"/>
  <c r="L125" i="12" s="1"/>
  <c r="J127" i="14"/>
  <c r="L127" i="14" s="1"/>
  <c r="F126" i="12"/>
  <c r="D127" i="12"/>
  <c r="F129" i="12"/>
  <c r="D130" i="12"/>
  <c r="F147" i="14"/>
  <c r="F134" i="12"/>
  <c r="D135" i="12"/>
  <c r="H137" i="12"/>
  <c r="J137" i="12" s="1"/>
  <c r="L137" i="12" s="1"/>
  <c r="J139" i="14"/>
  <c r="L139" i="14" s="1"/>
  <c r="F138" i="12"/>
  <c r="D139" i="12"/>
  <c r="J143" i="14"/>
  <c r="L143" i="14" s="1"/>
  <c r="F142" i="12"/>
  <c r="D143" i="12"/>
  <c r="D156" i="14"/>
  <c r="D148" i="12"/>
  <c r="H150" i="12"/>
  <c r="J150" i="12" s="1"/>
  <c r="L150" i="12" s="1"/>
  <c r="J152" i="14"/>
  <c r="L152" i="14" s="1"/>
  <c r="D152" i="12"/>
  <c r="J152" i="12" s="1"/>
  <c r="L152" i="12" s="1"/>
  <c r="D157" i="12"/>
  <c r="D161" i="14"/>
  <c r="D170" i="14"/>
  <c r="D162" i="12"/>
  <c r="J166" i="14"/>
  <c r="L166" i="14" s="1"/>
  <c r="H164" i="12"/>
  <c r="F165" i="12"/>
  <c r="D166" i="12"/>
  <c r="D180" i="14"/>
  <c r="D171" i="12"/>
  <c r="J175" i="14"/>
  <c r="L175" i="14" s="1"/>
  <c r="H173" i="12"/>
  <c r="F174" i="12"/>
  <c r="D175" i="12"/>
  <c r="J179" i="14"/>
  <c r="L179" i="14" s="1"/>
  <c r="H177" i="12"/>
  <c r="J184" i="14"/>
  <c r="L184" i="14" s="1"/>
  <c r="H182" i="12"/>
  <c r="J182" i="12" s="1"/>
  <c r="L182" i="12" s="1"/>
  <c r="F183" i="12"/>
  <c r="D184" i="12"/>
  <c r="J188" i="14"/>
  <c r="L188" i="14" s="1"/>
  <c r="H186" i="12"/>
  <c r="J186" i="12" s="1"/>
  <c r="L186" i="12" s="1"/>
  <c r="F187" i="12"/>
  <c r="D188" i="12"/>
  <c r="H190" i="12"/>
  <c r="J192" i="14"/>
  <c r="L192" i="14" s="1"/>
  <c r="D11" i="15"/>
  <c r="D24" i="16"/>
  <c r="H13" i="15"/>
  <c r="J13" i="16"/>
  <c r="F14" i="15"/>
  <c r="D15" i="15"/>
  <c r="H17" i="15"/>
  <c r="J17" i="15" s="1"/>
  <c r="L17" i="15" s="1"/>
  <c r="J17" i="16"/>
  <c r="L17" i="16" s="1"/>
  <c r="H18" i="15"/>
  <c r="F19" i="15"/>
  <c r="D20" i="15"/>
  <c r="J21" i="16"/>
  <c r="L21" i="16" s="1"/>
  <c r="H22" i="15"/>
  <c r="J22" i="15" s="1"/>
  <c r="L22" i="15" s="1"/>
  <c r="F23" i="15"/>
  <c r="D24" i="15"/>
  <c r="F28" i="15"/>
  <c r="F40" i="16"/>
  <c r="D29" i="15"/>
  <c r="J30" i="16"/>
  <c r="L30" i="16" s="1"/>
  <c r="H31" i="15"/>
  <c r="J31" i="15" s="1"/>
  <c r="L31" i="15" s="1"/>
  <c r="P31" i="15" s="1"/>
  <c r="F32" i="15"/>
  <c r="D33" i="15"/>
  <c r="H35" i="15"/>
  <c r="J35" i="15" s="1"/>
  <c r="L35" i="15" s="1"/>
  <c r="P35" i="15" s="1"/>
  <c r="J34" i="16"/>
  <c r="L34" i="16" s="1"/>
  <c r="F36" i="15"/>
  <c r="J38" i="16"/>
  <c r="L38" i="16" s="1"/>
  <c r="H39" i="15"/>
  <c r="J39" i="15" s="1"/>
  <c r="L39" i="15" s="1"/>
  <c r="F40" i="15"/>
  <c r="H44" i="15"/>
  <c r="J43" i="16"/>
  <c r="H44" i="16"/>
  <c r="H49" i="15"/>
  <c r="J49" i="15" s="1"/>
  <c r="L49" i="15" s="1"/>
  <c r="P49" i="15" s="1"/>
  <c r="J48" i="16"/>
  <c r="L48" i="16" s="1"/>
  <c r="F50" i="15"/>
  <c r="J52" i="16"/>
  <c r="L52" i="16" s="1"/>
  <c r="H53" i="15"/>
  <c r="J53" i="15" s="1"/>
  <c r="L53" i="15" s="1"/>
  <c r="P53" i="15" s="1"/>
  <c r="F54" i="15"/>
  <c r="D72" i="16"/>
  <c r="J64" i="16"/>
  <c r="L64" i="16" s="1"/>
  <c r="D17" i="15"/>
  <c r="J68" i="16"/>
  <c r="L68" i="16" s="1"/>
  <c r="D80" i="16"/>
  <c r="H141" i="12"/>
  <c r="J141" i="12" s="1"/>
  <c r="L141" i="12" s="1"/>
  <c r="H37" i="15"/>
  <c r="J77" i="16"/>
  <c r="L77" i="16" s="1"/>
  <c r="D86" i="16"/>
  <c r="J84" i="16"/>
  <c r="L84" i="16" s="1"/>
  <c r="J85" i="16"/>
  <c r="L85" i="16" s="1"/>
  <c r="J11" i="18"/>
  <c r="D12" i="17"/>
  <c r="D24" i="18"/>
  <c r="D13" i="17"/>
  <c r="J12" i="18"/>
  <c r="L12" i="18" s="1"/>
  <c r="J13" i="18"/>
  <c r="L13" i="18" s="1"/>
  <c r="D14" i="17"/>
  <c r="F15" i="17"/>
  <c r="F16" i="17"/>
  <c r="F17" i="17"/>
  <c r="H39" i="18"/>
  <c r="H42" i="18" s="1"/>
  <c r="N10" i="26"/>
  <c r="N34" i="22"/>
  <c r="R164" i="4"/>
  <c r="R127" i="4" s="1"/>
  <c r="L11" i="26"/>
  <c r="F12" i="26"/>
  <c r="P13" i="26"/>
  <c r="L14" i="26"/>
  <c r="F15" i="26"/>
  <c r="D16" i="26"/>
  <c r="R16" i="22"/>
  <c r="P16" i="26"/>
  <c r="L17" i="26"/>
  <c r="H18" i="26"/>
  <c r="R19" i="22"/>
  <c r="D19" i="26"/>
  <c r="P19" i="26"/>
  <c r="N21" i="26"/>
  <c r="H22" i="26"/>
  <c r="L23" i="26"/>
  <c r="F24" i="26"/>
  <c r="F25" i="26"/>
  <c r="D26" i="26"/>
  <c r="R26" i="22"/>
  <c r="P26" i="26"/>
  <c r="L27" i="26"/>
  <c r="H28" i="26"/>
  <c r="D29" i="26"/>
  <c r="R29" i="22"/>
  <c r="P29" i="26"/>
  <c r="N30" i="26"/>
  <c r="H31" i="26"/>
  <c r="R32" i="22"/>
  <c r="D32" i="26"/>
  <c r="N33" i="26"/>
  <c r="N37" i="26"/>
  <c r="H38" i="26"/>
  <c r="F39" i="26"/>
  <c r="N40" i="26"/>
  <c r="L41" i="26"/>
  <c r="F42" i="26"/>
  <c r="P43" i="26"/>
  <c r="P65" i="22"/>
  <c r="P81" i="22" s="1"/>
  <c r="L46" i="26"/>
  <c r="F47" i="26"/>
  <c r="D48" i="26"/>
  <c r="R46" i="22"/>
  <c r="P48" i="26"/>
  <c r="R48" i="26" s="1"/>
  <c r="L49" i="26"/>
  <c r="H50" i="26"/>
  <c r="R49" i="22"/>
  <c r="D51" i="26"/>
  <c r="P51" i="26"/>
  <c r="N52" i="26"/>
  <c r="H53" i="26"/>
  <c r="R52" i="22"/>
  <c r="D54" i="26"/>
  <c r="N55" i="26"/>
  <c r="H56" i="26"/>
  <c r="F57" i="26"/>
  <c r="N58" i="26"/>
  <c r="L59" i="26"/>
  <c r="F60" i="26"/>
  <c r="P61" i="26"/>
  <c r="L62" i="26"/>
  <c r="F63" i="26"/>
  <c r="D64" i="26"/>
  <c r="R62" i="22"/>
  <c r="P64" i="26"/>
  <c r="L65" i="26"/>
  <c r="H66" i="26"/>
  <c r="L68" i="26"/>
  <c r="F69" i="26"/>
  <c r="P70" i="26"/>
  <c r="L71" i="26"/>
  <c r="F72" i="26"/>
  <c r="D73" i="26"/>
  <c r="R71" i="22"/>
  <c r="P73" i="26"/>
  <c r="L74" i="26"/>
  <c r="H75" i="26"/>
  <c r="R74" i="22"/>
  <c r="D76" i="26"/>
  <c r="P76" i="26"/>
  <c r="N77" i="26"/>
  <c r="H78" i="26"/>
  <c r="D79" i="26"/>
  <c r="R77" i="22"/>
  <c r="N80" i="26"/>
  <c r="H81" i="26"/>
  <c r="F81" i="22"/>
  <c r="F82" i="26"/>
  <c r="F86" i="26"/>
  <c r="F92" i="22"/>
  <c r="H161" i="4"/>
  <c r="N87" i="26"/>
  <c r="L88" i="26"/>
  <c r="F89" i="26"/>
  <c r="P90" i="26"/>
  <c r="L91" i="26"/>
  <c r="F92" i="26"/>
  <c r="R91" i="22"/>
  <c r="D93" i="26"/>
  <c r="P93" i="26"/>
  <c r="H97" i="26"/>
  <c r="J162" i="4"/>
  <c r="F98" i="26"/>
  <c r="N99" i="26"/>
  <c r="L100" i="26"/>
  <c r="F101" i="26"/>
  <c r="F116" i="22"/>
  <c r="P102" i="26"/>
  <c r="L103" i="26"/>
  <c r="F104" i="26"/>
  <c r="D105" i="26"/>
  <c r="R103" i="22"/>
  <c r="P105" i="26"/>
  <c r="L106" i="26"/>
  <c r="H107" i="26"/>
  <c r="R106" i="22"/>
  <c r="D108" i="26"/>
  <c r="P108" i="26"/>
  <c r="N109" i="26"/>
  <c r="H110" i="26"/>
  <c r="R109" i="22"/>
  <c r="D111" i="26"/>
  <c r="N112" i="26"/>
  <c r="H113" i="26"/>
  <c r="F114" i="26"/>
  <c r="N115" i="26"/>
  <c r="L116" i="26"/>
  <c r="F117" i="26"/>
  <c r="R117" i="26" s="1"/>
  <c r="H119" i="26"/>
  <c r="H137" i="22"/>
  <c r="R118" i="22"/>
  <c r="D120" i="26"/>
  <c r="N121" i="26"/>
  <c r="H122" i="26"/>
  <c r="F123" i="26"/>
  <c r="N124" i="26"/>
  <c r="L125" i="26"/>
  <c r="F126" i="26"/>
  <c r="P127" i="26"/>
  <c r="L128" i="26"/>
  <c r="F129" i="26"/>
  <c r="R128" i="22"/>
  <c r="D130" i="26"/>
  <c r="P130" i="26"/>
  <c r="L131" i="26"/>
  <c r="H132" i="26"/>
  <c r="D133" i="26"/>
  <c r="R131" i="22"/>
  <c r="P133" i="26"/>
  <c r="N134" i="26"/>
  <c r="H135" i="26"/>
  <c r="R134" i="22"/>
  <c r="D136" i="26"/>
  <c r="N137" i="26"/>
  <c r="H138" i="26"/>
  <c r="L140" i="26"/>
  <c r="H141" i="26"/>
  <c r="H154" i="22"/>
  <c r="R140" i="22"/>
  <c r="D142" i="26"/>
  <c r="P142" i="26"/>
  <c r="N143" i="26"/>
  <c r="H144" i="26"/>
  <c r="D145" i="26"/>
  <c r="R143" i="22"/>
  <c r="N146" i="26"/>
  <c r="H147" i="26"/>
  <c r="F148" i="26"/>
  <c r="N149" i="26"/>
  <c r="L150" i="26"/>
  <c r="F151" i="26"/>
  <c r="P152" i="26"/>
  <c r="L153" i="26"/>
  <c r="F154" i="26"/>
  <c r="D155" i="26"/>
  <c r="R153" i="22"/>
  <c r="P155" i="26"/>
  <c r="F172" i="22"/>
  <c r="F157" i="26"/>
  <c r="N158" i="26"/>
  <c r="L159" i="26"/>
  <c r="F160" i="26"/>
  <c r="P161" i="26"/>
  <c r="L162" i="26"/>
  <c r="F163" i="26"/>
  <c r="D164" i="26"/>
  <c r="R162" i="22"/>
  <c r="P164" i="26"/>
  <c r="L165" i="26"/>
  <c r="H166" i="26"/>
  <c r="R165" i="22"/>
  <c r="D167" i="26"/>
  <c r="P167" i="26"/>
  <c r="N168" i="26"/>
  <c r="H169" i="26"/>
  <c r="D170" i="26"/>
  <c r="R168" i="22"/>
  <c r="N171" i="26"/>
  <c r="H172" i="26"/>
  <c r="F173" i="26"/>
  <c r="H175" i="26"/>
  <c r="H190" i="22"/>
  <c r="R174" i="22"/>
  <c r="D176" i="26"/>
  <c r="P176" i="26"/>
  <c r="N177" i="26"/>
  <c r="H178" i="26"/>
  <c r="D179" i="26"/>
  <c r="R177" i="22"/>
  <c r="N180" i="26"/>
  <c r="H181" i="26"/>
  <c r="F182" i="26"/>
  <c r="R182" i="26" s="1"/>
  <c r="N183" i="26"/>
  <c r="L184" i="26"/>
  <c r="F185" i="26"/>
  <c r="P186" i="26"/>
  <c r="L187" i="26"/>
  <c r="F188" i="26"/>
  <c r="D189" i="26"/>
  <c r="R187" i="22"/>
  <c r="P189" i="26"/>
  <c r="L190" i="26"/>
  <c r="H191" i="26"/>
  <c r="L193" i="26"/>
  <c r="L200" i="22"/>
  <c r="F194" i="26"/>
  <c r="P195" i="26"/>
  <c r="L196" i="26"/>
  <c r="F197" i="26"/>
  <c r="D198" i="26"/>
  <c r="R196" i="22"/>
  <c r="P198" i="26"/>
  <c r="L199" i="26"/>
  <c r="H200" i="26"/>
  <c r="D201" i="26"/>
  <c r="R199" i="22"/>
  <c r="P201" i="26"/>
  <c r="D203" i="26"/>
  <c r="D217" i="22"/>
  <c r="R201" i="22"/>
  <c r="P203" i="26"/>
  <c r="P217" i="22"/>
  <c r="L204" i="26"/>
  <c r="H205" i="26"/>
  <c r="R204" i="22"/>
  <c r="D206" i="26"/>
  <c r="P206" i="26"/>
  <c r="N207" i="26"/>
  <c r="H208" i="26"/>
  <c r="D209" i="26"/>
  <c r="R207" i="22"/>
  <c r="N210" i="26"/>
  <c r="H211" i="26"/>
  <c r="F212" i="26"/>
  <c r="N213" i="26"/>
  <c r="L214" i="26"/>
  <c r="F215" i="26"/>
  <c r="P216" i="26"/>
  <c r="L217" i="26"/>
  <c r="F218" i="26"/>
  <c r="F220" i="26"/>
  <c r="D224" i="26"/>
  <c r="D231" i="22"/>
  <c r="R222" i="22"/>
  <c r="P231" i="22"/>
  <c r="P224" i="26"/>
  <c r="L225" i="26"/>
  <c r="H226" i="26"/>
  <c r="D227" i="26"/>
  <c r="R225" i="22"/>
  <c r="P227" i="26"/>
  <c r="N228" i="26"/>
  <c r="R228" i="26" s="1"/>
  <c r="H229" i="26"/>
  <c r="D230" i="26"/>
  <c r="R228" i="22"/>
  <c r="L231" i="26"/>
  <c r="N233" i="26"/>
  <c r="N266" i="22"/>
  <c r="H234" i="26"/>
  <c r="F235" i="26"/>
  <c r="N236" i="26"/>
  <c r="L237" i="26"/>
  <c r="F238" i="26"/>
  <c r="H239" i="26"/>
  <c r="F240" i="26"/>
  <c r="N241" i="26"/>
  <c r="L242" i="26"/>
  <c r="F243" i="26"/>
  <c r="R243" i="26" s="1"/>
  <c r="P244" i="26"/>
  <c r="L245" i="26"/>
  <c r="F246" i="26"/>
  <c r="D247" i="26"/>
  <c r="R246" i="22"/>
  <c r="P247" i="26"/>
  <c r="L248" i="26"/>
  <c r="H249" i="26"/>
  <c r="R249" i="22"/>
  <c r="D250" i="26"/>
  <c r="P250" i="26"/>
  <c r="N251" i="26"/>
  <c r="H252" i="26"/>
  <c r="D253" i="26"/>
  <c r="R252" i="22"/>
  <c r="N254" i="26"/>
  <c r="H255" i="26"/>
  <c r="F256" i="26"/>
  <c r="N257" i="26"/>
  <c r="L258" i="26"/>
  <c r="F259" i="26"/>
  <c r="P260" i="26"/>
  <c r="L261" i="26"/>
  <c r="F262" i="26"/>
  <c r="R262" i="22"/>
  <c r="D263" i="26"/>
  <c r="P263" i="26"/>
  <c r="L264" i="26"/>
  <c r="H265" i="26"/>
  <c r="R265" i="22"/>
  <c r="D266" i="26"/>
  <c r="P266" i="26"/>
  <c r="R266" i="26" s="1"/>
  <c r="D268" i="26"/>
  <c r="D275" i="22"/>
  <c r="R267" i="22"/>
  <c r="P268" i="26"/>
  <c r="P275" i="22"/>
  <c r="L269" i="26"/>
  <c r="H270" i="26"/>
  <c r="R270" i="22"/>
  <c r="D271" i="26"/>
  <c r="P271" i="26"/>
  <c r="N272" i="26"/>
  <c r="H273" i="26"/>
  <c r="R273" i="22"/>
  <c r="D274" i="26"/>
  <c r="N275" i="26"/>
  <c r="N340" i="22"/>
  <c r="N277" i="26"/>
  <c r="H278" i="26"/>
  <c r="R278" i="22"/>
  <c r="D279" i="26"/>
  <c r="N280" i="26"/>
  <c r="H281" i="26"/>
  <c r="F282" i="26"/>
  <c r="N283" i="26"/>
  <c r="L284" i="26"/>
  <c r="F285" i="26"/>
  <c r="P286" i="26"/>
  <c r="L287" i="26"/>
  <c r="F288" i="26"/>
  <c r="D289" i="26"/>
  <c r="R288" i="22"/>
  <c r="P289" i="26"/>
  <c r="L290" i="26"/>
  <c r="H291" i="26"/>
  <c r="D292" i="26"/>
  <c r="R291" i="22"/>
  <c r="P292" i="26"/>
  <c r="N293" i="26"/>
  <c r="H294" i="26"/>
  <c r="R294" i="22"/>
  <c r="D295" i="26"/>
  <c r="N296" i="26"/>
  <c r="H297" i="26"/>
  <c r="F298" i="26"/>
  <c r="N299" i="26"/>
  <c r="L300" i="26"/>
  <c r="F301" i="26"/>
  <c r="P302" i="26"/>
  <c r="L303" i="26"/>
  <c r="F304" i="26"/>
  <c r="D305" i="26"/>
  <c r="R304" i="22"/>
  <c r="P305" i="26"/>
  <c r="L306" i="26"/>
  <c r="H307" i="26"/>
  <c r="D308" i="26"/>
  <c r="R308" i="26" s="1"/>
  <c r="R307" i="22"/>
  <c r="P308" i="26"/>
  <c r="N309" i="26"/>
  <c r="H310" i="26"/>
  <c r="R310" i="22"/>
  <c r="D311" i="26"/>
  <c r="N312" i="26"/>
  <c r="H313" i="26"/>
  <c r="F314" i="26"/>
  <c r="N315" i="26"/>
  <c r="L316" i="26"/>
  <c r="F317" i="26"/>
  <c r="P318" i="26"/>
  <c r="L319" i="26"/>
  <c r="F320" i="26"/>
  <c r="D321" i="26"/>
  <c r="R320" i="22"/>
  <c r="P321" i="26"/>
  <c r="L322" i="26"/>
  <c r="H323" i="26"/>
  <c r="D324" i="26"/>
  <c r="R323" i="22"/>
  <c r="P324" i="26"/>
  <c r="N325" i="26"/>
  <c r="H326" i="26"/>
  <c r="D327" i="26"/>
  <c r="R326" i="22"/>
  <c r="N328" i="26"/>
  <c r="H329" i="26"/>
  <c r="F330" i="26"/>
  <c r="N331" i="26"/>
  <c r="L332" i="26"/>
  <c r="F333" i="26"/>
  <c r="P334" i="26"/>
  <c r="L335" i="26"/>
  <c r="F336" i="26"/>
  <c r="R336" i="22"/>
  <c r="D337" i="26"/>
  <c r="P337" i="26"/>
  <c r="L338" i="26"/>
  <c r="H339" i="26"/>
  <c r="D340" i="26"/>
  <c r="R339" i="22"/>
  <c r="P340" i="26"/>
  <c r="D342" i="26"/>
  <c r="D351" i="22"/>
  <c r="R341" i="22"/>
  <c r="P342" i="26"/>
  <c r="P351" i="22"/>
  <c r="L343" i="26"/>
  <c r="H344" i="26"/>
  <c r="D345" i="26"/>
  <c r="R344" i="22"/>
  <c r="P345" i="26"/>
  <c r="N346" i="26"/>
  <c r="H347" i="26"/>
  <c r="D348" i="26"/>
  <c r="R347" i="22"/>
  <c r="N349" i="26"/>
  <c r="H350" i="26"/>
  <c r="F351" i="26"/>
  <c r="H353" i="26"/>
  <c r="H367" i="22"/>
  <c r="R353" i="22"/>
  <c r="D354" i="26"/>
  <c r="P354" i="26"/>
  <c r="N355" i="26"/>
  <c r="H356" i="26"/>
  <c r="D357" i="26"/>
  <c r="R356" i="22"/>
  <c r="N358" i="26"/>
  <c r="H359" i="26"/>
  <c r="R359" i="26" s="1"/>
  <c r="F360" i="26"/>
  <c r="N361" i="26"/>
  <c r="L362" i="26"/>
  <c r="F363" i="26"/>
  <c r="P364" i="26"/>
  <c r="L365" i="26"/>
  <c r="F366" i="26"/>
  <c r="D367" i="26"/>
  <c r="R366" i="22"/>
  <c r="P367" i="26"/>
  <c r="F369" i="26"/>
  <c r="N370" i="26"/>
  <c r="N405" i="22"/>
  <c r="L371" i="26"/>
  <c r="F372" i="26"/>
  <c r="P373" i="26"/>
  <c r="L374" i="26"/>
  <c r="F375" i="26"/>
  <c r="D376" i="26"/>
  <c r="R375" i="22"/>
  <c r="P376" i="26"/>
  <c r="L377" i="26"/>
  <c r="H378" i="26"/>
  <c r="D379" i="26"/>
  <c r="R378" i="22"/>
  <c r="P379" i="26"/>
  <c r="N380" i="26"/>
  <c r="H381" i="26"/>
  <c r="D382" i="26"/>
  <c r="R381" i="22"/>
  <c r="N383" i="26"/>
  <c r="H384" i="26"/>
  <c r="F385" i="26"/>
  <c r="N386" i="26"/>
  <c r="L387" i="26"/>
  <c r="F388" i="26"/>
  <c r="P389" i="26"/>
  <c r="L390" i="26"/>
  <c r="F391" i="26"/>
  <c r="D392" i="26"/>
  <c r="R392" i="26" s="1"/>
  <c r="R391" i="22"/>
  <c r="P392" i="26"/>
  <c r="L393" i="26"/>
  <c r="H394" i="26"/>
  <c r="D395" i="26"/>
  <c r="R394" i="22"/>
  <c r="P395" i="26"/>
  <c r="N396" i="26"/>
  <c r="H397" i="26"/>
  <c r="D398" i="26"/>
  <c r="R397" i="22"/>
  <c r="N399" i="26"/>
  <c r="H400" i="26"/>
  <c r="F401" i="26"/>
  <c r="N402" i="26"/>
  <c r="L403" i="26"/>
  <c r="F404" i="26"/>
  <c r="P405" i="26"/>
  <c r="D407" i="26"/>
  <c r="R406" i="22"/>
  <c r="D415" i="22"/>
  <c r="N408" i="26"/>
  <c r="H409" i="26"/>
  <c r="F410" i="26"/>
  <c r="N411" i="26"/>
  <c r="L412" i="26"/>
  <c r="F413" i="26"/>
  <c r="P414" i="26"/>
  <c r="L415" i="26"/>
  <c r="N417" i="26"/>
  <c r="N434" i="22"/>
  <c r="H418" i="26"/>
  <c r="R418" i="26" s="1"/>
  <c r="F419" i="26"/>
  <c r="N420" i="26"/>
  <c r="L421" i="26"/>
  <c r="F422" i="26"/>
  <c r="P423" i="26"/>
  <c r="L424" i="26"/>
  <c r="F425" i="26"/>
  <c r="D426" i="26"/>
  <c r="R425" i="22"/>
  <c r="P426" i="26"/>
  <c r="L427" i="26"/>
  <c r="H428" i="26"/>
  <c r="D429" i="26"/>
  <c r="R428" i="22"/>
  <c r="P429" i="26"/>
  <c r="N430" i="26"/>
  <c r="H431" i="26"/>
  <c r="R431" i="22"/>
  <c r="D432" i="26"/>
  <c r="N433" i="26"/>
  <c r="H434" i="26"/>
  <c r="L436" i="26"/>
  <c r="H437" i="26"/>
  <c r="N441" i="26"/>
  <c r="R163" i="4"/>
  <c r="R126" i="4" s="1"/>
  <c r="H442" i="26"/>
  <c r="D443" i="26"/>
  <c r="R442" i="22"/>
  <c r="N444" i="26"/>
  <c r="H445" i="26"/>
  <c r="F446" i="26"/>
  <c r="N447" i="26"/>
  <c r="L448" i="26"/>
  <c r="F449" i="26"/>
  <c r="P450" i="26"/>
  <c r="L451" i="26"/>
  <c r="F452" i="26"/>
  <c r="F454" i="26" s="1"/>
  <c r="F453" i="22"/>
  <c r="D453" i="26"/>
  <c r="R452" i="22"/>
  <c r="P453" i="26"/>
  <c r="F455" i="26"/>
  <c r="N456" i="26"/>
  <c r="N457" i="22"/>
  <c r="L457" i="26"/>
  <c r="H459" i="26"/>
  <c r="F460" i="26"/>
  <c r="F461" i="22"/>
  <c r="N461" i="26"/>
  <c r="D463" i="26"/>
  <c r="R462" i="22"/>
  <c r="P463" i="26"/>
  <c r="N464" i="26"/>
  <c r="H465" i="26"/>
  <c r="D466" i="26"/>
  <c r="R465" i="22"/>
  <c r="H474" i="26"/>
  <c r="H478" i="22"/>
  <c r="H481" i="22" s="1"/>
  <c r="D475" i="26"/>
  <c r="R474" i="22"/>
  <c r="F165" i="4"/>
  <c r="N476" i="26"/>
  <c r="H477" i="26"/>
  <c r="F478" i="26"/>
  <c r="F23" i="23"/>
  <c r="R11" i="23"/>
  <c r="N13" i="15" s="1"/>
  <c r="R14" i="23"/>
  <c r="N16" i="15" s="1"/>
  <c r="R17" i="23"/>
  <c r="N19" i="15" s="1"/>
  <c r="R21" i="23"/>
  <c r="N23" i="15" s="1"/>
  <c r="P29" i="23"/>
  <c r="P44" i="26"/>
  <c r="L45" i="26"/>
  <c r="R39" i="23"/>
  <c r="N53" i="23"/>
  <c r="R47" i="23"/>
  <c r="N51" i="15" s="1"/>
  <c r="L22" i="24"/>
  <c r="R12" i="24"/>
  <c r="N15" i="17" s="1"/>
  <c r="R15" i="24"/>
  <c r="N28" i="24"/>
  <c r="R27" i="24"/>
  <c r="N30" i="17" s="1"/>
  <c r="H13" i="17"/>
  <c r="F14" i="17"/>
  <c r="D15" i="17"/>
  <c r="J15" i="17" s="1"/>
  <c r="L15" i="17" s="1"/>
  <c r="J14" i="18"/>
  <c r="L14" i="18" s="1"/>
  <c r="H17" i="17"/>
  <c r="F20" i="17"/>
  <c r="J20" i="18"/>
  <c r="L20" i="18" s="1"/>
  <c r="D21" i="17"/>
  <c r="J21" i="17" s="1"/>
  <c r="L21" i="17" s="1"/>
  <c r="H23" i="17"/>
  <c r="F24" i="17"/>
  <c r="H30" i="18"/>
  <c r="H28" i="17"/>
  <c r="H31" i="17" s="1"/>
  <c r="F29" i="17"/>
  <c r="J29" i="18"/>
  <c r="L29" i="18" s="1"/>
  <c r="D30" i="17"/>
  <c r="J30" i="17" s="1"/>
  <c r="L30" i="17" s="1"/>
  <c r="F10" i="26"/>
  <c r="F34" i="22"/>
  <c r="H164" i="4"/>
  <c r="H127" i="4" s="1"/>
  <c r="P34" i="22"/>
  <c r="P10" i="26"/>
  <c r="T164" i="4"/>
  <c r="T127" i="4" s="1"/>
  <c r="H11" i="26"/>
  <c r="L12" i="26"/>
  <c r="D13" i="26"/>
  <c r="R13" i="26" s="1"/>
  <c r="R13" i="22"/>
  <c r="N13" i="26"/>
  <c r="F14" i="26"/>
  <c r="P14" i="26"/>
  <c r="H15" i="26"/>
  <c r="L16" i="26"/>
  <c r="D17" i="26"/>
  <c r="R17" i="22"/>
  <c r="N17" i="26"/>
  <c r="F18" i="26"/>
  <c r="P18" i="26"/>
  <c r="H19" i="26"/>
  <c r="N20" i="26"/>
  <c r="H21" i="26"/>
  <c r="N22" i="26"/>
  <c r="H23" i="26"/>
  <c r="N24" i="26"/>
  <c r="H25" i="26"/>
  <c r="L26" i="26"/>
  <c r="D27" i="26"/>
  <c r="R27" i="22"/>
  <c r="N27" i="26"/>
  <c r="F28" i="26"/>
  <c r="P28" i="26"/>
  <c r="H29" i="26"/>
  <c r="L30" i="26"/>
  <c r="D31" i="26"/>
  <c r="R31" i="22"/>
  <c r="N31" i="26"/>
  <c r="F32" i="26"/>
  <c r="P32" i="26"/>
  <c r="H33" i="26"/>
  <c r="H37" i="26"/>
  <c r="L38" i="26"/>
  <c r="D39" i="26"/>
  <c r="R39" i="22"/>
  <c r="N39" i="26"/>
  <c r="F40" i="26"/>
  <c r="P40" i="26"/>
  <c r="H41" i="26"/>
  <c r="L42" i="26"/>
  <c r="D43" i="26"/>
  <c r="D65" i="22"/>
  <c r="R43" i="22"/>
  <c r="N65" i="22"/>
  <c r="N81" i="22" s="1"/>
  <c r="N43" i="26"/>
  <c r="F46" i="26"/>
  <c r="P46" i="26"/>
  <c r="H47" i="26"/>
  <c r="L48" i="26"/>
  <c r="D49" i="26"/>
  <c r="R47" i="22"/>
  <c r="N49" i="26"/>
  <c r="F50" i="26"/>
  <c r="P50" i="26"/>
  <c r="H51" i="26"/>
  <c r="L52" i="26"/>
  <c r="D53" i="26"/>
  <c r="R51" i="22"/>
  <c r="N53" i="26"/>
  <c r="F54" i="26"/>
  <c r="P54" i="26"/>
  <c r="H55" i="26"/>
  <c r="L56" i="26"/>
  <c r="D57" i="26"/>
  <c r="R55" i="22"/>
  <c r="N57" i="26"/>
  <c r="F58" i="26"/>
  <c r="P58" i="26"/>
  <c r="H59" i="26"/>
  <c r="L60" i="26"/>
  <c r="D61" i="26"/>
  <c r="R59" i="22"/>
  <c r="N61" i="26"/>
  <c r="F62" i="26"/>
  <c r="P62" i="26"/>
  <c r="H63" i="26"/>
  <c r="L64" i="26"/>
  <c r="D65" i="26"/>
  <c r="R63" i="22"/>
  <c r="N65" i="26"/>
  <c r="F66" i="26"/>
  <c r="P66" i="26"/>
  <c r="H68" i="26"/>
  <c r="L69" i="26"/>
  <c r="D70" i="26"/>
  <c r="R68" i="22"/>
  <c r="N70" i="26"/>
  <c r="F71" i="26"/>
  <c r="P71" i="26"/>
  <c r="H72" i="26"/>
  <c r="L73" i="26"/>
  <c r="R72" i="22"/>
  <c r="D74" i="26"/>
  <c r="N74" i="26"/>
  <c r="F75" i="26"/>
  <c r="P75" i="26"/>
  <c r="H76" i="26"/>
  <c r="L77" i="26"/>
  <c r="D78" i="26"/>
  <c r="R76" i="22"/>
  <c r="N78" i="26"/>
  <c r="F79" i="26"/>
  <c r="P79" i="26"/>
  <c r="H80" i="26"/>
  <c r="L81" i="26"/>
  <c r="D81" i="22"/>
  <c r="R80" i="22"/>
  <c r="D82" i="26"/>
  <c r="N82" i="26"/>
  <c r="D86" i="26"/>
  <c r="R84" i="22"/>
  <c r="D92" i="22"/>
  <c r="F161" i="4"/>
  <c r="N86" i="26"/>
  <c r="N92" i="22"/>
  <c r="R161" i="4"/>
  <c r="V161" i="4" s="1"/>
  <c r="F87" i="26"/>
  <c r="P87" i="26"/>
  <c r="H88" i="26"/>
  <c r="R88" i="26" s="1"/>
  <c r="L89" i="26"/>
  <c r="R88" i="22"/>
  <c r="D90" i="26"/>
  <c r="N90" i="26"/>
  <c r="F91" i="26"/>
  <c r="P91" i="26"/>
  <c r="H92" i="26"/>
  <c r="L93" i="26"/>
  <c r="R93" i="26" s="1"/>
  <c r="L97" i="26"/>
  <c r="P162" i="4"/>
  <c r="P125" i="4" s="1"/>
  <c r="D98" i="26"/>
  <c r="R96" i="22"/>
  <c r="N98" i="26"/>
  <c r="F99" i="26"/>
  <c r="P99" i="26"/>
  <c r="H100" i="26"/>
  <c r="R100" i="26" s="1"/>
  <c r="L101" i="26"/>
  <c r="L116" i="22"/>
  <c r="R100" i="22"/>
  <c r="D102" i="26"/>
  <c r="N102" i="26"/>
  <c r="F103" i="26"/>
  <c r="P103" i="26"/>
  <c r="H104" i="26"/>
  <c r="R104" i="26" s="1"/>
  <c r="L105" i="26"/>
  <c r="R104" i="22"/>
  <c r="D106" i="26"/>
  <c r="N106" i="26"/>
  <c r="F107" i="26"/>
  <c r="P107" i="26"/>
  <c r="H108" i="26"/>
  <c r="L109" i="26"/>
  <c r="D110" i="26"/>
  <c r="R108" i="22"/>
  <c r="N110" i="26"/>
  <c r="F111" i="26"/>
  <c r="P111" i="26"/>
  <c r="H112" i="26"/>
  <c r="L113" i="26"/>
  <c r="D114" i="26"/>
  <c r="R114" i="26" s="1"/>
  <c r="R112" i="22"/>
  <c r="N114" i="26"/>
  <c r="F115" i="26"/>
  <c r="P115" i="26"/>
  <c r="H116" i="26"/>
  <c r="L117" i="26"/>
  <c r="D137" i="22"/>
  <c r="R117" i="22"/>
  <c r="D119" i="26"/>
  <c r="N119" i="26"/>
  <c r="N137" i="22"/>
  <c r="F120" i="26"/>
  <c r="P120" i="26"/>
  <c r="H121" i="26"/>
  <c r="L122" i="26"/>
  <c r="D123" i="26"/>
  <c r="R121" i="22"/>
  <c r="N123" i="26"/>
  <c r="F124" i="26"/>
  <c r="P124" i="26"/>
  <c r="R124" i="26" s="1"/>
  <c r="H125" i="26"/>
  <c r="L126" i="26"/>
  <c r="R125" i="22"/>
  <c r="D127" i="26"/>
  <c r="N127" i="26"/>
  <c r="F128" i="26"/>
  <c r="P128" i="26"/>
  <c r="H129" i="26"/>
  <c r="L130" i="26"/>
  <c r="D131" i="26"/>
  <c r="R129" i="22"/>
  <c r="N131" i="26"/>
  <c r="F132" i="26"/>
  <c r="P132" i="26"/>
  <c r="H133" i="26"/>
  <c r="L134" i="26"/>
  <c r="R133" i="22"/>
  <c r="D135" i="26"/>
  <c r="N135" i="26"/>
  <c r="F136" i="26"/>
  <c r="R136" i="26" s="1"/>
  <c r="P136" i="26"/>
  <c r="H137" i="26"/>
  <c r="L138" i="26"/>
  <c r="R138" i="22"/>
  <c r="D140" i="26"/>
  <c r="N140" i="26"/>
  <c r="F154" i="22"/>
  <c r="F141" i="26"/>
  <c r="R141" i="26" s="1"/>
  <c r="P154" i="22"/>
  <c r="P141" i="26"/>
  <c r="H142" i="26"/>
  <c r="L143" i="26"/>
  <c r="D144" i="26"/>
  <c r="R142" i="22"/>
  <c r="N144" i="26"/>
  <c r="F145" i="26"/>
  <c r="R145" i="26" s="1"/>
  <c r="P145" i="26"/>
  <c r="H146" i="26"/>
  <c r="L147" i="26"/>
  <c r="R146" i="22"/>
  <c r="D148" i="26"/>
  <c r="N148" i="26"/>
  <c r="F149" i="26"/>
  <c r="P149" i="26"/>
  <c r="H150" i="26"/>
  <c r="L151" i="26"/>
  <c r="D152" i="26"/>
  <c r="R150" i="22"/>
  <c r="N152" i="26"/>
  <c r="F153" i="26"/>
  <c r="P153" i="26"/>
  <c r="H154" i="26"/>
  <c r="R154" i="26" s="1"/>
  <c r="L155" i="26"/>
  <c r="D157" i="26"/>
  <c r="R155" i="22"/>
  <c r="D172" i="22"/>
  <c r="N172" i="22"/>
  <c r="N157" i="26"/>
  <c r="F158" i="26"/>
  <c r="P158" i="26"/>
  <c r="H159" i="26"/>
  <c r="L160" i="26"/>
  <c r="D161" i="26"/>
  <c r="R159" i="22"/>
  <c r="N161" i="26"/>
  <c r="F162" i="26"/>
  <c r="P162" i="26"/>
  <c r="H163" i="26"/>
  <c r="L164" i="26"/>
  <c r="D165" i="26"/>
  <c r="R163" i="22"/>
  <c r="N165" i="26"/>
  <c r="F166" i="26"/>
  <c r="P166" i="26"/>
  <c r="H167" i="26"/>
  <c r="L168" i="26"/>
  <c r="D169" i="26"/>
  <c r="R167" i="22"/>
  <c r="N169" i="26"/>
  <c r="F170" i="26"/>
  <c r="P170" i="26"/>
  <c r="H171" i="26"/>
  <c r="L172" i="26"/>
  <c r="D173" i="26"/>
  <c r="R171" i="22"/>
  <c r="N173" i="26"/>
  <c r="F175" i="26"/>
  <c r="F190" i="22"/>
  <c r="F219" i="22" s="1"/>
  <c r="P175" i="26"/>
  <c r="P190" i="22"/>
  <c r="H176" i="26"/>
  <c r="L177" i="26"/>
  <c r="D178" i="26"/>
  <c r="R176" i="22"/>
  <c r="N178" i="26"/>
  <c r="F179" i="26"/>
  <c r="P179" i="26"/>
  <c r="H180" i="26"/>
  <c r="L181" i="26"/>
  <c r="R180" i="22"/>
  <c r="D182" i="26"/>
  <c r="N182" i="26"/>
  <c r="F183" i="26"/>
  <c r="P183" i="26"/>
  <c r="H184" i="26"/>
  <c r="L185" i="26"/>
  <c r="R184" i="22"/>
  <c r="D186" i="26"/>
  <c r="N186" i="26"/>
  <c r="F187" i="26"/>
  <c r="P187" i="26"/>
  <c r="H188" i="26"/>
  <c r="L189" i="26"/>
  <c r="D190" i="26"/>
  <c r="R188" i="22"/>
  <c r="N190" i="26"/>
  <c r="F191" i="26"/>
  <c r="P191" i="26"/>
  <c r="H193" i="26"/>
  <c r="H200" i="22"/>
  <c r="L194" i="26"/>
  <c r="D195" i="26"/>
  <c r="R193" i="22"/>
  <c r="N195" i="26"/>
  <c r="F196" i="26"/>
  <c r="P196" i="26"/>
  <c r="H197" i="26"/>
  <c r="L198" i="26"/>
  <c r="D199" i="26"/>
  <c r="R197" i="22"/>
  <c r="N199" i="26"/>
  <c r="F200" i="26"/>
  <c r="R200" i="26" s="1"/>
  <c r="P200" i="26"/>
  <c r="H201" i="26"/>
  <c r="L217" i="22"/>
  <c r="L203" i="26"/>
  <c r="R202" i="22"/>
  <c r="D204" i="26"/>
  <c r="N204" i="26"/>
  <c r="F205" i="26"/>
  <c r="P205" i="26"/>
  <c r="H206" i="26"/>
  <c r="L207" i="26"/>
  <c r="D208" i="26"/>
  <c r="R206" i="22"/>
  <c r="N208" i="26"/>
  <c r="F209" i="26"/>
  <c r="P209" i="26"/>
  <c r="R209" i="26" s="1"/>
  <c r="H210" i="26"/>
  <c r="L211" i="26"/>
  <c r="R210" i="22"/>
  <c r="D212" i="26"/>
  <c r="N212" i="26"/>
  <c r="F213" i="26"/>
  <c r="P213" i="26"/>
  <c r="H214" i="26"/>
  <c r="L215" i="26"/>
  <c r="D216" i="26"/>
  <c r="R214" i="22"/>
  <c r="N216" i="26"/>
  <c r="F217" i="26"/>
  <c r="P217" i="26"/>
  <c r="H218" i="26"/>
  <c r="L220" i="26"/>
  <c r="L224" i="26"/>
  <c r="L231" i="22"/>
  <c r="R223" i="22"/>
  <c r="D225" i="26"/>
  <c r="R225" i="26" s="1"/>
  <c r="N225" i="26"/>
  <c r="F226" i="26"/>
  <c r="P226" i="26"/>
  <c r="H227" i="26"/>
  <c r="R227" i="26" s="1"/>
  <c r="L228" i="26"/>
  <c r="D229" i="26"/>
  <c r="R227" i="22"/>
  <c r="N229" i="26"/>
  <c r="F230" i="26"/>
  <c r="P230" i="26"/>
  <c r="F231" i="26"/>
  <c r="P231" i="26"/>
  <c r="H233" i="26"/>
  <c r="H266" i="22"/>
  <c r="L234" i="26"/>
  <c r="D235" i="26"/>
  <c r="R235" i="26" s="1"/>
  <c r="R234" i="22"/>
  <c r="N235" i="26"/>
  <c r="F236" i="26"/>
  <c r="P236" i="26"/>
  <c r="R236" i="26" s="1"/>
  <c r="H237" i="26"/>
  <c r="L239" i="26"/>
  <c r="D240" i="26"/>
  <c r="R239" i="22"/>
  <c r="N240" i="26"/>
  <c r="F241" i="26"/>
  <c r="P241" i="26"/>
  <c r="H242" i="26"/>
  <c r="R242" i="26" s="1"/>
  <c r="L243" i="26"/>
  <c r="R243" i="22"/>
  <c r="D244" i="26"/>
  <c r="N244" i="26"/>
  <c r="R244" i="26" s="1"/>
  <c r="F245" i="26"/>
  <c r="P245" i="26"/>
  <c r="H246" i="26"/>
  <c r="L247" i="26"/>
  <c r="R247" i="26" s="1"/>
  <c r="R247" i="22"/>
  <c r="D248" i="26"/>
  <c r="N248" i="26"/>
  <c r="F249" i="26"/>
  <c r="R249" i="26" s="1"/>
  <c r="P249" i="26"/>
  <c r="H250" i="26"/>
  <c r="L251" i="26"/>
  <c r="D252" i="26"/>
  <c r="R252" i="26" s="1"/>
  <c r="R251" i="22"/>
  <c r="N252" i="26"/>
  <c r="F253" i="26"/>
  <c r="P253" i="26"/>
  <c r="H254" i="26"/>
  <c r="L255" i="26"/>
  <c r="D256" i="26"/>
  <c r="R255" i="22"/>
  <c r="N256" i="26"/>
  <c r="F257" i="26"/>
  <c r="P257" i="26"/>
  <c r="H258" i="26"/>
  <c r="L259" i="26"/>
  <c r="D260" i="26"/>
  <c r="R259" i="22"/>
  <c r="N260" i="26"/>
  <c r="R260" i="26" s="1"/>
  <c r="F261" i="26"/>
  <c r="P261" i="26"/>
  <c r="H262" i="26"/>
  <c r="L263" i="26"/>
  <c r="D264" i="26"/>
  <c r="R263" i="22"/>
  <c r="N264" i="26"/>
  <c r="F265" i="26"/>
  <c r="P265" i="26"/>
  <c r="H266" i="26"/>
  <c r="L268" i="26"/>
  <c r="L275" i="22"/>
  <c r="D269" i="26"/>
  <c r="R268" i="22"/>
  <c r="N269" i="26"/>
  <c r="F270" i="26"/>
  <c r="P270" i="26"/>
  <c r="H271" i="26"/>
  <c r="L272" i="26"/>
  <c r="D273" i="26"/>
  <c r="R273" i="26" s="1"/>
  <c r="R272" i="22"/>
  <c r="N273" i="26"/>
  <c r="F274" i="26"/>
  <c r="P274" i="26"/>
  <c r="H275" i="26"/>
  <c r="L340" i="22"/>
  <c r="L277" i="26"/>
  <c r="D278" i="26"/>
  <c r="R278" i="26" s="1"/>
  <c r="R277" i="22"/>
  <c r="N278" i="26"/>
  <c r="F279" i="26"/>
  <c r="P279" i="26"/>
  <c r="H280" i="26"/>
  <c r="L281" i="26"/>
  <c r="D282" i="26"/>
  <c r="R281" i="22"/>
  <c r="N282" i="26"/>
  <c r="F283" i="26"/>
  <c r="P283" i="26"/>
  <c r="H284" i="26"/>
  <c r="L285" i="26"/>
  <c r="D286" i="26"/>
  <c r="R285" i="22"/>
  <c r="N286" i="26"/>
  <c r="R286" i="26" s="1"/>
  <c r="F287" i="26"/>
  <c r="P287" i="26"/>
  <c r="H288" i="26"/>
  <c r="L289" i="26"/>
  <c r="R289" i="26" s="1"/>
  <c r="D290" i="26"/>
  <c r="R289" i="22"/>
  <c r="N290" i="26"/>
  <c r="F291" i="26"/>
  <c r="P291" i="26"/>
  <c r="H292" i="26"/>
  <c r="L293" i="26"/>
  <c r="D294" i="26"/>
  <c r="R294" i="26" s="1"/>
  <c r="R293" i="22"/>
  <c r="N294" i="26"/>
  <c r="F295" i="26"/>
  <c r="P295" i="26"/>
  <c r="H296" i="26"/>
  <c r="L297" i="26"/>
  <c r="R297" i="22"/>
  <c r="D298" i="26"/>
  <c r="R298" i="26" s="1"/>
  <c r="N298" i="26"/>
  <c r="F299" i="26"/>
  <c r="P299" i="26"/>
  <c r="H300" i="26"/>
  <c r="L301" i="26"/>
  <c r="D302" i="26"/>
  <c r="R301" i="22"/>
  <c r="N302" i="26"/>
  <c r="R302" i="26" s="1"/>
  <c r="F303" i="26"/>
  <c r="P303" i="26"/>
  <c r="H304" i="26"/>
  <c r="L305" i="26"/>
  <c r="D306" i="26"/>
  <c r="R305" i="22"/>
  <c r="N306" i="26"/>
  <c r="F307" i="26"/>
  <c r="P307" i="26"/>
  <c r="H308" i="26"/>
  <c r="L309" i="26"/>
  <c r="D310" i="26"/>
  <c r="R310" i="26" s="1"/>
  <c r="R309" i="22"/>
  <c r="N310" i="26"/>
  <c r="F311" i="26"/>
  <c r="P311" i="26"/>
  <c r="H312" i="26"/>
  <c r="L313" i="26"/>
  <c r="R313" i="22"/>
  <c r="D314" i="26"/>
  <c r="R314" i="26" s="1"/>
  <c r="N314" i="26"/>
  <c r="F315" i="26"/>
  <c r="P315" i="26"/>
  <c r="H316" i="26"/>
  <c r="L317" i="26"/>
  <c r="D318" i="26"/>
  <c r="R317" i="22"/>
  <c r="N318" i="26"/>
  <c r="F319" i="26"/>
  <c r="P319" i="26"/>
  <c r="H320" i="26"/>
  <c r="L321" i="26"/>
  <c r="R321" i="26" s="1"/>
  <c r="D322" i="26"/>
  <c r="R321" i="22"/>
  <c r="N322" i="26"/>
  <c r="F323" i="26"/>
  <c r="R323" i="26" s="1"/>
  <c r="P323" i="26"/>
  <c r="H324" i="26"/>
  <c r="L325" i="26"/>
  <c r="R325" i="22"/>
  <c r="D326" i="26"/>
  <c r="N326" i="26"/>
  <c r="F327" i="26"/>
  <c r="P327" i="26"/>
  <c r="H328" i="26"/>
  <c r="L329" i="26"/>
  <c r="R329" i="22"/>
  <c r="D330" i="26"/>
  <c r="R330" i="26" s="1"/>
  <c r="N330" i="26"/>
  <c r="F331" i="26"/>
  <c r="P331" i="26"/>
  <c r="H332" i="26"/>
  <c r="L333" i="26"/>
  <c r="D334" i="26"/>
  <c r="R333" i="22"/>
  <c r="N334" i="26"/>
  <c r="R334" i="26" s="1"/>
  <c r="F335" i="26"/>
  <c r="P335" i="26"/>
  <c r="H336" i="26"/>
  <c r="L337" i="26"/>
  <c r="D338" i="26"/>
  <c r="R337" i="22"/>
  <c r="N338" i="26"/>
  <c r="F339" i="26"/>
  <c r="P339" i="26"/>
  <c r="H340" i="26"/>
  <c r="L351" i="22"/>
  <c r="L342" i="26"/>
  <c r="L352" i="26" s="1"/>
  <c r="D343" i="26"/>
  <c r="R342" i="22"/>
  <c r="N343" i="26"/>
  <c r="F344" i="26"/>
  <c r="P344" i="26"/>
  <c r="H345" i="26"/>
  <c r="L346" i="26"/>
  <c r="D347" i="26"/>
  <c r="R347" i="26" s="1"/>
  <c r="R346" i="22"/>
  <c r="N347" i="26"/>
  <c r="F348" i="26"/>
  <c r="P348" i="26"/>
  <c r="R348" i="26" s="1"/>
  <c r="H349" i="26"/>
  <c r="L350" i="26"/>
  <c r="D351" i="26"/>
  <c r="R350" i="22"/>
  <c r="N351" i="26"/>
  <c r="F353" i="26"/>
  <c r="F367" i="22"/>
  <c r="P353" i="26"/>
  <c r="P367" i="22"/>
  <c r="H354" i="26"/>
  <c r="L355" i="26"/>
  <c r="D356" i="26"/>
  <c r="R356" i="26" s="1"/>
  <c r="R355" i="22"/>
  <c r="N356" i="26"/>
  <c r="F357" i="26"/>
  <c r="P357" i="26"/>
  <c r="R357" i="26" s="1"/>
  <c r="H358" i="26"/>
  <c r="L359" i="26"/>
  <c r="D360" i="26"/>
  <c r="R359" i="22"/>
  <c r="N360" i="26"/>
  <c r="F361" i="26"/>
  <c r="P361" i="26"/>
  <c r="H362" i="26"/>
  <c r="L363" i="26"/>
  <c r="D364" i="26"/>
  <c r="R363" i="22"/>
  <c r="N364" i="26"/>
  <c r="R364" i="26" s="1"/>
  <c r="F365" i="26"/>
  <c r="P365" i="26"/>
  <c r="H366" i="26"/>
  <c r="L367" i="26"/>
  <c r="D369" i="26"/>
  <c r="R368" i="22"/>
  <c r="N369" i="26"/>
  <c r="F370" i="26"/>
  <c r="F405" i="22"/>
  <c r="F437" i="22" s="1"/>
  <c r="P370" i="26"/>
  <c r="P405" i="22"/>
  <c r="H371" i="26"/>
  <c r="L372" i="26"/>
  <c r="R372" i="26" s="1"/>
  <c r="D373" i="26"/>
  <c r="R372" i="22"/>
  <c r="N373" i="26"/>
  <c r="R373" i="26" s="1"/>
  <c r="F374" i="26"/>
  <c r="P374" i="26"/>
  <c r="H375" i="26"/>
  <c r="L376" i="26"/>
  <c r="D377" i="26"/>
  <c r="R376" i="22"/>
  <c r="N377" i="26"/>
  <c r="F378" i="26"/>
  <c r="P378" i="26"/>
  <c r="H379" i="26"/>
  <c r="L380" i="26"/>
  <c r="D381" i="26"/>
  <c r="R381" i="26" s="1"/>
  <c r="R380" i="22"/>
  <c r="N381" i="26"/>
  <c r="F382" i="26"/>
  <c r="P382" i="26"/>
  <c r="H383" i="26"/>
  <c r="L384" i="26"/>
  <c r="R384" i="22"/>
  <c r="D385" i="26"/>
  <c r="R385" i="26" s="1"/>
  <c r="N385" i="26"/>
  <c r="F386" i="26"/>
  <c r="P386" i="26"/>
  <c r="H387" i="26"/>
  <c r="L388" i="26"/>
  <c r="D389" i="26"/>
  <c r="R388" i="22"/>
  <c r="N389" i="26"/>
  <c r="F390" i="26"/>
  <c r="P390" i="26"/>
  <c r="H391" i="26"/>
  <c r="L392" i="26"/>
  <c r="D393" i="26"/>
  <c r="R392" i="22"/>
  <c r="N393" i="26"/>
  <c r="F394" i="26"/>
  <c r="R394" i="26" s="1"/>
  <c r="P394" i="26"/>
  <c r="H395" i="26"/>
  <c r="L396" i="26"/>
  <c r="D397" i="26"/>
  <c r="R397" i="26" s="1"/>
  <c r="R396" i="22"/>
  <c r="N397" i="26"/>
  <c r="F398" i="26"/>
  <c r="P398" i="26"/>
  <c r="H399" i="26"/>
  <c r="L400" i="26"/>
  <c r="D401" i="26"/>
  <c r="R400" i="22"/>
  <c r="N401" i="26"/>
  <c r="F402" i="26"/>
  <c r="P402" i="26"/>
  <c r="H403" i="26"/>
  <c r="L404" i="26"/>
  <c r="D405" i="26"/>
  <c r="R404" i="22"/>
  <c r="N405" i="26"/>
  <c r="F415" i="22"/>
  <c r="F407" i="26"/>
  <c r="P407" i="26"/>
  <c r="P415" i="22"/>
  <c r="H408" i="26"/>
  <c r="L409" i="26"/>
  <c r="D410" i="26"/>
  <c r="R409" i="22"/>
  <c r="N410" i="26"/>
  <c r="F411" i="26"/>
  <c r="P411" i="26"/>
  <c r="H412" i="26"/>
  <c r="L413" i="26"/>
  <c r="D414" i="26"/>
  <c r="R413" i="22"/>
  <c r="N414" i="26"/>
  <c r="R414" i="26" s="1"/>
  <c r="F415" i="26"/>
  <c r="P415" i="26"/>
  <c r="H434" i="22"/>
  <c r="H417" i="26"/>
  <c r="L418" i="26"/>
  <c r="D419" i="26"/>
  <c r="R418" i="22"/>
  <c r="N419" i="26"/>
  <c r="F420" i="26"/>
  <c r="P420" i="26"/>
  <c r="H421" i="26"/>
  <c r="L422" i="26"/>
  <c r="D423" i="26"/>
  <c r="R422" i="22"/>
  <c r="N423" i="26"/>
  <c r="F424" i="26"/>
  <c r="P424" i="26"/>
  <c r="H425" i="26"/>
  <c r="L426" i="26"/>
  <c r="D427" i="26"/>
  <c r="R427" i="26" s="1"/>
  <c r="R426" i="22"/>
  <c r="N427" i="26"/>
  <c r="F428" i="26"/>
  <c r="P428" i="26"/>
  <c r="H429" i="26"/>
  <c r="L430" i="26"/>
  <c r="R430" i="22"/>
  <c r="D431" i="26"/>
  <c r="R431" i="26" s="1"/>
  <c r="N431" i="26"/>
  <c r="F432" i="26"/>
  <c r="P432" i="26"/>
  <c r="H433" i="26"/>
  <c r="R433" i="26" s="1"/>
  <c r="L434" i="26"/>
  <c r="D436" i="26"/>
  <c r="R435" i="22"/>
  <c r="D437" i="22"/>
  <c r="N436" i="26"/>
  <c r="F437" i="26"/>
  <c r="P437" i="26"/>
  <c r="L441" i="26"/>
  <c r="P163" i="4"/>
  <c r="P126" i="4" s="1"/>
  <c r="D442" i="26"/>
  <c r="R441" i="22"/>
  <c r="N442" i="26"/>
  <c r="F443" i="26"/>
  <c r="P443" i="26"/>
  <c r="H444" i="26"/>
  <c r="L445" i="26"/>
  <c r="D446" i="26"/>
  <c r="R445" i="22"/>
  <c r="R446" i="26" s="1"/>
  <c r="N446" i="26"/>
  <c r="F447" i="26"/>
  <c r="R447" i="26" s="1"/>
  <c r="P447" i="26"/>
  <c r="H448" i="26"/>
  <c r="L449" i="26"/>
  <c r="D450" i="26"/>
  <c r="R449" i="22"/>
  <c r="N450" i="26"/>
  <c r="F451" i="26"/>
  <c r="P451" i="26"/>
  <c r="H452" i="26"/>
  <c r="H454" i="26" s="1"/>
  <c r="H453" i="22"/>
  <c r="H466" i="22" s="1"/>
  <c r="L453" i="26"/>
  <c r="D455" i="26"/>
  <c r="R454" i="22"/>
  <c r="N455" i="26"/>
  <c r="F457" i="22"/>
  <c r="F456" i="26"/>
  <c r="F458" i="26" s="1"/>
  <c r="P456" i="26"/>
  <c r="P458" i="26" s="1"/>
  <c r="P457" i="22"/>
  <c r="P466" i="22" s="1"/>
  <c r="H457" i="26"/>
  <c r="R457" i="26" s="1"/>
  <c r="L459" i="26"/>
  <c r="D460" i="26"/>
  <c r="D462" i="26" s="1"/>
  <c r="R459" i="22"/>
  <c r="R461" i="22" s="1"/>
  <c r="D461" i="22"/>
  <c r="N460" i="26"/>
  <c r="N461" i="22"/>
  <c r="F461" i="26"/>
  <c r="P461" i="26"/>
  <c r="H463" i="26"/>
  <c r="L464" i="26"/>
  <c r="D465" i="26"/>
  <c r="R464" i="22"/>
  <c r="N465" i="26"/>
  <c r="F466" i="26"/>
  <c r="P466" i="26"/>
  <c r="D474" i="26"/>
  <c r="D478" i="22"/>
  <c r="D481" i="22" s="1"/>
  <c r="R473" i="22"/>
  <c r="N474" i="26"/>
  <c r="N478" i="22"/>
  <c r="N481" i="22" s="1"/>
  <c r="F475" i="26"/>
  <c r="H165" i="4"/>
  <c r="H128" i="4" s="1"/>
  <c r="P475" i="26"/>
  <c r="H476" i="26"/>
  <c r="L477" i="26"/>
  <c r="D478" i="26"/>
  <c r="R477" i="22"/>
  <c r="N478" i="26"/>
  <c r="H23" i="23"/>
  <c r="R12" i="23"/>
  <c r="N14" i="15" s="1"/>
  <c r="R16" i="23"/>
  <c r="N18" i="15" s="1"/>
  <c r="R20" i="23"/>
  <c r="N22" i="15" s="1"/>
  <c r="D44" i="26"/>
  <c r="R27" i="23"/>
  <c r="D29" i="23"/>
  <c r="D40" i="23" s="1"/>
  <c r="N44" i="26"/>
  <c r="N29" i="23"/>
  <c r="N40" i="23" s="1"/>
  <c r="F45" i="26"/>
  <c r="P45" i="26"/>
  <c r="R32" i="23"/>
  <c r="N33" i="15" s="1"/>
  <c r="R36" i="23"/>
  <c r="N37" i="15" s="1"/>
  <c r="L53" i="23"/>
  <c r="R46" i="23"/>
  <c r="N50" i="15" s="1"/>
  <c r="R50" i="23"/>
  <c r="N54" i="15" s="1"/>
  <c r="R10" i="24"/>
  <c r="D22" i="24"/>
  <c r="N22" i="24"/>
  <c r="R14" i="24"/>
  <c r="N17" i="17" s="1"/>
  <c r="R18" i="24"/>
  <c r="N21" i="17" s="1"/>
  <c r="L28" i="24"/>
  <c r="L31" i="24" s="1"/>
  <c r="R26" i="24"/>
  <c r="N29" i="17" s="1"/>
  <c r="AB20" i="4"/>
  <c r="AB23" i="4" s="1"/>
  <c r="AS18" i="4"/>
  <c r="AT18" i="4" s="1"/>
  <c r="AU209" i="5"/>
  <c r="W77" i="7"/>
  <c r="T54" i="4"/>
  <c r="V54" i="4" s="1"/>
  <c r="F56" i="4"/>
  <c r="U19" i="3"/>
  <c r="S255" i="5"/>
  <c r="AO52" i="5"/>
  <c r="AU51" i="5"/>
  <c r="AC69" i="7"/>
  <c r="AU15" i="5"/>
  <c r="AQ119" i="5"/>
  <c r="AU23" i="5"/>
  <c r="M119" i="5"/>
  <c r="M255" i="5" s="1"/>
  <c r="U119" i="5"/>
  <c r="U255" i="5" s="1"/>
  <c r="AU69" i="5"/>
  <c r="AI116" i="5"/>
  <c r="AU151" i="5"/>
  <c r="AU215" i="5"/>
  <c r="P56" i="15"/>
  <c r="R60" i="26"/>
  <c r="AA15" i="4"/>
  <c r="AA168" i="4"/>
  <c r="AA12" i="4" s="1"/>
  <c r="AA20" i="4" s="1"/>
  <c r="AM119" i="5"/>
  <c r="AM255" i="5" s="1"/>
  <c r="AU40" i="5"/>
  <c r="Y255" i="5"/>
  <c r="AU49" i="5"/>
  <c r="AU56" i="5"/>
  <c r="AU80" i="5"/>
  <c r="AU109" i="5"/>
  <c r="AU131" i="5"/>
  <c r="B199" i="14"/>
  <c r="M60" i="25"/>
  <c r="F27" i="1"/>
  <c r="U26" i="3"/>
  <c r="U27" i="3" s="1"/>
  <c r="D97" i="4"/>
  <c r="D99" i="4" s="1"/>
  <c r="D100" i="4" s="1"/>
  <c r="N198" i="4"/>
  <c r="AH211" i="4"/>
  <c r="AU20" i="5"/>
  <c r="AI32" i="5"/>
  <c r="AU59" i="5"/>
  <c r="AU66" i="5"/>
  <c r="AI84" i="5"/>
  <c r="AU81" i="5"/>
  <c r="AO88" i="5"/>
  <c r="AO99" i="5" s="1"/>
  <c r="AS89" i="5"/>
  <c r="AU107" i="5"/>
  <c r="AF255" i="5"/>
  <c r="AS122" i="5"/>
  <c r="AS125" i="5" s="1"/>
  <c r="AS129" i="5"/>
  <c r="AU148" i="5"/>
  <c r="AI154" i="5"/>
  <c r="AU214" i="5"/>
  <c r="AU226" i="5"/>
  <c r="C308" i="5"/>
  <c r="C314" i="5" s="1"/>
  <c r="C321" i="5" s="1"/>
  <c r="AA38" i="6"/>
  <c r="AC38" i="6" s="1"/>
  <c r="AA60" i="6"/>
  <c r="AC60" i="6" s="1"/>
  <c r="AC64" i="6"/>
  <c r="Q92" i="6"/>
  <c r="AA96" i="6"/>
  <c r="AC96" i="6" s="1"/>
  <c r="Q104" i="6"/>
  <c r="AA110" i="6"/>
  <c r="AC110" i="6" s="1"/>
  <c r="AA115" i="6"/>
  <c r="AC115" i="6" s="1"/>
  <c r="AC20" i="7"/>
  <c r="Q31" i="7"/>
  <c r="AC34" i="7"/>
  <c r="AA39" i="7"/>
  <c r="AC39" i="7" s="1"/>
  <c r="AA84" i="7"/>
  <c r="J25" i="21"/>
  <c r="L14" i="21"/>
  <c r="L25" i="21" s="1"/>
  <c r="R384" i="26"/>
  <c r="L25" i="1"/>
  <c r="N25" i="1" s="1"/>
  <c r="M63" i="25"/>
  <c r="M64" i="25" s="1"/>
  <c r="M61" i="2"/>
  <c r="M63" i="2" s="1"/>
  <c r="M70" i="2" s="1"/>
  <c r="U60" i="2"/>
  <c r="M10" i="3"/>
  <c r="M11" i="3" s="1"/>
  <c r="M30" i="3" s="1"/>
  <c r="K19" i="3"/>
  <c r="Q23" i="3"/>
  <c r="F66" i="4"/>
  <c r="D121" i="4"/>
  <c r="D82" i="4"/>
  <c r="D87" i="4" s="1"/>
  <c r="D189" i="4"/>
  <c r="F198" i="4"/>
  <c r="AK32" i="5"/>
  <c r="AK119" i="5" s="1"/>
  <c r="AS23" i="5"/>
  <c r="AU28" i="5"/>
  <c r="O255" i="5"/>
  <c r="AU35" i="5"/>
  <c r="AU43" i="5"/>
  <c r="AO48" i="5"/>
  <c r="AS48" i="5" s="1"/>
  <c r="AS62" i="5"/>
  <c r="AU62" i="5" s="1"/>
  <c r="AS66" i="5"/>
  <c r="AS70" i="5" s="1"/>
  <c r="AS69" i="5"/>
  <c r="AS73" i="5"/>
  <c r="AS76" i="5"/>
  <c r="AU76" i="5" s="1"/>
  <c r="AI88" i="5"/>
  <c r="M99" i="5"/>
  <c r="AU112" i="5"/>
  <c r="AO154" i="5"/>
  <c r="AO240" i="5" s="1"/>
  <c r="AS140" i="5"/>
  <c r="AU140" i="5" s="1"/>
  <c r="AS143" i="5"/>
  <c r="AU143" i="5" s="1"/>
  <c r="AS151" i="5"/>
  <c r="AE240" i="5"/>
  <c r="AE255" i="5" s="1"/>
  <c r="AU163" i="5"/>
  <c r="AU171" i="5"/>
  <c r="AU181" i="5"/>
  <c r="AO192" i="5"/>
  <c r="AS210" i="5"/>
  <c r="AU210" i="5" s="1"/>
  <c r="AS218" i="5"/>
  <c r="AU218" i="5" s="1"/>
  <c r="AI220" i="5"/>
  <c r="AS224" i="5"/>
  <c r="AU224" i="5"/>
  <c r="AU252" i="5"/>
  <c r="AI293" i="5"/>
  <c r="S31" i="6"/>
  <c r="AA16" i="6"/>
  <c r="AC16" i="6" s="1"/>
  <c r="W50" i="6"/>
  <c r="AA53" i="6"/>
  <c r="AA55" i="6"/>
  <c r="AC55" i="6" s="1"/>
  <c r="C121" i="6"/>
  <c r="AC21" i="7"/>
  <c r="AC25" i="7"/>
  <c r="AC29" i="7"/>
  <c r="AC47" i="7"/>
  <c r="AA61" i="7"/>
  <c r="AC61" i="7"/>
  <c r="AA63" i="7"/>
  <c r="AC63" i="7" s="1"/>
  <c r="AA69" i="7"/>
  <c r="AA71" i="7"/>
  <c r="AC71" i="7" s="1"/>
  <c r="S98" i="7"/>
  <c r="S107" i="7" s="1"/>
  <c r="AA93" i="7"/>
  <c r="AC93" i="7" s="1"/>
  <c r="W98" i="7"/>
  <c r="W107" i="7" s="1"/>
  <c r="AA102" i="7"/>
  <c r="AC102" i="7" s="1"/>
  <c r="B145" i="12"/>
  <c r="B115" i="13"/>
  <c r="L34" i="21"/>
  <c r="J219" i="22"/>
  <c r="C22" i="25"/>
  <c r="S64" i="25"/>
  <c r="B156" i="26"/>
  <c r="R191" i="26"/>
  <c r="B192" i="26"/>
  <c r="B219" i="26"/>
  <c r="R226" i="26"/>
  <c r="B267" i="26"/>
  <c r="B341" i="26"/>
  <c r="N62" i="1"/>
  <c r="N64" i="1" s="1"/>
  <c r="O63" i="25"/>
  <c r="O64" i="25" s="1"/>
  <c r="P193" i="4"/>
  <c r="O10" i="3"/>
  <c r="O11" i="3" s="1"/>
  <c r="O30" i="3" s="1"/>
  <c r="U22" i="3"/>
  <c r="T53" i="4"/>
  <c r="P87" i="4"/>
  <c r="P89" i="4" s="1"/>
  <c r="F104" i="4"/>
  <c r="N124" i="4"/>
  <c r="N129" i="4" s="1"/>
  <c r="N131" i="4" s="1"/>
  <c r="D166" i="4"/>
  <c r="D168" i="4" s="1"/>
  <c r="D169" i="4" s="1"/>
  <c r="L179" i="4"/>
  <c r="V208" i="4"/>
  <c r="V209" i="4" s="1"/>
  <c r="AU16" i="5"/>
  <c r="AU24" i="5"/>
  <c r="AS31" i="5"/>
  <c r="AU31" i="5" s="1"/>
  <c r="AK52" i="5"/>
  <c r="AS35" i="5"/>
  <c r="AS38" i="5"/>
  <c r="AU38" i="5" s="1"/>
  <c r="AS46" i="5"/>
  <c r="AU46" i="5" s="1"/>
  <c r="AI48" i="5"/>
  <c r="AI52" i="5" s="1"/>
  <c r="AU77" i="5"/>
  <c r="AS88" i="5"/>
  <c r="AI90" i="5"/>
  <c r="AU90" i="5" s="1"/>
  <c r="AS94" i="5"/>
  <c r="AU94" i="5" s="1"/>
  <c r="AO102" i="5"/>
  <c r="AO108" i="5"/>
  <c r="AS108" i="5" s="1"/>
  <c r="AU108" i="5" s="1"/>
  <c r="AS115" i="5"/>
  <c r="AU115" i="5" s="1"/>
  <c r="AI125" i="5"/>
  <c r="AS131" i="5"/>
  <c r="AU144" i="5"/>
  <c r="AU152" i="5"/>
  <c r="I240" i="5"/>
  <c r="I255" i="5" s="1"/>
  <c r="AI174" i="5"/>
  <c r="AS158" i="5"/>
  <c r="AU158" i="5" s="1"/>
  <c r="AS166" i="5"/>
  <c r="AU166" i="5" s="1"/>
  <c r="AS177" i="5"/>
  <c r="AU177" i="5" s="1"/>
  <c r="AS181" i="5"/>
  <c r="AI185" i="5"/>
  <c r="AU188" i="5"/>
  <c r="AS200" i="5"/>
  <c r="AU200" i="5" s="1"/>
  <c r="AS202" i="5"/>
  <c r="AU202" i="5" s="1"/>
  <c r="AQ220" i="5"/>
  <c r="AS211" i="5"/>
  <c r="AU211" i="5" s="1"/>
  <c r="AS228" i="5"/>
  <c r="AU228" i="5" s="1"/>
  <c r="AU234" i="5"/>
  <c r="E296" i="5"/>
  <c r="E308" i="5" s="1"/>
  <c r="E314" i="5" s="1"/>
  <c r="E321" i="5" s="1"/>
  <c r="E273" i="5"/>
  <c r="G308" i="5"/>
  <c r="G314" i="5" s="1"/>
  <c r="G321" i="5" s="1"/>
  <c r="O308" i="5"/>
  <c r="O314" i="5" s="1"/>
  <c r="O321" i="5" s="1"/>
  <c r="W308" i="5"/>
  <c r="W314" i="5" s="1"/>
  <c r="W321" i="5" s="1"/>
  <c r="AE308" i="5"/>
  <c r="AE314" i="5" s="1"/>
  <c r="AE321" i="5" s="1"/>
  <c r="U308" i="5"/>
  <c r="U314" i="5" s="1"/>
  <c r="U321" i="5" s="1"/>
  <c r="AI300" i="5"/>
  <c r="AI306" i="5"/>
  <c r="AA19" i="6"/>
  <c r="AC19" i="6" s="1"/>
  <c r="Q31" i="6"/>
  <c r="AA35" i="6"/>
  <c r="AC35" i="6" s="1"/>
  <c r="AA44" i="6"/>
  <c r="AC44" i="6" s="1"/>
  <c r="Q46" i="6"/>
  <c r="U57" i="6"/>
  <c r="W74" i="6"/>
  <c r="AA66" i="6"/>
  <c r="AC66" i="6" s="1"/>
  <c r="Q74" i="6"/>
  <c r="AA95" i="6"/>
  <c r="AA102" i="6"/>
  <c r="AC102" i="6" s="1"/>
  <c r="E121" i="6"/>
  <c r="M121" i="6"/>
  <c r="U112" i="6"/>
  <c r="AA15" i="7"/>
  <c r="AA17" i="7"/>
  <c r="AC17" i="7" s="1"/>
  <c r="AA25" i="7"/>
  <c r="M77" i="7"/>
  <c r="M109" i="7" s="1"/>
  <c r="AA36" i="7"/>
  <c r="AC36" i="7" s="1"/>
  <c r="AC42" i="7"/>
  <c r="AA45" i="7"/>
  <c r="AC45" i="7" s="1"/>
  <c r="AC56" i="7"/>
  <c r="U74" i="7"/>
  <c r="U77" i="7" s="1"/>
  <c r="U109" i="7" s="1"/>
  <c r="AC64" i="7"/>
  <c r="AC68" i="7"/>
  <c r="AA81" i="7"/>
  <c r="AC87" i="7"/>
  <c r="AA95" i="7"/>
  <c r="AC95" i="7" s="1"/>
  <c r="W105" i="7"/>
  <c r="B59" i="11"/>
  <c r="J22" i="13"/>
  <c r="L22" i="13" s="1"/>
  <c r="B25" i="15"/>
  <c r="B60" i="15" s="1"/>
  <c r="B62" i="15" s="1"/>
  <c r="J31" i="19"/>
  <c r="J437" i="22"/>
  <c r="J469" i="22" s="1"/>
  <c r="K51" i="25"/>
  <c r="M35" i="25"/>
  <c r="M45" i="25"/>
  <c r="J83" i="26"/>
  <c r="B139" i="26"/>
  <c r="R147" i="26"/>
  <c r="R343" i="26"/>
  <c r="B368" i="26"/>
  <c r="J467" i="26"/>
  <c r="B458" i="26"/>
  <c r="B467" i="26" s="1"/>
  <c r="A3" i="25"/>
  <c r="A3" i="21"/>
  <c r="A3" i="19"/>
  <c r="A3" i="18"/>
  <c r="A3" i="22"/>
  <c r="A3" i="10"/>
  <c r="A3" i="24"/>
  <c r="A3" i="16"/>
  <c r="A3" i="23"/>
  <c r="L27" i="1"/>
  <c r="N24" i="1"/>
  <c r="N27" i="1" s="1"/>
  <c r="D68" i="1"/>
  <c r="D71" i="1" s="1"/>
  <c r="D74" i="1" s="1"/>
  <c r="P205" i="4"/>
  <c r="P206" i="4" s="1"/>
  <c r="O23" i="3"/>
  <c r="V139" i="4"/>
  <c r="D154" i="4"/>
  <c r="D127" i="4"/>
  <c r="D129" i="4" s="1"/>
  <c r="D179" i="4"/>
  <c r="R205" i="4"/>
  <c r="R206" i="4" s="1"/>
  <c r="A3" i="5"/>
  <c r="AS19" i="5"/>
  <c r="AU19" i="5" s="1"/>
  <c r="AU39" i="5"/>
  <c r="AU47" i="5"/>
  <c r="AS51" i="5"/>
  <c r="AK63" i="5"/>
  <c r="AS55" i="5"/>
  <c r="AS58" i="5"/>
  <c r="AU58" i="5" s="1"/>
  <c r="AI63" i="5"/>
  <c r="AI70" i="5"/>
  <c r="AS80" i="5"/>
  <c r="AS87" i="5"/>
  <c r="AS99" i="5" s="1"/>
  <c r="AU89" i="5"/>
  <c r="AU95" i="5"/>
  <c r="AS106" i="5"/>
  <c r="AU106" i="5" s="1"/>
  <c r="AU122" i="5"/>
  <c r="AI134" i="5"/>
  <c r="AQ134" i="5"/>
  <c r="AS139" i="5"/>
  <c r="AS147" i="5"/>
  <c r="AU147" i="5" s="1"/>
  <c r="AK174" i="5"/>
  <c r="AK240" i="5" s="1"/>
  <c r="AS157" i="5"/>
  <c r="AU159" i="5"/>
  <c r="AU167" i="5"/>
  <c r="AI192" i="5"/>
  <c r="AI206" i="5"/>
  <c r="AQ206" i="5"/>
  <c r="AQ240" i="5" s="1"/>
  <c r="AU199" i="5"/>
  <c r="AU203" i="5"/>
  <c r="AS209" i="5"/>
  <c r="AU213" i="5"/>
  <c r="AS215" i="5"/>
  <c r="AS217" i="5"/>
  <c r="AU217" i="5" s="1"/>
  <c r="AU229" i="5"/>
  <c r="AS232" i="5"/>
  <c r="AU232" i="5" s="1"/>
  <c r="AU250" i="5"/>
  <c r="AI261" i="5"/>
  <c r="AI273" i="5" s="1"/>
  <c r="AF308" i="5"/>
  <c r="AF314" i="5" s="1"/>
  <c r="AF321" i="5" s="1"/>
  <c r="AI298" i="5"/>
  <c r="AI301" i="5"/>
  <c r="AA15" i="6"/>
  <c r="AA27" i="6"/>
  <c r="AC27" i="6" s="1"/>
  <c r="AA46" i="6"/>
  <c r="E77" i="6"/>
  <c r="AA54" i="6"/>
  <c r="AC54" i="6" s="1"/>
  <c r="AA63" i="6"/>
  <c r="AC63" i="6" s="1"/>
  <c r="AA99" i="6"/>
  <c r="AC99" i="6" s="1"/>
  <c r="Y112" i="6"/>
  <c r="AA111" i="6"/>
  <c r="AC111" i="6" s="1"/>
  <c r="Q112" i="6"/>
  <c r="Q119" i="6"/>
  <c r="Y119" i="6"/>
  <c r="Y31" i="7"/>
  <c r="Y77" i="7" s="1"/>
  <c r="W50" i="7"/>
  <c r="AA49" i="7"/>
  <c r="AC49" i="7" s="1"/>
  <c r="Q50" i="7"/>
  <c r="AA54" i="7"/>
  <c r="AC54" i="7"/>
  <c r="S74" i="7"/>
  <c r="AA60" i="7"/>
  <c r="AC60" i="7" s="1"/>
  <c r="AA64" i="7"/>
  <c r="AA72" i="7"/>
  <c r="AC72" i="7" s="1"/>
  <c r="U90" i="7"/>
  <c r="U107" i="7" s="1"/>
  <c r="Y90" i="7"/>
  <c r="Y107" i="7" s="1"/>
  <c r="AC84" i="7"/>
  <c r="AC96" i="7"/>
  <c r="Q98" i="7"/>
  <c r="Q107" i="7" s="1"/>
  <c r="AC101" i="7"/>
  <c r="Q105" i="7"/>
  <c r="AG211" i="4"/>
  <c r="AG15" i="4"/>
  <c r="AG20" i="4" s="1"/>
  <c r="B95" i="11"/>
  <c r="B115" i="11" s="1"/>
  <c r="A3" i="13"/>
  <c r="B89" i="16"/>
  <c r="B92" i="16" s="1"/>
  <c r="L18" i="17"/>
  <c r="P18" i="17" s="1"/>
  <c r="K48" i="25"/>
  <c r="K60" i="25" s="1"/>
  <c r="K66" i="25" s="1"/>
  <c r="K73" i="25" s="1"/>
  <c r="A3" i="26"/>
  <c r="R237" i="26"/>
  <c r="J276" i="26"/>
  <c r="B352" i="26"/>
  <c r="B25" i="17"/>
  <c r="B34" i="17" s="1"/>
  <c r="J34" i="21"/>
  <c r="J37" i="21" s="1"/>
  <c r="B67" i="26"/>
  <c r="B83" i="26" s="1"/>
  <c r="B174" i="26"/>
  <c r="J267" i="26"/>
  <c r="R241" i="26"/>
  <c r="R320" i="26"/>
  <c r="K10" i="3"/>
  <c r="K11" i="3" s="1"/>
  <c r="K30" i="3" s="1"/>
  <c r="AS15" i="5"/>
  <c r="C240" i="5"/>
  <c r="C255" i="5" s="1"/>
  <c r="K240" i="5"/>
  <c r="K255" i="5" s="1"/>
  <c r="S240" i="5"/>
  <c r="AA240" i="5"/>
  <c r="AA255" i="5" s="1"/>
  <c r="AG240" i="5"/>
  <c r="AG255" i="5" s="1"/>
  <c r="AS184" i="5"/>
  <c r="AU184" i="5" s="1"/>
  <c r="AK192" i="5"/>
  <c r="AS188" i="5"/>
  <c r="AS191" i="5"/>
  <c r="AU191" i="5" s="1"/>
  <c r="AS195" i="5"/>
  <c r="AS206" i="5" s="1"/>
  <c r="AS198" i="5"/>
  <c r="AU198" i="5" s="1"/>
  <c r="AO220" i="5"/>
  <c r="AS213" i="5"/>
  <c r="AK237" i="5"/>
  <c r="AS223" i="5"/>
  <c r="AU225" i="5"/>
  <c r="AU233" i="5"/>
  <c r="AI304" i="5"/>
  <c r="AC37" i="6"/>
  <c r="AA49" i="6"/>
  <c r="AC49" i="6" s="1"/>
  <c r="AA20" i="7"/>
  <c r="AA28" i="7"/>
  <c r="AC28" i="7" s="1"/>
  <c r="G77" i="7"/>
  <c r="G109" i="7" s="1"/>
  <c r="O77" i="7"/>
  <c r="O109" i="7" s="1"/>
  <c r="AC38" i="7"/>
  <c r="AC46" i="7"/>
  <c r="S57" i="7"/>
  <c r="S77" i="7" s="1"/>
  <c r="S109" i="7" s="1"/>
  <c r="AA53" i="7"/>
  <c r="AC55" i="7"/>
  <c r="AA67" i="7"/>
  <c r="AC67" i="7" s="1"/>
  <c r="AC83" i="7"/>
  <c r="AA104" i="7"/>
  <c r="AC104" i="7" s="1"/>
  <c r="B58" i="12"/>
  <c r="B114" i="12" s="1"/>
  <c r="B154" i="12"/>
  <c r="B194" i="12" s="1"/>
  <c r="B196" i="12" s="1"/>
  <c r="J27" i="19"/>
  <c r="L21" i="19"/>
  <c r="L27" i="19" s="1"/>
  <c r="L33" i="19" s="1"/>
  <c r="L11" i="20"/>
  <c r="L11" i="21"/>
  <c r="L12" i="21" s="1"/>
  <c r="H12" i="21"/>
  <c r="H37" i="21" s="1"/>
  <c r="D37" i="21"/>
  <c r="C51" i="25"/>
  <c r="C60" i="25" s="1"/>
  <c r="C66" i="25" s="1"/>
  <c r="C73" i="25" s="1"/>
  <c r="C53" i="25"/>
  <c r="C57" i="25"/>
  <c r="C35" i="25"/>
  <c r="B118" i="26"/>
  <c r="R106" i="26"/>
  <c r="R161" i="26"/>
  <c r="J192" i="26"/>
  <c r="R251" i="26"/>
  <c r="B276" i="26"/>
  <c r="R282" i="26"/>
  <c r="R358" i="26"/>
  <c r="J435" i="26"/>
  <c r="J479" i="26"/>
  <c r="J482" i="26" s="1"/>
  <c r="AS244" i="5"/>
  <c r="K45" i="25"/>
  <c r="J94" i="26"/>
  <c r="R135" i="26"/>
  <c r="J202" i="26"/>
  <c r="R255" i="26"/>
  <c r="J352" i="26"/>
  <c r="J416" i="26"/>
  <c r="J118" i="26"/>
  <c r="J174" i="26"/>
  <c r="B202" i="26"/>
  <c r="B232" i="26"/>
  <c r="J232" i="26"/>
  <c r="J341" i="26"/>
  <c r="R340" i="26"/>
  <c r="R224" i="26"/>
  <c r="R257" i="26"/>
  <c r="R429" i="26"/>
  <c r="R459" i="26"/>
  <c r="B406" i="26"/>
  <c r="J406" i="26"/>
  <c r="B435" i="26"/>
  <c r="R432" i="26"/>
  <c r="AA90" i="6" l="1"/>
  <c r="AC18" i="6"/>
  <c r="K123" i="6"/>
  <c r="W121" i="6"/>
  <c r="C123" i="6"/>
  <c r="S77" i="6"/>
  <c r="S121" i="6"/>
  <c r="AA50" i="6"/>
  <c r="E123" i="6"/>
  <c r="U121" i="6"/>
  <c r="U77" i="6"/>
  <c r="W77" i="6"/>
  <c r="W123" i="6" s="1"/>
  <c r="Y121" i="6"/>
  <c r="M123" i="6"/>
  <c r="Y77" i="6"/>
  <c r="AA119" i="6"/>
  <c r="AC119" i="6" s="1"/>
  <c r="AC34" i="6"/>
  <c r="V162" i="4"/>
  <c r="V125" i="4" s="1"/>
  <c r="T43" i="4"/>
  <c r="V43" i="4" s="1"/>
  <c r="V193" i="4"/>
  <c r="V194" i="4" s="1"/>
  <c r="V143" i="4"/>
  <c r="V149" i="4"/>
  <c r="N211" i="4"/>
  <c r="V147" i="4"/>
  <c r="G58" i="25"/>
  <c r="L211" i="4"/>
  <c r="V187" i="4"/>
  <c r="O50" i="25"/>
  <c r="V186" i="4"/>
  <c r="V141" i="4"/>
  <c r="E57" i="2"/>
  <c r="E63" i="2" s="1"/>
  <c r="E70" i="2" s="1"/>
  <c r="T41" i="4"/>
  <c r="V41" i="4" s="1"/>
  <c r="T45" i="4"/>
  <c r="V45" i="4" s="1"/>
  <c r="D211" i="4"/>
  <c r="D212" i="4" s="1"/>
  <c r="R234" i="26"/>
  <c r="R146" i="26"/>
  <c r="R116" i="26"/>
  <c r="R53" i="26"/>
  <c r="R393" i="26"/>
  <c r="R415" i="26"/>
  <c r="R400" i="26"/>
  <c r="R360" i="26"/>
  <c r="R354" i="26"/>
  <c r="R324" i="26"/>
  <c r="R211" i="26"/>
  <c r="R187" i="26"/>
  <c r="R175" i="26"/>
  <c r="R167" i="26"/>
  <c r="R62" i="26"/>
  <c r="R58" i="26"/>
  <c r="R42" i="26"/>
  <c r="R477" i="26"/>
  <c r="L466" i="22"/>
  <c r="R421" i="26"/>
  <c r="R413" i="26"/>
  <c r="R411" i="26"/>
  <c r="R408" i="26"/>
  <c r="R402" i="26"/>
  <c r="R391" i="26"/>
  <c r="R380" i="26"/>
  <c r="R365" i="26"/>
  <c r="R363" i="26"/>
  <c r="R361" i="26"/>
  <c r="R346" i="26"/>
  <c r="R325" i="26"/>
  <c r="R317" i="26"/>
  <c r="R315" i="26"/>
  <c r="R312" i="26"/>
  <c r="R301" i="26"/>
  <c r="R292" i="26"/>
  <c r="R272" i="26"/>
  <c r="R180" i="26"/>
  <c r="R134" i="26"/>
  <c r="R89" i="26"/>
  <c r="R32" i="26"/>
  <c r="R328" i="26"/>
  <c r="R248" i="26"/>
  <c r="R115" i="26"/>
  <c r="R70" i="26"/>
  <c r="R56" i="26"/>
  <c r="R52" i="26"/>
  <c r="R22" i="26"/>
  <c r="R345" i="26"/>
  <c r="R319" i="26"/>
  <c r="R281" i="26"/>
  <c r="R262" i="26"/>
  <c r="R185" i="26"/>
  <c r="R119" i="26"/>
  <c r="R105" i="26"/>
  <c r="R216" i="26"/>
  <c r="R12" i="26"/>
  <c r="R436" i="26"/>
  <c r="R420" i="26"/>
  <c r="R270" i="26"/>
  <c r="B221" i="26"/>
  <c r="R451" i="26"/>
  <c r="R442" i="26"/>
  <c r="R59" i="26"/>
  <c r="R55" i="26"/>
  <c r="R15" i="26"/>
  <c r="R336" i="26"/>
  <c r="R313" i="26"/>
  <c r="R309" i="26"/>
  <c r="R269" i="26"/>
  <c r="R206" i="26"/>
  <c r="R194" i="26"/>
  <c r="R181" i="26"/>
  <c r="R171" i="26"/>
  <c r="R160" i="26"/>
  <c r="R150" i="26"/>
  <c r="R122" i="26"/>
  <c r="R98" i="26"/>
  <c r="R69" i="26"/>
  <c r="R27" i="26"/>
  <c r="R23" i="26"/>
  <c r="R10" i="26"/>
  <c r="R460" i="26"/>
  <c r="L56" i="23"/>
  <c r="R39" i="26"/>
  <c r="R73" i="26"/>
  <c r="P39" i="15"/>
  <c r="R78" i="26"/>
  <c r="R75" i="26"/>
  <c r="R30" i="26"/>
  <c r="P38" i="15"/>
  <c r="J221" i="26"/>
  <c r="R387" i="26"/>
  <c r="R329" i="26"/>
  <c r="R215" i="26"/>
  <c r="R188" i="26"/>
  <c r="R143" i="26"/>
  <c r="R64" i="26"/>
  <c r="R38" i="26"/>
  <c r="R11" i="26"/>
  <c r="R375" i="26"/>
  <c r="R271" i="26"/>
  <c r="J51" i="15"/>
  <c r="L51" i="15" s="1"/>
  <c r="P51" i="15" s="1"/>
  <c r="F178" i="12"/>
  <c r="J71" i="13"/>
  <c r="L71" i="13" s="1"/>
  <c r="I45" i="25"/>
  <c r="V142" i="4"/>
  <c r="V163" i="4"/>
  <c r="V126" i="4" s="1"/>
  <c r="N479" i="26"/>
  <c r="N482" i="26" s="1"/>
  <c r="R465" i="26"/>
  <c r="R443" i="26"/>
  <c r="P21" i="17"/>
  <c r="N466" i="22"/>
  <c r="R426" i="26"/>
  <c r="R422" i="26"/>
  <c r="R410" i="26"/>
  <c r="R396" i="26"/>
  <c r="R388" i="26"/>
  <c r="R379" i="26"/>
  <c r="R218" i="26"/>
  <c r="R214" i="26"/>
  <c r="R205" i="26"/>
  <c r="R217" i="22"/>
  <c r="N78" i="13" s="1"/>
  <c r="R198" i="26"/>
  <c r="R179" i="26"/>
  <c r="R176" i="26"/>
  <c r="R170" i="26"/>
  <c r="R162" i="26"/>
  <c r="R158" i="26"/>
  <c r="R142" i="26"/>
  <c r="R140" i="26"/>
  <c r="R130" i="26"/>
  <c r="R128" i="26"/>
  <c r="R120" i="26"/>
  <c r="R110" i="26"/>
  <c r="R102" i="26"/>
  <c r="R87" i="26"/>
  <c r="R76" i="26"/>
  <c r="R74" i="26"/>
  <c r="R68" i="26"/>
  <c r="R51" i="26"/>
  <c r="R46" i="26"/>
  <c r="R37" i="26"/>
  <c r="R31" i="26"/>
  <c r="R29" i="26"/>
  <c r="R19" i="26"/>
  <c r="R14" i="26"/>
  <c r="J177" i="12"/>
  <c r="L177" i="12" s="1"/>
  <c r="J173" i="12"/>
  <c r="L173" i="12" s="1"/>
  <c r="D168" i="12"/>
  <c r="J106" i="12"/>
  <c r="L106" i="12" s="1"/>
  <c r="J94" i="13"/>
  <c r="L94" i="13" s="1"/>
  <c r="F95" i="13"/>
  <c r="D66" i="13"/>
  <c r="J45" i="12"/>
  <c r="L45" i="12" s="1"/>
  <c r="J41" i="12"/>
  <c r="L41" i="12" s="1"/>
  <c r="J25" i="11"/>
  <c r="L25" i="11" s="1"/>
  <c r="J18" i="13"/>
  <c r="L18" i="13" s="1"/>
  <c r="J14" i="13"/>
  <c r="L14" i="13" s="1"/>
  <c r="R464" i="26"/>
  <c r="L454" i="26"/>
  <c r="R448" i="26"/>
  <c r="J106" i="11"/>
  <c r="L106" i="11" s="1"/>
  <c r="J41" i="13"/>
  <c r="L41" i="13" s="1"/>
  <c r="T42" i="4"/>
  <c r="V42" i="4" s="1"/>
  <c r="J44" i="12"/>
  <c r="L44" i="12" s="1"/>
  <c r="R389" i="26"/>
  <c r="R333" i="26"/>
  <c r="R288" i="26"/>
  <c r="R265" i="26"/>
  <c r="R196" i="26"/>
  <c r="R186" i="26"/>
  <c r="R129" i="26"/>
  <c r="N118" i="26"/>
  <c r="R149" i="26"/>
  <c r="R111" i="26"/>
  <c r="R80" i="26"/>
  <c r="O53" i="25"/>
  <c r="R293" i="26"/>
  <c r="R253" i="26"/>
  <c r="H57" i="16"/>
  <c r="H92" i="16" s="1"/>
  <c r="D94" i="12"/>
  <c r="V157" i="4"/>
  <c r="V158" i="4" s="1"/>
  <c r="R29" i="23"/>
  <c r="N30" i="15" s="1"/>
  <c r="P30" i="15" s="1"/>
  <c r="L437" i="22"/>
  <c r="R195" i="26"/>
  <c r="R165" i="26"/>
  <c r="R131" i="26"/>
  <c r="R65" i="26"/>
  <c r="R49" i="26"/>
  <c r="R17" i="26"/>
  <c r="H33" i="18"/>
  <c r="H45" i="18" s="1"/>
  <c r="P15" i="17"/>
  <c r="J18" i="15"/>
  <c r="L18" i="15" s="1"/>
  <c r="P18" i="15" s="1"/>
  <c r="J111" i="11"/>
  <c r="L111" i="11" s="1"/>
  <c r="J98" i="12"/>
  <c r="L98" i="12" s="1"/>
  <c r="J73" i="11"/>
  <c r="L73" i="11" s="1"/>
  <c r="J33" i="12"/>
  <c r="L33" i="12" s="1"/>
  <c r="F31" i="24"/>
  <c r="J120" i="12"/>
  <c r="L120" i="12" s="1"/>
  <c r="J45" i="13"/>
  <c r="L45" i="13" s="1"/>
  <c r="R398" i="26"/>
  <c r="R337" i="26"/>
  <c r="R280" i="26"/>
  <c r="N437" i="22"/>
  <c r="R231" i="26"/>
  <c r="R184" i="26"/>
  <c r="R177" i="26"/>
  <c r="R153" i="26"/>
  <c r="R92" i="26"/>
  <c r="R210" i="26"/>
  <c r="R163" i="26"/>
  <c r="R26" i="26"/>
  <c r="J138" i="12"/>
  <c r="L138" i="12" s="1"/>
  <c r="J75" i="11"/>
  <c r="L75" i="11" s="1"/>
  <c r="J58" i="13"/>
  <c r="L58" i="13" s="1"/>
  <c r="R453" i="26"/>
  <c r="R419" i="26"/>
  <c r="R299" i="26"/>
  <c r="R54" i="26"/>
  <c r="N462" i="26"/>
  <c r="R338" i="26"/>
  <c r="R326" i="26"/>
  <c r="R306" i="26"/>
  <c r="R290" i="26"/>
  <c r="R264" i="26"/>
  <c r="R169" i="26"/>
  <c r="R144" i="26"/>
  <c r="R476" i="26"/>
  <c r="R463" i="26"/>
  <c r="R455" i="26"/>
  <c r="F466" i="22"/>
  <c r="F469" i="22" s="1"/>
  <c r="R449" i="26"/>
  <c r="J93" i="12"/>
  <c r="L93" i="12" s="1"/>
  <c r="J25" i="13"/>
  <c r="L25" i="13" s="1"/>
  <c r="J18" i="11"/>
  <c r="L18" i="11" s="1"/>
  <c r="J22" i="17"/>
  <c r="L22" i="17" s="1"/>
  <c r="P22" i="17" s="1"/>
  <c r="H25" i="17"/>
  <c r="H34" i="17" s="1"/>
  <c r="J185" i="12"/>
  <c r="L185" i="12" s="1"/>
  <c r="J183" i="12"/>
  <c r="L183" i="12" s="1"/>
  <c r="J143" i="12"/>
  <c r="L143" i="12" s="1"/>
  <c r="J105" i="11"/>
  <c r="L105" i="11" s="1"/>
  <c r="J79" i="11"/>
  <c r="L79" i="11" s="1"/>
  <c r="J39" i="13"/>
  <c r="L39" i="13" s="1"/>
  <c r="P179" i="4"/>
  <c r="J55" i="13"/>
  <c r="L55" i="13" s="1"/>
  <c r="Z20" i="4"/>
  <c r="B117" i="11"/>
  <c r="AK255" i="5"/>
  <c r="V124" i="4"/>
  <c r="F406" i="26"/>
  <c r="P41" i="26"/>
  <c r="R41" i="26" s="1"/>
  <c r="P40" i="23"/>
  <c r="P56" i="23" s="1"/>
  <c r="N20" i="13"/>
  <c r="N20" i="11"/>
  <c r="J51" i="13"/>
  <c r="H59" i="13"/>
  <c r="F27" i="12"/>
  <c r="H119" i="4"/>
  <c r="H85" i="4" s="1"/>
  <c r="N35" i="13"/>
  <c r="N35" i="11"/>
  <c r="H112" i="11"/>
  <c r="J98" i="11"/>
  <c r="J48" i="14"/>
  <c r="L31" i="14"/>
  <c r="L48" i="14" s="1"/>
  <c r="S58" i="25"/>
  <c r="U20" i="25"/>
  <c r="N109" i="13"/>
  <c r="N109" i="11"/>
  <c r="J47" i="11"/>
  <c r="L47" i="11" s="1"/>
  <c r="J21" i="11"/>
  <c r="L21" i="11" s="1"/>
  <c r="S49" i="25"/>
  <c r="U49" i="25" s="1"/>
  <c r="U11" i="25"/>
  <c r="G12" i="10"/>
  <c r="U12" i="10" s="1"/>
  <c r="X12" i="10" s="1"/>
  <c r="J150" i="4"/>
  <c r="T95" i="4"/>
  <c r="F97" i="4"/>
  <c r="F99" i="4" s="1"/>
  <c r="AC99" i="4" s="1"/>
  <c r="J438" i="26"/>
  <c r="J470" i="26" s="1"/>
  <c r="J33" i="19"/>
  <c r="AS220" i="5"/>
  <c r="AS154" i="5"/>
  <c r="AS240" i="5" s="1"/>
  <c r="AS63" i="5"/>
  <c r="V164" i="4"/>
  <c r="V127" i="4" s="1"/>
  <c r="V153" i="4"/>
  <c r="V154" i="4" s="1"/>
  <c r="AA90" i="7"/>
  <c r="AC81" i="7"/>
  <c r="AA104" i="6"/>
  <c r="AC104" i="6" s="1"/>
  <c r="AO116" i="5"/>
  <c r="AO119" i="5" s="1"/>
  <c r="AO255" i="5" s="1"/>
  <c r="F106" i="4"/>
  <c r="F108" i="4" s="1"/>
  <c r="T104" i="4"/>
  <c r="L37" i="21"/>
  <c r="AA57" i="6"/>
  <c r="AC57" i="6" s="1"/>
  <c r="AC53" i="6"/>
  <c r="AS84" i="5"/>
  <c r="U61" i="2"/>
  <c r="W61" i="2"/>
  <c r="AA74" i="6"/>
  <c r="AC74" i="6" s="1"/>
  <c r="L219" i="22"/>
  <c r="L469" i="22" s="1"/>
  <c r="H202" i="26"/>
  <c r="F192" i="26"/>
  <c r="R172" i="22"/>
  <c r="R152" i="26"/>
  <c r="R90" i="26"/>
  <c r="N94" i="26"/>
  <c r="D94" i="26"/>
  <c r="R86" i="26"/>
  <c r="N47" i="13"/>
  <c r="N47" i="11"/>
  <c r="R61" i="26"/>
  <c r="R65" i="22"/>
  <c r="R81" i="22" s="1"/>
  <c r="N25" i="13"/>
  <c r="N25" i="11"/>
  <c r="P34" i="26"/>
  <c r="F34" i="26"/>
  <c r="R40" i="23"/>
  <c r="N40" i="15"/>
  <c r="F128" i="4"/>
  <c r="V165" i="4"/>
  <c r="V128" i="4" s="1"/>
  <c r="H479" i="26"/>
  <c r="H482" i="26" s="1"/>
  <c r="R407" i="26"/>
  <c r="D416" i="26"/>
  <c r="R376" i="26"/>
  <c r="R351" i="22"/>
  <c r="R275" i="22"/>
  <c r="P435" i="26"/>
  <c r="L406" i="26"/>
  <c r="N352" i="26"/>
  <c r="F341" i="26"/>
  <c r="H276" i="26"/>
  <c r="R233" i="26"/>
  <c r="D267" i="26"/>
  <c r="F232" i="26"/>
  <c r="L416" i="26"/>
  <c r="R340" i="22"/>
  <c r="R246" i="26"/>
  <c r="U23" i="3"/>
  <c r="V205" i="4"/>
  <c r="V206" i="4" s="1"/>
  <c r="AU87" i="5"/>
  <c r="N65" i="13"/>
  <c r="N65" i="11"/>
  <c r="H435" i="26"/>
  <c r="P368" i="26"/>
  <c r="L202" i="26"/>
  <c r="N44" i="13"/>
  <c r="N44" i="11"/>
  <c r="D25" i="17"/>
  <c r="J12" i="17"/>
  <c r="D89" i="16"/>
  <c r="J44" i="16"/>
  <c r="L43" i="16"/>
  <c r="L44" i="16" s="1"/>
  <c r="H80" i="13"/>
  <c r="J69" i="13"/>
  <c r="F48" i="11"/>
  <c r="R428" i="26"/>
  <c r="N219" i="26"/>
  <c r="P139" i="26"/>
  <c r="N53" i="13"/>
  <c r="N53" i="11"/>
  <c r="F139" i="26"/>
  <c r="N69" i="13"/>
  <c r="N69" i="11"/>
  <c r="J101" i="13"/>
  <c r="L101" i="13" s="1"/>
  <c r="H48" i="11"/>
  <c r="J31" i="11"/>
  <c r="N107" i="11"/>
  <c r="N107" i="13"/>
  <c r="P107" i="13" s="1"/>
  <c r="H416" i="26"/>
  <c r="R367" i="22"/>
  <c r="H34" i="26"/>
  <c r="J87" i="11"/>
  <c r="L87" i="11" s="1"/>
  <c r="R220" i="26"/>
  <c r="AU195" i="5"/>
  <c r="R370" i="26"/>
  <c r="B438" i="26"/>
  <c r="B470" i="26" s="1"/>
  <c r="R353" i="26"/>
  <c r="R342" i="26"/>
  <c r="R101" i="26"/>
  <c r="AS192" i="5"/>
  <c r="AS32" i="5"/>
  <c r="AC15" i="6"/>
  <c r="AA31" i="6"/>
  <c r="AC31" i="6" s="1"/>
  <c r="AU206" i="5"/>
  <c r="AS174" i="5"/>
  <c r="AU174" i="5" s="1"/>
  <c r="AU157" i="5"/>
  <c r="AU70" i="5"/>
  <c r="AC46" i="6"/>
  <c r="Q50" i="6"/>
  <c r="AS185" i="5"/>
  <c r="AU185" i="5" s="1"/>
  <c r="AU125" i="5"/>
  <c r="AU55" i="5"/>
  <c r="AS52" i="5"/>
  <c r="AU52" i="5" s="1"/>
  <c r="AO211" i="4"/>
  <c r="AO15" i="4" s="1"/>
  <c r="AO20" i="4" s="1"/>
  <c r="AO23" i="4" s="1"/>
  <c r="P194" i="4"/>
  <c r="U63" i="25"/>
  <c r="U64" i="25" s="1"/>
  <c r="AA98" i="7"/>
  <c r="AC98" i="7" s="1"/>
  <c r="AI296" i="5"/>
  <c r="AI308" i="5" s="1"/>
  <c r="AI314" i="5" s="1"/>
  <c r="AI321" i="5" s="1"/>
  <c r="D131" i="4"/>
  <c r="D132" i="4" s="1"/>
  <c r="Q77" i="7"/>
  <c r="AU129" i="5"/>
  <c r="AU134" i="5" s="1"/>
  <c r="AS134" i="5"/>
  <c r="AS102" i="5"/>
  <c r="AU73" i="5"/>
  <c r="AU32" i="5"/>
  <c r="V61" i="4"/>
  <c r="M66" i="25"/>
  <c r="M73" i="25" s="1"/>
  <c r="AA50" i="7"/>
  <c r="AC95" i="6"/>
  <c r="R44" i="26"/>
  <c r="R450" i="26"/>
  <c r="F416" i="26"/>
  <c r="R405" i="26"/>
  <c r="P406" i="26"/>
  <c r="N89" i="13"/>
  <c r="P89" i="13" s="1"/>
  <c r="N89" i="11"/>
  <c r="P89" i="11" s="1"/>
  <c r="F368" i="26"/>
  <c r="R318" i="26"/>
  <c r="R229" i="26"/>
  <c r="N174" i="26"/>
  <c r="D174" i="26"/>
  <c r="R157" i="26"/>
  <c r="P156" i="26"/>
  <c r="N139" i="26"/>
  <c r="N55" i="13"/>
  <c r="N55" i="11"/>
  <c r="P55" i="11" s="1"/>
  <c r="F166" i="4"/>
  <c r="F124" i="4"/>
  <c r="F129" i="4" s="1"/>
  <c r="X131" i="4" s="1"/>
  <c r="N36" i="13"/>
  <c r="N36" i="11"/>
  <c r="P30" i="17"/>
  <c r="N31" i="24"/>
  <c r="N63" i="13"/>
  <c r="N63" i="11"/>
  <c r="N111" i="13"/>
  <c r="N111" i="11"/>
  <c r="P111" i="11" s="1"/>
  <c r="N99" i="11"/>
  <c r="N99" i="13"/>
  <c r="N435" i="26"/>
  <c r="P219" i="22"/>
  <c r="H219" i="22"/>
  <c r="P479" i="26"/>
  <c r="P482" i="26" s="1"/>
  <c r="R453" i="22"/>
  <c r="R466" i="22" s="1"/>
  <c r="AS246" i="5"/>
  <c r="AU246" i="5" s="1"/>
  <c r="AU244" i="5"/>
  <c r="AA57" i="7"/>
  <c r="AC57" i="7" s="1"/>
  <c r="AC53" i="7"/>
  <c r="AA105" i="7"/>
  <c r="AC105" i="7" s="1"/>
  <c r="AA112" i="6"/>
  <c r="W109" i="7"/>
  <c r="R415" i="22"/>
  <c r="P25" i="11"/>
  <c r="H341" i="26"/>
  <c r="F57" i="15"/>
  <c r="D196" i="14"/>
  <c r="R277" i="26"/>
  <c r="R82" i="26"/>
  <c r="L14" i="20"/>
  <c r="L17" i="20"/>
  <c r="AS237" i="5"/>
  <c r="AU237" i="5" s="1"/>
  <c r="AU223" i="5"/>
  <c r="AA74" i="7"/>
  <c r="AC74" i="7" s="1"/>
  <c r="AC50" i="7"/>
  <c r="Y109" i="7"/>
  <c r="AC112" i="6"/>
  <c r="AU192" i="5"/>
  <c r="AU63" i="5"/>
  <c r="AN168" i="4"/>
  <c r="AN12" i="4" s="1"/>
  <c r="AN20" i="4" s="1"/>
  <c r="AN31" i="4" s="1"/>
  <c r="C77" i="25"/>
  <c r="C74" i="2"/>
  <c r="AA31" i="7"/>
  <c r="AA77" i="7" s="1"/>
  <c r="AC15" i="7"/>
  <c r="AU48" i="5"/>
  <c r="T56" i="4"/>
  <c r="V53" i="4"/>
  <c r="V56" i="4" s="1"/>
  <c r="R203" i="26"/>
  <c r="AU220" i="5"/>
  <c r="AU88" i="5"/>
  <c r="AI99" i="5"/>
  <c r="AU99" i="5" s="1"/>
  <c r="Q121" i="6"/>
  <c r="AI240" i="5"/>
  <c r="AU240" i="5" s="1"/>
  <c r="AU84" i="5"/>
  <c r="U10" i="3"/>
  <c r="U11" i="3" s="1"/>
  <c r="U30" i="3" s="1"/>
  <c r="AU139" i="5"/>
  <c r="AQ255" i="5"/>
  <c r="D479" i="26"/>
  <c r="D482" i="26" s="1"/>
  <c r="R474" i="26"/>
  <c r="N110" i="13"/>
  <c r="N110" i="11"/>
  <c r="R423" i="26"/>
  <c r="R369" i="26"/>
  <c r="R322" i="26"/>
  <c r="H267" i="26"/>
  <c r="L232" i="26"/>
  <c r="R199" i="26"/>
  <c r="P192" i="26"/>
  <c r="R148" i="26"/>
  <c r="D139" i="26"/>
  <c r="L118" i="26"/>
  <c r="R166" i="4"/>
  <c r="R124" i="4"/>
  <c r="R129" i="4" s="1"/>
  <c r="R131" i="4" s="1"/>
  <c r="N67" i="26"/>
  <c r="N83" i="26" s="1"/>
  <c r="D67" i="26"/>
  <c r="D83" i="26" s="1"/>
  <c r="N56" i="23"/>
  <c r="D192" i="26"/>
  <c r="R132" i="26"/>
  <c r="P118" i="26"/>
  <c r="R40" i="26"/>
  <c r="N31" i="13"/>
  <c r="N31" i="11"/>
  <c r="R25" i="26"/>
  <c r="N14" i="13"/>
  <c r="N14" i="11"/>
  <c r="J21" i="15"/>
  <c r="L21" i="15" s="1"/>
  <c r="P21" i="15" s="1"/>
  <c r="F191" i="12"/>
  <c r="J148" i="12"/>
  <c r="H154" i="12"/>
  <c r="D112" i="13"/>
  <c r="J83" i="12"/>
  <c r="L83" i="12" s="1"/>
  <c r="H95" i="13"/>
  <c r="J83" i="13"/>
  <c r="J78" i="11"/>
  <c r="L78" i="11" s="1"/>
  <c r="J41" i="11"/>
  <c r="L41" i="11" s="1"/>
  <c r="J11" i="13"/>
  <c r="H28" i="13"/>
  <c r="V174" i="4"/>
  <c r="U45" i="2"/>
  <c r="U22" i="2"/>
  <c r="G48" i="25"/>
  <c r="G22" i="25"/>
  <c r="D466" i="22"/>
  <c r="N219" i="22"/>
  <c r="N469" i="22" s="1"/>
  <c r="N27" i="13"/>
  <c r="N27" i="11"/>
  <c r="J86" i="16"/>
  <c r="L82" i="16"/>
  <c r="L86" i="16" s="1"/>
  <c r="D56" i="23"/>
  <c r="H368" i="26"/>
  <c r="R327" i="26"/>
  <c r="R311" i="26"/>
  <c r="R274" i="26"/>
  <c r="R263" i="26"/>
  <c r="R250" i="26"/>
  <c r="R230" i="26"/>
  <c r="P232" i="26"/>
  <c r="D232" i="26"/>
  <c r="D219" i="22"/>
  <c r="R189" i="26"/>
  <c r="F174" i="26"/>
  <c r="R155" i="26"/>
  <c r="R133" i="26"/>
  <c r="H166" i="4"/>
  <c r="H124" i="4"/>
  <c r="H129" i="4" s="1"/>
  <c r="N15" i="13"/>
  <c r="N15" i="11"/>
  <c r="J24" i="18"/>
  <c r="L11" i="18"/>
  <c r="L24" i="18" s="1"/>
  <c r="J44" i="15"/>
  <c r="H45" i="15"/>
  <c r="P22" i="15"/>
  <c r="D25" i="15"/>
  <c r="F145" i="12"/>
  <c r="J103" i="11"/>
  <c r="L103" i="11" s="1"/>
  <c r="J94" i="11"/>
  <c r="L94" i="11" s="1"/>
  <c r="F94" i="12"/>
  <c r="L69" i="14"/>
  <c r="L80" i="14" s="1"/>
  <c r="J80" i="14"/>
  <c r="J64" i="11"/>
  <c r="L64" i="11" s="1"/>
  <c r="J38" i="11"/>
  <c r="L38" i="11" s="1"/>
  <c r="F47" i="12"/>
  <c r="J14" i="11"/>
  <c r="L14" i="11" s="1"/>
  <c r="P14" i="11" s="1"/>
  <c r="R23" i="23"/>
  <c r="N11" i="15"/>
  <c r="N25" i="15" s="1"/>
  <c r="D458" i="26"/>
  <c r="R456" i="26"/>
  <c r="R458" i="26" s="1"/>
  <c r="R434" i="22"/>
  <c r="R412" i="26"/>
  <c r="R362" i="26"/>
  <c r="N276" i="26"/>
  <c r="R259" i="26"/>
  <c r="R254" i="26"/>
  <c r="R213" i="26"/>
  <c r="F202" i="26"/>
  <c r="R154" i="22"/>
  <c r="R121" i="26"/>
  <c r="R113" i="26"/>
  <c r="R109" i="26"/>
  <c r="H94" i="26"/>
  <c r="N16" i="13"/>
  <c r="N16" i="11"/>
  <c r="D34" i="26"/>
  <c r="J29" i="17"/>
  <c r="L29" i="17" s="1"/>
  <c r="P29" i="17" s="1"/>
  <c r="J19" i="15"/>
  <c r="L19" i="15" s="1"/>
  <c r="P19" i="15" s="1"/>
  <c r="J144" i="12"/>
  <c r="L144" i="12" s="1"/>
  <c r="J104" i="12"/>
  <c r="L104" i="12" s="1"/>
  <c r="J103" i="12"/>
  <c r="L103" i="12" s="1"/>
  <c r="D111" i="12"/>
  <c r="F118" i="4"/>
  <c r="J84" i="13"/>
  <c r="L84" i="13" s="1"/>
  <c r="J82" i="12"/>
  <c r="H94" i="12"/>
  <c r="J77" i="12"/>
  <c r="L77" i="12" s="1"/>
  <c r="J39" i="12"/>
  <c r="L39" i="12" s="1"/>
  <c r="J39" i="11"/>
  <c r="L39" i="11" s="1"/>
  <c r="J11" i="12"/>
  <c r="L11" i="12" s="1"/>
  <c r="J28" i="14"/>
  <c r="L11" i="14"/>
  <c r="L28" i="14" s="1"/>
  <c r="U26" i="10"/>
  <c r="U28" i="10" s="1"/>
  <c r="C28" i="10"/>
  <c r="U43" i="25"/>
  <c r="V183" i="4"/>
  <c r="R189" i="4"/>
  <c r="E45" i="25"/>
  <c r="U34" i="25"/>
  <c r="O35" i="25"/>
  <c r="Q55" i="25"/>
  <c r="E55" i="25"/>
  <c r="U14" i="25"/>
  <c r="S52" i="25"/>
  <c r="U52" i="25" s="1"/>
  <c r="Q51" i="25"/>
  <c r="T150" i="4"/>
  <c r="G57" i="2"/>
  <c r="G63" i="2" s="1"/>
  <c r="G70" i="2" s="1"/>
  <c r="N42" i="1"/>
  <c r="N50" i="1" s="1"/>
  <c r="L50" i="1"/>
  <c r="J48" i="4"/>
  <c r="F56" i="23"/>
  <c r="N102" i="11"/>
  <c r="N102" i="13"/>
  <c r="R445" i="26"/>
  <c r="N98" i="11"/>
  <c r="N98" i="13"/>
  <c r="R434" i="26"/>
  <c r="R430" i="26"/>
  <c r="R399" i="26"/>
  <c r="N368" i="26"/>
  <c r="R266" i="22"/>
  <c r="R137" i="26"/>
  <c r="N57" i="13"/>
  <c r="P57" i="13" s="1"/>
  <c r="N57" i="11"/>
  <c r="N52" i="13"/>
  <c r="N52" i="11"/>
  <c r="N37" i="13"/>
  <c r="N37" i="11"/>
  <c r="R63" i="26"/>
  <c r="J20" i="17"/>
  <c r="L20" i="17" s="1"/>
  <c r="P20" i="17" s="1"/>
  <c r="F25" i="17"/>
  <c r="R283" i="26"/>
  <c r="L156" i="26"/>
  <c r="D118" i="26"/>
  <c r="N45" i="13"/>
  <c r="P45" i="13" s="1"/>
  <c r="N45" i="11"/>
  <c r="P45" i="11" s="1"/>
  <c r="F31" i="17"/>
  <c r="J176" i="12"/>
  <c r="L176" i="12" s="1"/>
  <c r="J166" i="12"/>
  <c r="L166" i="12" s="1"/>
  <c r="F168" i="12"/>
  <c r="L159" i="14"/>
  <c r="L161" i="14" s="1"/>
  <c r="J161" i="14"/>
  <c r="J108" i="11"/>
  <c r="L108" i="11" s="1"/>
  <c r="J101" i="11"/>
  <c r="L101" i="11" s="1"/>
  <c r="J97" i="12"/>
  <c r="J118" i="4"/>
  <c r="J84" i="4" s="1"/>
  <c r="H111" i="12"/>
  <c r="J112" i="14"/>
  <c r="L98" i="14"/>
  <c r="L112" i="14" s="1"/>
  <c r="J88" i="11"/>
  <c r="L88" i="11" s="1"/>
  <c r="J75" i="13"/>
  <c r="L75" i="13" s="1"/>
  <c r="J71" i="12"/>
  <c r="L71" i="12" s="1"/>
  <c r="J58" i="11"/>
  <c r="L58" i="11" s="1"/>
  <c r="F58" i="12"/>
  <c r="H48" i="13"/>
  <c r="J31" i="13"/>
  <c r="J15" i="11"/>
  <c r="L15" i="11" s="1"/>
  <c r="P15" i="11" s="1"/>
  <c r="D28" i="11"/>
  <c r="U42" i="25"/>
  <c r="H189" i="4"/>
  <c r="V176" i="4"/>
  <c r="H179" i="4"/>
  <c r="V148" i="4"/>
  <c r="V138" i="4"/>
  <c r="F150" i="4"/>
  <c r="F168" i="4" s="1"/>
  <c r="X168" i="4" s="1"/>
  <c r="E48" i="25"/>
  <c r="E22" i="25"/>
  <c r="T62" i="4"/>
  <c r="V62" i="4" s="1"/>
  <c r="N28" i="17"/>
  <c r="N31" i="17" s="1"/>
  <c r="R28" i="24"/>
  <c r="R307" i="26"/>
  <c r="F352" i="26"/>
  <c r="R300" i="26"/>
  <c r="N232" i="26"/>
  <c r="N202" i="26"/>
  <c r="L174" i="26"/>
  <c r="L139" i="26"/>
  <c r="R22" i="24"/>
  <c r="N12" i="17"/>
  <c r="N25" i="17" s="1"/>
  <c r="R478" i="26"/>
  <c r="N62" i="13"/>
  <c r="N62" i="11"/>
  <c r="R478" i="22"/>
  <c r="R481" i="22" s="1"/>
  <c r="N103" i="11"/>
  <c r="N103" i="13"/>
  <c r="N93" i="13"/>
  <c r="N93" i="11"/>
  <c r="H437" i="22"/>
  <c r="H469" i="22" s="1"/>
  <c r="P416" i="26"/>
  <c r="R351" i="26"/>
  <c r="L341" i="26"/>
  <c r="L276" i="26"/>
  <c r="R256" i="26"/>
  <c r="R212" i="26"/>
  <c r="R208" i="26"/>
  <c r="L219" i="26"/>
  <c r="R173" i="26"/>
  <c r="F156" i="26"/>
  <c r="N73" i="13"/>
  <c r="N73" i="11"/>
  <c r="P73" i="11" s="1"/>
  <c r="R127" i="26"/>
  <c r="R123" i="26"/>
  <c r="R137" i="22"/>
  <c r="N70" i="13"/>
  <c r="N70" i="11"/>
  <c r="R92" i="22"/>
  <c r="N51" i="13"/>
  <c r="N51" i="11"/>
  <c r="N43" i="13"/>
  <c r="N43" i="11"/>
  <c r="N39" i="13"/>
  <c r="P39" i="13" s="1"/>
  <c r="N39" i="11"/>
  <c r="R57" i="26"/>
  <c r="N21" i="13"/>
  <c r="N21" i="11"/>
  <c r="N13" i="13"/>
  <c r="N13" i="11"/>
  <c r="P13" i="11" s="1"/>
  <c r="R475" i="26"/>
  <c r="R466" i="26"/>
  <c r="N108" i="11"/>
  <c r="N108" i="13"/>
  <c r="F462" i="26"/>
  <c r="F467" i="26" s="1"/>
  <c r="N458" i="26"/>
  <c r="R395" i="26"/>
  <c r="R382" i="26"/>
  <c r="D352" i="26"/>
  <c r="R295" i="26"/>
  <c r="N341" i="26"/>
  <c r="D276" i="26"/>
  <c r="R268" i="26"/>
  <c r="N267" i="26"/>
  <c r="D219" i="26"/>
  <c r="R164" i="26"/>
  <c r="F118" i="26"/>
  <c r="J166" i="4"/>
  <c r="J125" i="4"/>
  <c r="J129" i="4" s="1"/>
  <c r="N58" i="13"/>
  <c r="P58" i="13" s="1"/>
  <c r="N58" i="11"/>
  <c r="N41" i="13"/>
  <c r="N41" i="11"/>
  <c r="N38" i="13"/>
  <c r="P38" i="13" s="1"/>
  <c r="N38" i="11"/>
  <c r="P67" i="26"/>
  <c r="P83" i="26" s="1"/>
  <c r="R16" i="26"/>
  <c r="N34" i="26"/>
  <c r="J13" i="17"/>
  <c r="L13" i="17" s="1"/>
  <c r="P13" i="17" s="1"/>
  <c r="J37" i="15"/>
  <c r="L37" i="15" s="1"/>
  <c r="P37" i="15" s="1"/>
  <c r="F41" i="15"/>
  <c r="L13" i="16"/>
  <c r="J13" i="15"/>
  <c r="L13" i="15" s="1"/>
  <c r="P13" i="15" s="1"/>
  <c r="D178" i="12"/>
  <c r="J164" i="12"/>
  <c r="L164" i="12" s="1"/>
  <c r="P111" i="13"/>
  <c r="J103" i="13"/>
  <c r="L103" i="13" s="1"/>
  <c r="P99" i="13"/>
  <c r="J90" i="13"/>
  <c r="L90" i="13" s="1"/>
  <c r="J76" i="12"/>
  <c r="L76" i="12" s="1"/>
  <c r="J68" i="12"/>
  <c r="H79" i="12"/>
  <c r="J117" i="4"/>
  <c r="J83" i="4" s="1"/>
  <c r="J63" i="12"/>
  <c r="L63" i="12" s="1"/>
  <c r="D66" i="11"/>
  <c r="H59" i="11"/>
  <c r="J116" i="4"/>
  <c r="J51" i="11"/>
  <c r="J59" i="14"/>
  <c r="L51" i="14"/>
  <c r="L59" i="14" s="1"/>
  <c r="F48" i="13"/>
  <c r="P25" i="13"/>
  <c r="F28" i="13"/>
  <c r="H56" i="23"/>
  <c r="N64" i="13"/>
  <c r="P64" i="13" s="1"/>
  <c r="N64" i="11"/>
  <c r="N94" i="13"/>
  <c r="P94" i="13" s="1"/>
  <c r="N94" i="11"/>
  <c r="R386" i="26"/>
  <c r="R366" i="26"/>
  <c r="R316" i="26"/>
  <c r="F267" i="26"/>
  <c r="R217" i="26"/>
  <c r="R207" i="26"/>
  <c r="R190" i="22"/>
  <c r="R112" i="26"/>
  <c r="N12" i="13"/>
  <c r="N12" i="11"/>
  <c r="J20" i="15"/>
  <c r="L20" i="15" s="1"/>
  <c r="P20" i="15" s="1"/>
  <c r="J184" i="12"/>
  <c r="L184" i="12" s="1"/>
  <c r="J142" i="12"/>
  <c r="L142" i="12" s="1"/>
  <c r="J104" i="13"/>
  <c r="L104" i="13" s="1"/>
  <c r="D115" i="14"/>
  <c r="J83" i="11"/>
  <c r="H95" i="11"/>
  <c r="J78" i="12"/>
  <c r="L78" i="12" s="1"/>
  <c r="P41" i="13"/>
  <c r="J40" i="13"/>
  <c r="L40" i="13" s="1"/>
  <c r="J12" i="11"/>
  <c r="L12" i="11" s="1"/>
  <c r="H28" i="11"/>
  <c r="J11" i="11"/>
  <c r="U39" i="25"/>
  <c r="Q45" i="25"/>
  <c r="F189" i="4"/>
  <c r="U33" i="25"/>
  <c r="I53" i="25"/>
  <c r="S57" i="2"/>
  <c r="S63" i="2" s="1"/>
  <c r="S70" i="2" s="1"/>
  <c r="H150" i="4"/>
  <c r="T71" i="4"/>
  <c r="F79" i="4"/>
  <c r="L462" i="26"/>
  <c r="D454" i="26"/>
  <c r="R452" i="26"/>
  <c r="R454" i="26" s="1"/>
  <c r="N101" i="11"/>
  <c r="N101" i="13"/>
  <c r="N100" i="11"/>
  <c r="N100" i="13"/>
  <c r="R404" i="26"/>
  <c r="R332" i="26"/>
  <c r="R200" i="22"/>
  <c r="R183" i="26"/>
  <c r="R168" i="26"/>
  <c r="N56" i="13"/>
  <c r="N56" i="11"/>
  <c r="N54" i="13"/>
  <c r="N54" i="11"/>
  <c r="R71" i="26"/>
  <c r="N34" i="13"/>
  <c r="P34" i="13" s="1"/>
  <c r="N34" i="11"/>
  <c r="N24" i="13"/>
  <c r="N24" i="11"/>
  <c r="L435" i="26"/>
  <c r="L368" i="26"/>
  <c r="R291" i="26"/>
  <c r="D341" i="26"/>
  <c r="L192" i="26"/>
  <c r="R107" i="26"/>
  <c r="R103" i="26"/>
  <c r="R97" i="26"/>
  <c r="F33" i="18"/>
  <c r="F45" i="18" s="1"/>
  <c r="L75" i="16"/>
  <c r="L80" i="16" s="1"/>
  <c r="J80" i="16"/>
  <c r="J135" i="12"/>
  <c r="L135" i="12" s="1"/>
  <c r="J126" i="12"/>
  <c r="L126" i="12" s="1"/>
  <c r="J100" i="12"/>
  <c r="L100" i="12" s="1"/>
  <c r="J98" i="13"/>
  <c r="H112" i="13"/>
  <c r="J91" i="11"/>
  <c r="L91" i="11" s="1"/>
  <c r="J87" i="12"/>
  <c r="L87" i="12" s="1"/>
  <c r="J72" i="13"/>
  <c r="L72" i="13" s="1"/>
  <c r="F59" i="11"/>
  <c r="H116" i="4"/>
  <c r="J30" i="12"/>
  <c r="H47" i="12"/>
  <c r="J15" i="13"/>
  <c r="L15" i="13" s="1"/>
  <c r="P15" i="13" s="1"/>
  <c r="D27" i="12"/>
  <c r="F119" i="4"/>
  <c r="S70" i="25"/>
  <c r="U69" i="25"/>
  <c r="U70" i="25" s="1"/>
  <c r="G45" i="25"/>
  <c r="U30" i="25"/>
  <c r="U26" i="25"/>
  <c r="G35" i="25"/>
  <c r="G21" i="10"/>
  <c r="U21" i="10" s="1"/>
  <c r="X21" i="10" s="1"/>
  <c r="S55" i="25"/>
  <c r="U17" i="25"/>
  <c r="G51" i="25"/>
  <c r="C22" i="10"/>
  <c r="U11" i="10"/>
  <c r="T63" i="4"/>
  <c r="V63" i="4" s="1"/>
  <c r="T44" i="4"/>
  <c r="V44" i="4" s="1"/>
  <c r="D31" i="24"/>
  <c r="H219" i="26"/>
  <c r="N42" i="13"/>
  <c r="P42" i="13" s="1"/>
  <c r="N42" i="11"/>
  <c r="P42" i="11" s="1"/>
  <c r="L34" i="26"/>
  <c r="J17" i="17"/>
  <c r="L17" i="17" s="1"/>
  <c r="P17" i="17" s="1"/>
  <c r="D41" i="15"/>
  <c r="J133" i="14"/>
  <c r="L120" i="14"/>
  <c r="L133" i="14" s="1"/>
  <c r="J110" i="13"/>
  <c r="L110" i="13" s="1"/>
  <c r="J93" i="11"/>
  <c r="L93" i="11" s="1"/>
  <c r="P93" i="11" s="1"/>
  <c r="J70" i="13"/>
  <c r="L70" i="13" s="1"/>
  <c r="D80" i="11"/>
  <c r="J63" i="11"/>
  <c r="L63" i="11" s="1"/>
  <c r="J56" i="13"/>
  <c r="L56" i="13" s="1"/>
  <c r="J53" i="13"/>
  <c r="L53" i="13" s="1"/>
  <c r="P53" i="13" s="1"/>
  <c r="J42" i="12"/>
  <c r="L42" i="12" s="1"/>
  <c r="J36" i="11"/>
  <c r="L36" i="11" s="1"/>
  <c r="J26" i="13"/>
  <c r="L26" i="13" s="1"/>
  <c r="J23" i="13"/>
  <c r="L23" i="13" s="1"/>
  <c r="J20" i="11"/>
  <c r="L20" i="11" s="1"/>
  <c r="J17" i="13"/>
  <c r="L17" i="13" s="1"/>
  <c r="O45" i="25"/>
  <c r="Q35" i="25"/>
  <c r="Q57" i="25"/>
  <c r="S53" i="25"/>
  <c r="U15" i="25"/>
  <c r="O51" i="25"/>
  <c r="S50" i="25"/>
  <c r="U12" i="25"/>
  <c r="E50" i="25"/>
  <c r="O57" i="2"/>
  <c r="H68" i="1"/>
  <c r="H71" i="1" s="1"/>
  <c r="H74" i="1" s="1"/>
  <c r="J68" i="1"/>
  <c r="J71" i="1" s="1"/>
  <c r="J74" i="1" s="1"/>
  <c r="N41" i="15"/>
  <c r="N454" i="26"/>
  <c r="N406" i="26"/>
  <c r="R367" i="26"/>
  <c r="P352" i="26"/>
  <c r="R279" i="26"/>
  <c r="P276" i="26"/>
  <c r="R231" i="22"/>
  <c r="P219" i="26"/>
  <c r="H192" i="26"/>
  <c r="H156" i="26"/>
  <c r="H139" i="26"/>
  <c r="R108" i="26"/>
  <c r="F94" i="26"/>
  <c r="N26" i="13"/>
  <c r="N26" i="11"/>
  <c r="N23" i="13"/>
  <c r="N23" i="11"/>
  <c r="J14" i="17"/>
  <c r="L14" i="17" s="1"/>
  <c r="P14" i="17" s="1"/>
  <c r="P17" i="15"/>
  <c r="J190" i="12"/>
  <c r="L190" i="12" s="1"/>
  <c r="D159" i="12"/>
  <c r="D154" i="12"/>
  <c r="F131" i="12"/>
  <c r="J107" i="11"/>
  <c r="L107" i="11" s="1"/>
  <c r="P107" i="11" s="1"/>
  <c r="J99" i="11"/>
  <c r="L99" i="11" s="1"/>
  <c r="P99" i="11" s="1"/>
  <c r="J86" i="13"/>
  <c r="L86" i="13" s="1"/>
  <c r="F95" i="11"/>
  <c r="J73" i="13"/>
  <c r="L73" i="13" s="1"/>
  <c r="P73" i="13" s="1"/>
  <c r="H80" i="11"/>
  <c r="J69" i="11"/>
  <c r="D65" i="12"/>
  <c r="J50" i="12"/>
  <c r="H58" i="12"/>
  <c r="J34" i="11"/>
  <c r="L34" i="11" s="1"/>
  <c r="F28" i="11"/>
  <c r="P462" i="26"/>
  <c r="N106" i="11"/>
  <c r="N106" i="13"/>
  <c r="P106" i="13" s="1"/>
  <c r="R437" i="26"/>
  <c r="R424" i="26"/>
  <c r="D435" i="26"/>
  <c r="R417" i="26"/>
  <c r="R350" i="26"/>
  <c r="R258" i="26"/>
  <c r="H232" i="26"/>
  <c r="R159" i="26"/>
  <c r="D156" i="26"/>
  <c r="R125" i="26"/>
  <c r="R47" i="26"/>
  <c r="F67" i="26"/>
  <c r="F83" i="26" s="1"/>
  <c r="N32" i="13"/>
  <c r="N32" i="11"/>
  <c r="N22" i="13"/>
  <c r="P22" i="13" s="1"/>
  <c r="N22" i="11"/>
  <c r="P22" i="11" s="1"/>
  <c r="N19" i="13"/>
  <c r="N19" i="11"/>
  <c r="R34" i="22"/>
  <c r="N11" i="13"/>
  <c r="N11" i="11"/>
  <c r="L38" i="18"/>
  <c r="L39" i="18" s="1"/>
  <c r="L42" i="18" s="1"/>
  <c r="J39" i="18"/>
  <c r="J42" i="18" s="1"/>
  <c r="F196" i="14"/>
  <c r="L150" i="14"/>
  <c r="L156" i="14" s="1"/>
  <c r="J156" i="14"/>
  <c r="J105" i="13"/>
  <c r="L105" i="13" s="1"/>
  <c r="J104" i="11"/>
  <c r="L104" i="11" s="1"/>
  <c r="D112" i="11"/>
  <c r="J84" i="11"/>
  <c r="L84" i="11" s="1"/>
  <c r="L83" i="14"/>
  <c r="L95" i="14" s="1"/>
  <c r="J95" i="14"/>
  <c r="J79" i="13"/>
  <c r="L79" i="13" s="1"/>
  <c r="J78" i="13"/>
  <c r="L78" i="13" s="1"/>
  <c r="F86" i="4"/>
  <c r="J40" i="11"/>
  <c r="L40" i="11" s="1"/>
  <c r="J38" i="12"/>
  <c r="L38" i="12" s="1"/>
  <c r="P13" i="13"/>
  <c r="J12" i="13"/>
  <c r="L12" i="13" s="1"/>
  <c r="P12" i="13" s="1"/>
  <c r="J10" i="12"/>
  <c r="H27" i="12"/>
  <c r="J119" i="4"/>
  <c r="J85" i="4" s="1"/>
  <c r="V178" i="4"/>
  <c r="U27" i="25"/>
  <c r="S56" i="25"/>
  <c r="U56" i="25" s="1"/>
  <c r="U18" i="25"/>
  <c r="S48" i="25"/>
  <c r="U10" i="25"/>
  <c r="S22" i="25"/>
  <c r="N104" i="11"/>
  <c r="N104" i="13"/>
  <c r="R444" i="26"/>
  <c r="R441" i="26"/>
  <c r="P437" i="22"/>
  <c r="N416" i="26"/>
  <c r="R403" i="26"/>
  <c r="R339" i="26"/>
  <c r="R331" i="26"/>
  <c r="R238" i="26"/>
  <c r="R197" i="26"/>
  <c r="R193" i="26"/>
  <c r="D202" i="26"/>
  <c r="P174" i="26"/>
  <c r="R91" i="26"/>
  <c r="N40" i="13"/>
  <c r="N40" i="11"/>
  <c r="R72" i="26"/>
  <c r="R33" i="26"/>
  <c r="J23" i="17"/>
  <c r="L23" i="17" s="1"/>
  <c r="P23" i="17" s="1"/>
  <c r="P31" i="24"/>
  <c r="N48" i="15"/>
  <c r="N57" i="15" s="1"/>
  <c r="R53" i="23"/>
  <c r="L267" i="26"/>
  <c r="H174" i="26"/>
  <c r="R116" i="22"/>
  <c r="R99" i="26"/>
  <c r="J24" i="17"/>
  <c r="L24" i="17" s="1"/>
  <c r="P24" i="17" s="1"/>
  <c r="F89" i="16"/>
  <c r="F57" i="16"/>
  <c r="D191" i="12"/>
  <c r="H159" i="12"/>
  <c r="J157" i="12"/>
  <c r="P55" i="13"/>
  <c r="D145" i="12"/>
  <c r="J108" i="13"/>
  <c r="L108" i="13" s="1"/>
  <c r="H115" i="14"/>
  <c r="J91" i="13"/>
  <c r="L91" i="13" s="1"/>
  <c r="J74" i="12"/>
  <c r="L74" i="12" s="1"/>
  <c r="J72" i="11"/>
  <c r="L72" i="11" s="1"/>
  <c r="J57" i="12"/>
  <c r="L57" i="12" s="1"/>
  <c r="F59" i="13"/>
  <c r="D28" i="13"/>
  <c r="V173" i="4"/>
  <c r="G57" i="25"/>
  <c r="R371" i="26"/>
  <c r="L67" i="26"/>
  <c r="L83" i="26" s="1"/>
  <c r="J30" i="18"/>
  <c r="J33" i="18" s="1"/>
  <c r="J45" i="18" s="1"/>
  <c r="L27" i="18"/>
  <c r="L30" i="18" s="1"/>
  <c r="D57" i="15"/>
  <c r="D60" i="15" s="1"/>
  <c r="H25" i="15"/>
  <c r="J11" i="15"/>
  <c r="J136" i="12"/>
  <c r="L136" i="12" s="1"/>
  <c r="J102" i="13"/>
  <c r="L102" i="13" s="1"/>
  <c r="P102" i="13" s="1"/>
  <c r="F112" i="13"/>
  <c r="J92" i="13"/>
  <c r="L92" i="13" s="1"/>
  <c r="J75" i="12"/>
  <c r="L75" i="12" s="1"/>
  <c r="J64" i="12"/>
  <c r="L64" i="12" s="1"/>
  <c r="J61" i="12"/>
  <c r="H65" i="12"/>
  <c r="D59" i="13"/>
  <c r="J32" i="11"/>
  <c r="L32" i="11" s="1"/>
  <c r="P32" i="11" s="1"/>
  <c r="D48" i="13"/>
  <c r="J18" i="12"/>
  <c r="L18" i="12" s="1"/>
  <c r="J16" i="13"/>
  <c r="L16" i="13" s="1"/>
  <c r="P16" i="13" s="1"/>
  <c r="S45" i="25"/>
  <c r="U38" i="25"/>
  <c r="S35" i="25"/>
  <c r="U25" i="25"/>
  <c r="G53" i="25"/>
  <c r="S51" i="25"/>
  <c r="U13" i="25"/>
  <c r="R150" i="4"/>
  <c r="H79" i="4"/>
  <c r="F479" i="26"/>
  <c r="F482" i="26" s="1"/>
  <c r="H462" i="26"/>
  <c r="P454" i="26"/>
  <c r="P467" i="26" s="1"/>
  <c r="J33" i="15"/>
  <c r="L33" i="15" s="1"/>
  <c r="P33" i="15" s="1"/>
  <c r="H41" i="15"/>
  <c r="J28" i="15"/>
  <c r="L11" i="16"/>
  <c r="L24" i="16" s="1"/>
  <c r="J24" i="16"/>
  <c r="J167" i="12"/>
  <c r="L167" i="12" s="1"/>
  <c r="J127" i="12"/>
  <c r="L127" i="12" s="1"/>
  <c r="J109" i="11"/>
  <c r="L109" i="11" s="1"/>
  <c r="P109" i="11" s="1"/>
  <c r="J101" i="12"/>
  <c r="L101" i="12" s="1"/>
  <c r="F115" i="14"/>
  <c r="J76" i="13"/>
  <c r="L76" i="13" s="1"/>
  <c r="F80" i="11"/>
  <c r="J65" i="11"/>
  <c r="L65" i="11" s="1"/>
  <c r="J62" i="13"/>
  <c r="H66" i="13"/>
  <c r="J51" i="12"/>
  <c r="L51" i="12" s="1"/>
  <c r="D58" i="12"/>
  <c r="J35" i="11"/>
  <c r="L35" i="11" s="1"/>
  <c r="J31" i="12"/>
  <c r="L31" i="12" s="1"/>
  <c r="D47" i="12"/>
  <c r="U44" i="25"/>
  <c r="V185" i="4"/>
  <c r="V175" i="4"/>
  <c r="F179" i="4"/>
  <c r="O55" i="25"/>
  <c r="Q22" i="25"/>
  <c r="Q48" i="25"/>
  <c r="H406" i="26"/>
  <c r="R239" i="26"/>
  <c r="P94" i="26"/>
  <c r="R77" i="26"/>
  <c r="R21" i="26"/>
  <c r="J50" i="15"/>
  <c r="L50" i="15" s="1"/>
  <c r="P50" i="15" s="1"/>
  <c r="J23" i="15"/>
  <c r="L23" i="15" s="1"/>
  <c r="P23" i="15" s="1"/>
  <c r="J187" i="12"/>
  <c r="L187" i="12" s="1"/>
  <c r="L173" i="14"/>
  <c r="L180" i="14" s="1"/>
  <c r="J180" i="14"/>
  <c r="D79" i="12"/>
  <c r="F117" i="4"/>
  <c r="J63" i="13"/>
  <c r="L63" i="13" s="1"/>
  <c r="P63" i="13" s="1"/>
  <c r="F66" i="11"/>
  <c r="J43" i="13"/>
  <c r="L43" i="13" s="1"/>
  <c r="J36" i="13"/>
  <c r="L36" i="13" s="1"/>
  <c r="P36" i="13" s="1"/>
  <c r="J33" i="11"/>
  <c r="L33" i="11" s="1"/>
  <c r="J25" i="12"/>
  <c r="L25" i="12" s="1"/>
  <c r="U40" i="25"/>
  <c r="I58" i="25"/>
  <c r="U58" i="25" s="1"/>
  <c r="V146" i="4"/>
  <c r="V140" i="4"/>
  <c r="P150" i="4"/>
  <c r="T74" i="4"/>
  <c r="V74" i="4" s="1"/>
  <c r="T72" i="4"/>
  <c r="V72" i="4" s="1"/>
  <c r="H48" i="4"/>
  <c r="R304" i="26"/>
  <c r="F276" i="26"/>
  <c r="N192" i="26"/>
  <c r="L62" i="16"/>
  <c r="L72" i="16" s="1"/>
  <c r="J72" i="16"/>
  <c r="J54" i="16"/>
  <c r="L47" i="16"/>
  <c r="L54" i="16" s="1"/>
  <c r="J24" i="15"/>
  <c r="L24" i="15" s="1"/>
  <c r="P24" i="15" s="1"/>
  <c r="J16" i="15"/>
  <c r="L16" i="15" s="1"/>
  <c r="P16" i="15" s="1"/>
  <c r="J188" i="12"/>
  <c r="L188" i="12" s="1"/>
  <c r="H196" i="14"/>
  <c r="H199" i="14" s="1"/>
  <c r="J175" i="12"/>
  <c r="L175" i="12" s="1"/>
  <c r="J162" i="12"/>
  <c r="H168" i="12"/>
  <c r="J134" i="12"/>
  <c r="H145" i="12"/>
  <c r="J122" i="12"/>
  <c r="L122" i="12" s="1"/>
  <c r="J99" i="12"/>
  <c r="L99" i="12" s="1"/>
  <c r="J87" i="13"/>
  <c r="L87" i="13" s="1"/>
  <c r="D95" i="13"/>
  <c r="J73" i="12"/>
  <c r="L73" i="12" s="1"/>
  <c r="J71" i="11"/>
  <c r="L71" i="11" s="1"/>
  <c r="J54" i="11"/>
  <c r="L54" i="11" s="1"/>
  <c r="P54" i="11" s="1"/>
  <c r="J46" i="12"/>
  <c r="L46" i="12" s="1"/>
  <c r="J44" i="13"/>
  <c r="L44" i="13" s="1"/>
  <c r="J37" i="13"/>
  <c r="L37" i="13" s="1"/>
  <c r="J27" i="11"/>
  <c r="L27" i="11" s="1"/>
  <c r="P27" i="11" s="1"/>
  <c r="J23" i="12"/>
  <c r="L23" i="12" s="1"/>
  <c r="J20" i="12"/>
  <c r="L20" i="12" s="1"/>
  <c r="J179" i="4"/>
  <c r="G55" i="25"/>
  <c r="I51" i="25"/>
  <c r="Q50" i="25"/>
  <c r="I22" i="25"/>
  <c r="I48" i="25"/>
  <c r="T77" i="4"/>
  <c r="V77" i="4" s="1"/>
  <c r="H66" i="4"/>
  <c r="N11" i="1"/>
  <c r="N19" i="1" s="1"/>
  <c r="L19" i="1"/>
  <c r="U52" i="2"/>
  <c r="J79" i="4"/>
  <c r="L479" i="26"/>
  <c r="L482" i="26" s="1"/>
  <c r="R461" i="26"/>
  <c r="F435" i="26"/>
  <c r="D368" i="26"/>
  <c r="N79" i="13"/>
  <c r="N79" i="11"/>
  <c r="P79" i="11" s="1"/>
  <c r="R24" i="26"/>
  <c r="D33" i="18"/>
  <c r="D45" i="18" s="1"/>
  <c r="J36" i="15"/>
  <c r="L36" i="15" s="1"/>
  <c r="P36" i="15" s="1"/>
  <c r="J40" i="16"/>
  <c r="L27" i="16"/>
  <c r="L40" i="16" s="1"/>
  <c r="J139" i="12"/>
  <c r="L139" i="12" s="1"/>
  <c r="J108" i="12"/>
  <c r="L108" i="12" s="1"/>
  <c r="J102" i="11"/>
  <c r="L102" i="11" s="1"/>
  <c r="P102" i="11" s="1"/>
  <c r="F112" i="11"/>
  <c r="J92" i="11"/>
  <c r="L92" i="11" s="1"/>
  <c r="J76" i="11"/>
  <c r="L76" i="11" s="1"/>
  <c r="F80" i="13"/>
  <c r="J66" i="14"/>
  <c r="L62" i="14"/>
  <c r="L66" i="14" s="1"/>
  <c r="J52" i="13"/>
  <c r="L52" i="13" s="1"/>
  <c r="J34" i="12"/>
  <c r="L34" i="12" s="1"/>
  <c r="J32" i="13"/>
  <c r="L32" i="13" s="1"/>
  <c r="J19" i="13"/>
  <c r="L19" i="13" s="1"/>
  <c r="J16" i="11"/>
  <c r="L16" i="11" s="1"/>
  <c r="U41" i="25"/>
  <c r="U42" i="2"/>
  <c r="T179" i="4"/>
  <c r="V172" i="4"/>
  <c r="E35" i="25"/>
  <c r="S57" i="25"/>
  <c r="U19" i="25"/>
  <c r="V144" i="4"/>
  <c r="G50" i="25"/>
  <c r="L458" i="26"/>
  <c r="H352" i="26"/>
  <c r="R275" i="26"/>
  <c r="R245" i="26"/>
  <c r="P202" i="26"/>
  <c r="N46" i="13"/>
  <c r="P46" i="13" s="1"/>
  <c r="N46" i="11"/>
  <c r="P46" i="11" s="1"/>
  <c r="N17" i="13"/>
  <c r="N17" i="11"/>
  <c r="J40" i="15"/>
  <c r="L40" i="15" s="1"/>
  <c r="P40" i="15" s="1"/>
  <c r="J34" i="15"/>
  <c r="L34" i="15" s="1"/>
  <c r="P34" i="15" s="1"/>
  <c r="J29" i="15"/>
  <c r="L29" i="15" s="1"/>
  <c r="P29" i="15" s="1"/>
  <c r="J15" i="15"/>
  <c r="L15" i="15" s="1"/>
  <c r="P15" i="15" s="1"/>
  <c r="F25" i="15"/>
  <c r="J174" i="12"/>
  <c r="L174" i="12" s="1"/>
  <c r="J171" i="12"/>
  <c r="H178" i="12"/>
  <c r="J153" i="12"/>
  <c r="L153" i="12" s="1"/>
  <c r="J140" i="12"/>
  <c r="L140" i="12" s="1"/>
  <c r="J130" i="12"/>
  <c r="L130" i="12" s="1"/>
  <c r="J110" i="11"/>
  <c r="L110" i="11" s="1"/>
  <c r="P110" i="11" s="1"/>
  <c r="J92" i="12"/>
  <c r="L92" i="12" s="1"/>
  <c r="J70" i="11"/>
  <c r="L70" i="11" s="1"/>
  <c r="J62" i="12"/>
  <c r="L62" i="12" s="1"/>
  <c r="J120" i="4"/>
  <c r="J86" i="4" s="1"/>
  <c r="F65" i="12"/>
  <c r="J55" i="12"/>
  <c r="L55" i="12" s="1"/>
  <c r="J53" i="11"/>
  <c r="L53" i="11" s="1"/>
  <c r="J35" i="12"/>
  <c r="L35" i="12" s="1"/>
  <c r="J32" i="12"/>
  <c r="L32" i="12" s="1"/>
  <c r="J23" i="11"/>
  <c r="L23" i="11" s="1"/>
  <c r="J20" i="13"/>
  <c r="L20" i="13" s="1"/>
  <c r="P20" i="13" s="1"/>
  <c r="J17" i="11"/>
  <c r="L17" i="11" s="1"/>
  <c r="P17" i="11" s="1"/>
  <c r="I55" i="25"/>
  <c r="U50" i="2"/>
  <c r="E53" i="25"/>
  <c r="U47" i="2"/>
  <c r="H458" i="26"/>
  <c r="R405" i="22"/>
  <c r="R296" i="26"/>
  <c r="F219" i="26"/>
  <c r="N156" i="26"/>
  <c r="P166" i="4"/>
  <c r="P124" i="4"/>
  <c r="P129" i="4" s="1"/>
  <c r="P131" i="4" s="1"/>
  <c r="N18" i="13"/>
  <c r="P18" i="13" s="1"/>
  <c r="N18" i="11"/>
  <c r="P18" i="11" s="1"/>
  <c r="J181" i="12"/>
  <c r="H191" i="12"/>
  <c r="J172" i="12"/>
  <c r="L172" i="12" s="1"/>
  <c r="D131" i="12"/>
  <c r="J100" i="11"/>
  <c r="L100" i="11" s="1"/>
  <c r="P100" i="11" s="1"/>
  <c r="J86" i="12"/>
  <c r="L86" i="12" s="1"/>
  <c r="J74" i="13"/>
  <c r="L74" i="13" s="1"/>
  <c r="J70" i="12"/>
  <c r="L70" i="12" s="1"/>
  <c r="J57" i="11"/>
  <c r="L57" i="11" s="1"/>
  <c r="P57" i="11" s="1"/>
  <c r="J47" i="13"/>
  <c r="L47" i="13" s="1"/>
  <c r="J43" i="12"/>
  <c r="L43" i="12" s="1"/>
  <c r="J26" i="12"/>
  <c r="L26" i="12" s="1"/>
  <c r="J24" i="13"/>
  <c r="L24" i="13" s="1"/>
  <c r="J21" i="13"/>
  <c r="L21" i="13" s="1"/>
  <c r="P21" i="13" s="1"/>
  <c r="U32" i="25"/>
  <c r="I35" i="25"/>
  <c r="G15" i="10"/>
  <c r="U15" i="10" s="1"/>
  <c r="X15" i="10" s="1"/>
  <c r="F68" i="1"/>
  <c r="F71" i="1" s="1"/>
  <c r="F74" i="1" s="1"/>
  <c r="AQ108" i="4" s="1"/>
  <c r="AQ13" i="4" s="1"/>
  <c r="AQ20" i="4" s="1"/>
  <c r="AQ23" i="4" s="1"/>
  <c r="T40" i="4"/>
  <c r="F48" i="4"/>
  <c r="J28" i="17"/>
  <c r="D31" i="17"/>
  <c r="D57" i="16"/>
  <c r="J14" i="15"/>
  <c r="L14" i="15" s="1"/>
  <c r="P14" i="15" s="1"/>
  <c r="F154" i="12"/>
  <c r="J129" i="12"/>
  <c r="L129" i="12" s="1"/>
  <c r="J124" i="12"/>
  <c r="L124" i="12" s="1"/>
  <c r="J109" i="13"/>
  <c r="L109" i="13" s="1"/>
  <c r="P109" i="13" s="1"/>
  <c r="F111" i="12"/>
  <c r="F114" i="12" s="1"/>
  <c r="H118" i="4"/>
  <c r="H84" i="4" s="1"/>
  <c r="J91" i="12"/>
  <c r="L91" i="12" s="1"/>
  <c r="F79" i="12"/>
  <c r="H117" i="4"/>
  <c r="H83" i="4" s="1"/>
  <c r="J65" i="13"/>
  <c r="L65" i="13" s="1"/>
  <c r="H66" i="11"/>
  <c r="J62" i="11"/>
  <c r="J52" i="11"/>
  <c r="L52" i="11" s="1"/>
  <c r="P52" i="11" s="1"/>
  <c r="F116" i="4"/>
  <c r="D59" i="11"/>
  <c r="J35" i="13"/>
  <c r="L35" i="13" s="1"/>
  <c r="P35" i="13" s="1"/>
  <c r="D48" i="11"/>
  <c r="J19" i="11"/>
  <c r="L19" i="11" s="1"/>
  <c r="P19" i="11" s="1"/>
  <c r="J15" i="12"/>
  <c r="L15" i="12" s="1"/>
  <c r="V188" i="4"/>
  <c r="T189" i="4"/>
  <c r="V182" i="4"/>
  <c r="U28" i="25"/>
  <c r="U32" i="2"/>
  <c r="U54" i="2"/>
  <c r="E57" i="25"/>
  <c r="U57" i="25" s="1"/>
  <c r="U16" i="25"/>
  <c r="S54" i="25"/>
  <c r="U54" i="25" s="1"/>
  <c r="G17" i="10"/>
  <c r="U17" i="10" s="1"/>
  <c r="X17" i="10" s="1"/>
  <c r="U48" i="2"/>
  <c r="Q57" i="2"/>
  <c r="Q63" i="2" s="1"/>
  <c r="Q70" i="2" s="1"/>
  <c r="T166" i="4"/>
  <c r="T124" i="4"/>
  <c r="T129" i="4" s="1"/>
  <c r="T131" i="4" s="1"/>
  <c r="H67" i="26"/>
  <c r="H83" i="26" s="1"/>
  <c r="J12" i="15"/>
  <c r="L12" i="15" s="1"/>
  <c r="P12" i="15" s="1"/>
  <c r="H131" i="12"/>
  <c r="J118" i="12"/>
  <c r="J109" i="12"/>
  <c r="L109" i="12" s="1"/>
  <c r="J93" i="13"/>
  <c r="L93" i="13" s="1"/>
  <c r="J69" i="12"/>
  <c r="L69" i="12" s="1"/>
  <c r="D80" i="13"/>
  <c r="F66" i="13"/>
  <c r="J56" i="11"/>
  <c r="L56" i="11" s="1"/>
  <c r="J52" i="12"/>
  <c r="L52" i="12" s="1"/>
  <c r="J43" i="11"/>
  <c r="L43" i="11" s="1"/>
  <c r="P43" i="11" s="1"/>
  <c r="J33" i="13"/>
  <c r="L33" i="13" s="1"/>
  <c r="J26" i="11"/>
  <c r="L26" i="11" s="1"/>
  <c r="J22" i="12"/>
  <c r="L22" i="12" s="1"/>
  <c r="J19" i="12"/>
  <c r="L19" i="12" s="1"/>
  <c r="J16" i="12"/>
  <c r="L16" i="12" s="1"/>
  <c r="V184" i="4"/>
  <c r="P189" i="4"/>
  <c r="R179" i="4"/>
  <c r="R211" i="4" s="1"/>
  <c r="U19" i="10"/>
  <c r="X19" i="10" s="1"/>
  <c r="G19" i="10"/>
  <c r="O48" i="25"/>
  <c r="O22" i="25"/>
  <c r="T73" i="4"/>
  <c r="V73" i="4" s="1"/>
  <c r="J66" i="4"/>
  <c r="R45" i="26"/>
  <c r="R378" i="26"/>
  <c r="D406" i="26"/>
  <c r="R344" i="26"/>
  <c r="P341" i="26"/>
  <c r="P267" i="26"/>
  <c r="H118" i="26"/>
  <c r="L94" i="26"/>
  <c r="J54" i="15"/>
  <c r="L54" i="15" s="1"/>
  <c r="P54" i="15" s="1"/>
  <c r="J48" i="15"/>
  <c r="H57" i="15"/>
  <c r="J193" i="14"/>
  <c r="L183" i="14"/>
  <c r="L193" i="14" s="1"/>
  <c r="J165" i="12"/>
  <c r="L165" i="12" s="1"/>
  <c r="L164" i="14"/>
  <c r="L170" i="14" s="1"/>
  <c r="J170" i="14"/>
  <c r="L136" i="14"/>
  <c r="L147" i="14" s="1"/>
  <c r="J147" i="14"/>
  <c r="J119" i="12"/>
  <c r="L119" i="12" s="1"/>
  <c r="J100" i="13"/>
  <c r="L100" i="13" s="1"/>
  <c r="D95" i="11"/>
  <c r="J56" i="12"/>
  <c r="L56" i="12" s="1"/>
  <c r="J54" i="13"/>
  <c r="L54" i="13" s="1"/>
  <c r="J44" i="11"/>
  <c r="L44" i="11" s="1"/>
  <c r="P44" i="11" s="1"/>
  <c r="J37" i="11"/>
  <c r="L37" i="11" s="1"/>
  <c r="P37" i="11" s="1"/>
  <c r="J27" i="13"/>
  <c r="L27" i="13" s="1"/>
  <c r="J24" i="11"/>
  <c r="L24" i="11" s="1"/>
  <c r="J189" i="4"/>
  <c r="V177" i="4"/>
  <c r="U21" i="25"/>
  <c r="O57" i="25"/>
  <c r="Q53" i="25"/>
  <c r="I57" i="2"/>
  <c r="I63" i="2" s="1"/>
  <c r="I70" i="2" s="1"/>
  <c r="N55" i="1"/>
  <c r="N57" i="1" s="1"/>
  <c r="L57" i="1"/>
  <c r="T76" i="4"/>
  <c r="V76" i="4" s="1"/>
  <c r="N32" i="1"/>
  <c r="N37" i="1" s="1"/>
  <c r="L37" i="1"/>
  <c r="AC50" i="6" l="1"/>
  <c r="U123" i="6"/>
  <c r="S123" i="6"/>
  <c r="Y123" i="6"/>
  <c r="O60" i="25"/>
  <c r="O66" i="25" s="1"/>
  <c r="O73" i="25" s="1"/>
  <c r="U51" i="25"/>
  <c r="P211" i="4"/>
  <c r="N78" i="11"/>
  <c r="P469" i="22"/>
  <c r="P56" i="13"/>
  <c r="P24" i="13"/>
  <c r="R192" i="26"/>
  <c r="R462" i="26"/>
  <c r="R168" i="4"/>
  <c r="P24" i="11"/>
  <c r="P23" i="11"/>
  <c r="N28" i="11"/>
  <c r="D467" i="26"/>
  <c r="R56" i="23"/>
  <c r="P20" i="11"/>
  <c r="H168" i="4"/>
  <c r="AE168" i="4" s="1"/>
  <c r="AE12" i="4" s="1"/>
  <c r="P438" i="26"/>
  <c r="P470" i="26" s="1"/>
  <c r="N221" i="26"/>
  <c r="H438" i="26"/>
  <c r="R232" i="26"/>
  <c r="H467" i="26"/>
  <c r="F221" i="26"/>
  <c r="N467" i="26"/>
  <c r="P17" i="13"/>
  <c r="P70" i="11"/>
  <c r="P16" i="11"/>
  <c r="F92" i="16"/>
  <c r="S60" i="25"/>
  <c r="S66" i="25" s="1"/>
  <c r="S73" i="25" s="1"/>
  <c r="V120" i="4"/>
  <c r="V86" i="4" s="1"/>
  <c r="P34" i="11"/>
  <c r="N438" i="26"/>
  <c r="L438" i="26"/>
  <c r="R34" i="26"/>
  <c r="D221" i="26"/>
  <c r="L221" i="26"/>
  <c r="P39" i="11"/>
  <c r="R139" i="26"/>
  <c r="R67" i="26"/>
  <c r="R83" i="26" s="1"/>
  <c r="R94" i="26"/>
  <c r="R156" i="26"/>
  <c r="D199" i="14"/>
  <c r="R437" i="22"/>
  <c r="U53" i="25"/>
  <c r="P100" i="13"/>
  <c r="P26" i="11"/>
  <c r="P44" i="13"/>
  <c r="J89" i="16"/>
  <c r="P168" i="4"/>
  <c r="P43" i="13"/>
  <c r="P35" i="11"/>
  <c r="D438" i="26"/>
  <c r="P106" i="11"/>
  <c r="L467" i="26"/>
  <c r="P12" i="11"/>
  <c r="P108" i="11"/>
  <c r="P64" i="11"/>
  <c r="J168" i="4"/>
  <c r="AM168" i="4" s="1"/>
  <c r="AS168" i="4" s="1"/>
  <c r="H221" i="26"/>
  <c r="P54" i="13"/>
  <c r="P47" i="13"/>
  <c r="F438" i="26"/>
  <c r="F470" i="26" s="1"/>
  <c r="L89" i="16"/>
  <c r="P65" i="11"/>
  <c r="P78" i="13"/>
  <c r="P221" i="26"/>
  <c r="H211" i="4"/>
  <c r="AE211" i="4" s="1"/>
  <c r="AE15" i="4" s="1"/>
  <c r="P103" i="11"/>
  <c r="P14" i="13"/>
  <c r="X22" i="10"/>
  <c r="D115" i="11"/>
  <c r="J94" i="12"/>
  <c r="L82" i="12"/>
  <c r="L94" i="12" s="1"/>
  <c r="N91" i="13"/>
  <c r="N91" i="11"/>
  <c r="P91" i="11" s="1"/>
  <c r="X14" i="4"/>
  <c r="Q109" i="7"/>
  <c r="AC77" i="7"/>
  <c r="N85" i="13"/>
  <c r="P85" i="13" s="1"/>
  <c r="N85" i="11"/>
  <c r="P85" i="11" s="1"/>
  <c r="R416" i="26"/>
  <c r="H115" i="11"/>
  <c r="J59" i="13"/>
  <c r="L51" i="13"/>
  <c r="V129" i="4"/>
  <c r="L68" i="1"/>
  <c r="L71" i="1" s="1"/>
  <c r="L74" i="1" s="1"/>
  <c r="H60" i="15"/>
  <c r="P56" i="11"/>
  <c r="P93" i="13"/>
  <c r="L62" i="11"/>
  <c r="J66" i="11"/>
  <c r="H194" i="12"/>
  <c r="H196" i="12" s="1"/>
  <c r="V179" i="4"/>
  <c r="P52" i="13"/>
  <c r="I60" i="25"/>
  <c r="I66" i="25" s="1"/>
  <c r="I73" i="25" s="1"/>
  <c r="J66" i="13"/>
  <c r="L62" i="13"/>
  <c r="J41" i="15"/>
  <c r="L28" i="15"/>
  <c r="L33" i="18"/>
  <c r="L45" i="18" s="1"/>
  <c r="P91" i="13"/>
  <c r="N71" i="13"/>
  <c r="P71" i="13" s="1"/>
  <c r="N71" i="11"/>
  <c r="P71" i="11" s="1"/>
  <c r="R202" i="26"/>
  <c r="P104" i="11"/>
  <c r="F199" i="14"/>
  <c r="N28" i="13"/>
  <c r="R435" i="26"/>
  <c r="P36" i="11"/>
  <c r="P63" i="11"/>
  <c r="P110" i="13"/>
  <c r="U22" i="10"/>
  <c r="U31" i="10" s="1"/>
  <c r="S42" i="10" s="1"/>
  <c r="W11" i="10"/>
  <c r="W22" i="10" s="1"/>
  <c r="H115" i="13"/>
  <c r="L68" i="12"/>
  <c r="L79" i="12" s="1"/>
  <c r="J79" i="12"/>
  <c r="P103" i="13"/>
  <c r="N66" i="11"/>
  <c r="R31" i="24"/>
  <c r="E60" i="25"/>
  <c r="E66" i="25" s="1"/>
  <c r="E73" i="25" s="1"/>
  <c r="U48" i="25"/>
  <c r="N74" i="13"/>
  <c r="P74" i="13" s="1"/>
  <c r="N74" i="11"/>
  <c r="P74" i="11" s="1"/>
  <c r="N92" i="13"/>
  <c r="P92" i="13" s="1"/>
  <c r="N92" i="11"/>
  <c r="P92" i="11" s="1"/>
  <c r="P78" i="11"/>
  <c r="J154" i="12"/>
  <c r="L148" i="12"/>
  <c r="L154" i="12" s="1"/>
  <c r="R479" i="26"/>
  <c r="R482" i="26" s="1"/>
  <c r="F60" i="15"/>
  <c r="N105" i="11"/>
  <c r="P105" i="11" s="1"/>
  <c r="N105" i="13"/>
  <c r="P105" i="13" s="1"/>
  <c r="V66" i="4"/>
  <c r="AS116" i="5"/>
  <c r="AU116" i="5" s="1"/>
  <c r="AU102" i="5"/>
  <c r="AC31" i="7"/>
  <c r="R118" i="26"/>
  <c r="R406" i="26"/>
  <c r="J80" i="13"/>
  <c r="L69" i="13"/>
  <c r="T66" i="4"/>
  <c r="N87" i="13"/>
  <c r="P87" i="13" s="1"/>
  <c r="N87" i="11"/>
  <c r="P87" i="11" s="1"/>
  <c r="N75" i="13"/>
  <c r="P75" i="13" s="1"/>
  <c r="N75" i="11"/>
  <c r="P75" i="11" s="1"/>
  <c r="AN211" i="4"/>
  <c r="AA107" i="7"/>
  <c r="AC107" i="7" s="1"/>
  <c r="AC90" i="7"/>
  <c r="P21" i="11"/>
  <c r="V166" i="4"/>
  <c r="J196" i="14"/>
  <c r="J31" i="17"/>
  <c r="L28" i="17"/>
  <c r="L162" i="12"/>
  <c r="L168" i="12" s="1"/>
  <c r="J168" i="12"/>
  <c r="U35" i="25"/>
  <c r="D194" i="12"/>
  <c r="N83" i="13"/>
  <c r="N83" i="11"/>
  <c r="P26" i="13"/>
  <c r="H121" i="4"/>
  <c r="H131" i="4" s="1"/>
  <c r="AE131" i="4" s="1"/>
  <c r="AE14" i="4" s="1"/>
  <c r="H82" i="4"/>
  <c r="H87" i="4" s="1"/>
  <c r="H89" i="4" s="1"/>
  <c r="AE89" i="4" s="1"/>
  <c r="AE10" i="4" s="1"/>
  <c r="N77" i="13"/>
  <c r="P77" i="13" s="1"/>
  <c r="N77" i="11"/>
  <c r="P77" i="11" s="1"/>
  <c r="T79" i="4"/>
  <c r="V71" i="4"/>
  <c r="V79" i="4" s="1"/>
  <c r="J28" i="11"/>
  <c r="L11" i="11"/>
  <c r="H114" i="12"/>
  <c r="G60" i="25"/>
  <c r="G66" i="25" s="1"/>
  <c r="G73" i="25" s="1"/>
  <c r="P41" i="11"/>
  <c r="N68" i="1"/>
  <c r="N71" i="1" s="1"/>
  <c r="N74" i="1" s="1"/>
  <c r="P27" i="13"/>
  <c r="L48" i="15"/>
  <c r="J57" i="15"/>
  <c r="L181" i="12"/>
  <c r="L191" i="12" s="1"/>
  <c r="J191" i="12"/>
  <c r="T211" i="4"/>
  <c r="P19" i="13"/>
  <c r="R219" i="22"/>
  <c r="R469" i="22" s="1"/>
  <c r="J145" i="12"/>
  <c r="L134" i="12"/>
  <c r="L145" i="12" s="1"/>
  <c r="L57" i="16"/>
  <c r="L92" i="16" s="1"/>
  <c r="U45" i="25"/>
  <c r="L61" i="12"/>
  <c r="L65" i="12" s="1"/>
  <c r="J65" i="12"/>
  <c r="J25" i="15"/>
  <c r="L11" i="15"/>
  <c r="J159" i="12"/>
  <c r="L157" i="12"/>
  <c r="L159" i="12" s="1"/>
  <c r="R467" i="26"/>
  <c r="L69" i="11"/>
  <c r="J80" i="11"/>
  <c r="O63" i="2"/>
  <c r="O70" i="2" s="1"/>
  <c r="W57" i="2"/>
  <c r="F85" i="4"/>
  <c r="V119" i="4"/>
  <c r="V85" i="4" s="1"/>
  <c r="J47" i="12"/>
  <c r="L30" i="12"/>
  <c r="L47" i="12" s="1"/>
  <c r="L98" i="13"/>
  <c r="J112" i="13"/>
  <c r="P104" i="13"/>
  <c r="L51" i="11"/>
  <c r="J59" i="11"/>
  <c r="R276" i="26"/>
  <c r="N59" i="11"/>
  <c r="N66" i="13"/>
  <c r="N34" i="17"/>
  <c r="X12" i="4"/>
  <c r="P58" i="11"/>
  <c r="L115" i="14"/>
  <c r="J111" i="12"/>
  <c r="L97" i="12"/>
  <c r="L111" i="12" s="1"/>
  <c r="L114" i="12" s="1"/>
  <c r="F34" i="17"/>
  <c r="N84" i="13"/>
  <c r="P84" i="13" s="1"/>
  <c r="N84" i="11"/>
  <c r="P84" i="11" s="1"/>
  <c r="T168" i="4"/>
  <c r="U55" i="25"/>
  <c r="C31" i="10"/>
  <c r="F84" i="4"/>
  <c r="V118" i="4"/>
  <c r="V84" i="4" s="1"/>
  <c r="P38" i="11"/>
  <c r="D469" i="22"/>
  <c r="U57" i="2"/>
  <c r="U63" i="2" s="1"/>
  <c r="U70" i="2" s="1"/>
  <c r="J28" i="13"/>
  <c r="L11" i="13"/>
  <c r="D115" i="13"/>
  <c r="F194" i="12"/>
  <c r="F196" i="12" s="1"/>
  <c r="R341" i="26"/>
  <c r="R174" i="26"/>
  <c r="AS119" i="5"/>
  <c r="AS255" i="5" s="1"/>
  <c r="R352" i="26"/>
  <c r="N88" i="13"/>
  <c r="P88" i="13" s="1"/>
  <c r="N88" i="11"/>
  <c r="P88" i="11" s="1"/>
  <c r="J48" i="11"/>
  <c r="L31" i="11"/>
  <c r="P101" i="13"/>
  <c r="D92" i="16"/>
  <c r="N86" i="13"/>
  <c r="P86" i="13" s="1"/>
  <c r="N86" i="11"/>
  <c r="P86" i="11" s="1"/>
  <c r="R267" i="26"/>
  <c r="T106" i="4"/>
  <c r="T108" i="4" s="1"/>
  <c r="V104" i="4"/>
  <c r="V106" i="4" s="1"/>
  <c r="V108" i="4" s="1"/>
  <c r="AC11" i="4"/>
  <c r="AS11" i="4" s="1"/>
  <c r="AT11" i="4" s="1"/>
  <c r="AS99" i="4"/>
  <c r="G22" i="10"/>
  <c r="P47" i="11"/>
  <c r="L196" i="14"/>
  <c r="L199" i="14" s="1"/>
  <c r="L118" i="12"/>
  <c r="L131" i="12" s="1"/>
  <c r="J131" i="12"/>
  <c r="V189" i="4"/>
  <c r="F121" i="4"/>
  <c r="F82" i="4"/>
  <c r="V116" i="4"/>
  <c r="P65" i="13"/>
  <c r="D34" i="17"/>
  <c r="T48" i="4"/>
  <c r="V40" i="4"/>
  <c r="V48" i="4" s="1"/>
  <c r="N90" i="13"/>
  <c r="P90" i="13" s="1"/>
  <c r="N90" i="11"/>
  <c r="P90" i="11" s="1"/>
  <c r="P53" i="11"/>
  <c r="L171" i="12"/>
  <c r="L178" i="12" s="1"/>
  <c r="J178" i="12"/>
  <c r="P32" i="13"/>
  <c r="F115" i="11"/>
  <c r="J211" i="4"/>
  <c r="AM211" i="4" s="1"/>
  <c r="AM15" i="4" s="1"/>
  <c r="AM14" i="4" s="1"/>
  <c r="P37" i="13"/>
  <c r="J57" i="16"/>
  <c r="J92" i="16" s="1"/>
  <c r="F83" i="4"/>
  <c r="V117" i="4"/>
  <c r="V83" i="4" s="1"/>
  <c r="Q60" i="25"/>
  <c r="Q66" i="25" s="1"/>
  <c r="Q73" i="25" s="1"/>
  <c r="F211" i="4"/>
  <c r="X211" i="4" s="1"/>
  <c r="F115" i="13"/>
  <c r="P108" i="13"/>
  <c r="N60" i="15"/>
  <c r="U22" i="25"/>
  <c r="J27" i="12"/>
  <c r="L10" i="12"/>
  <c r="L27" i="12" s="1"/>
  <c r="P40" i="11"/>
  <c r="P79" i="13"/>
  <c r="J58" i="12"/>
  <c r="L50" i="12"/>
  <c r="L58" i="12" s="1"/>
  <c r="U50" i="25"/>
  <c r="P23" i="13"/>
  <c r="P70" i="13"/>
  <c r="P40" i="13"/>
  <c r="L83" i="11"/>
  <c r="J95" i="11"/>
  <c r="N76" i="13"/>
  <c r="P76" i="13" s="1"/>
  <c r="N76" i="11"/>
  <c r="P76" i="11" s="1"/>
  <c r="J121" i="4"/>
  <c r="J131" i="4" s="1"/>
  <c r="AM131" i="4" s="1"/>
  <c r="J82" i="4"/>
  <c r="J87" i="4" s="1"/>
  <c r="J89" i="4" s="1"/>
  <c r="AM89" i="4" s="1"/>
  <c r="AM10" i="4" s="1"/>
  <c r="N59" i="13"/>
  <c r="N72" i="13"/>
  <c r="P72" i="13" s="1"/>
  <c r="N72" i="11"/>
  <c r="V150" i="4"/>
  <c r="J48" i="13"/>
  <c r="L31" i="13"/>
  <c r="J115" i="14"/>
  <c r="P101" i="11"/>
  <c r="D114" i="12"/>
  <c r="P94" i="11"/>
  <c r="L44" i="15"/>
  <c r="J45" i="15"/>
  <c r="J95" i="13"/>
  <c r="L83" i="13"/>
  <c r="AU154" i="5"/>
  <c r="R219" i="26"/>
  <c r="Q77" i="6"/>
  <c r="AI119" i="5"/>
  <c r="AA77" i="6"/>
  <c r="R368" i="26"/>
  <c r="J25" i="17"/>
  <c r="L12" i="17"/>
  <c r="N33" i="13"/>
  <c r="P33" i="13" s="1"/>
  <c r="N33" i="11"/>
  <c r="P33" i="11" s="1"/>
  <c r="AA121" i="6"/>
  <c r="AC121" i="6" s="1"/>
  <c r="T97" i="4"/>
  <c r="T99" i="4" s="1"/>
  <c r="V95" i="4"/>
  <c r="V97" i="4" s="1"/>
  <c r="V99" i="4" s="1"/>
  <c r="J112" i="11"/>
  <c r="L98" i="11"/>
  <c r="AM20" i="4" l="1"/>
  <c r="D470" i="26"/>
  <c r="H470" i="26"/>
  <c r="N470" i="26"/>
  <c r="AE20" i="4"/>
  <c r="AE23" i="4" s="1"/>
  <c r="R221" i="26"/>
  <c r="N80" i="11"/>
  <c r="L470" i="26"/>
  <c r="J60" i="15"/>
  <c r="N112" i="13"/>
  <c r="L25" i="17"/>
  <c r="P12" i="17"/>
  <c r="P25" i="17" s="1"/>
  <c r="P72" i="11"/>
  <c r="V109" i="4"/>
  <c r="J194" i="12"/>
  <c r="J199" i="14"/>
  <c r="L66" i="13"/>
  <c r="P62" i="13"/>
  <c r="P66" i="13" s="1"/>
  <c r="P51" i="13"/>
  <c r="P59" i="13" s="1"/>
  <c r="L59" i="13"/>
  <c r="AC109" i="7"/>
  <c r="AA123" i="6"/>
  <c r="P31" i="13"/>
  <c r="P48" i="13" s="1"/>
  <c r="L48" i="13"/>
  <c r="V121" i="4"/>
  <c r="V131" i="4" s="1"/>
  <c r="V82" i="4"/>
  <c r="V87" i="4" s="1"/>
  <c r="V89" i="4" s="1"/>
  <c r="AS12" i="4"/>
  <c r="AT12" i="4" s="1"/>
  <c r="L25" i="15"/>
  <c r="P11" i="15"/>
  <c r="P25" i="15" s="1"/>
  <c r="L57" i="15"/>
  <c r="P48" i="15"/>
  <c r="P57" i="15" s="1"/>
  <c r="P11" i="11"/>
  <c r="P28" i="11" s="1"/>
  <c r="L28" i="11"/>
  <c r="D196" i="12"/>
  <c r="N112" i="11"/>
  <c r="J115" i="11"/>
  <c r="AI255" i="5"/>
  <c r="AU255" i="5" s="1"/>
  <c r="AU119" i="5"/>
  <c r="N48" i="11"/>
  <c r="L45" i="15"/>
  <c r="P44" i="15"/>
  <c r="P45" i="15" s="1"/>
  <c r="AS211" i="4"/>
  <c r="X15" i="4"/>
  <c r="AS15" i="4" s="1"/>
  <c r="AT15" i="4" s="1"/>
  <c r="T89" i="4"/>
  <c r="F87" i="4"/>
  <c r="F89" i="4" s="1"/>
  <c r="L28" i="13"/>
  <c r="P11" i="13"/>
  <c r="P28" i="13" s="1"/>
  <c r="P98" i="13"/>
  <c r="P112" i="13" s="1"/>
  <c r="L112" i="13"/>
  <c r="L31" i="17"/>
  <c r="L34" i="17" s="1"/>
  <c r="P28" i="17"/>
  <c r="P31" i="17" s="1"/>
  <c r="P34" i="17" s="1"/>
  <c r="P28" i="15"/>
  <c r="P41" i="15" s="1"/>
  <c r="L41" i="15"/>
  <c r="P62" i="11"/>
  <c r="P66" i="11" s="1"/>
  <c r="L66" i="11"/>
  <c r="N80" i="13"/>
  <c r="N48" i="13"/>
  <c r="N95" i="13"/>
  <c r="R438" i="26"/>
  <c r="R470" i="26" s="1"/>
  <c r="L112" i="11"/>
  <c r="P98" i="11"/>
  <c r="P112" i="11" s="1"/>
  <c r="L95" i="11"/>
  <c r="P83" i="11"/>
  <c r="P95" i="11" s="1"/>
  <c r="J114" i="12"/>
  <c r="J115" i="13"/>
  <c r="L194" i="12"/>
  <c r="L196" i="12" s="1"/>
  <c r="AT99" i="4"/>
  <c r="V100" i="4"/>
  <c r="Q123" i="6"/>
  <c r="AC77" i="6"/>
  <c r="AC123" i="6" s="1"/>
  <c r="P83" i="13"/>
  <c r="P95" i="13" s="1"/>
  <c r="L95" i="13"/>
  <c r="V168" i="4"/>
  <c r="F131" i="4"/>
  <c r="AC131" i="4"/>
  <c r="P31" i="11"/>
  <c r="P48" i="11" s="1"/>
  <c r="L48" i="11"/>
  <c r="AA109" i="7"/>
  <c r="L59" i="11"/>
  <c r="P51" i="11"/>
  <c r="P59" i="11" s="1"/>
  <c r="P69" i="11"/>
  <c r="P80" i="11" s="1"/>
  <c r="L80" i="11"/>
  <c r="U77" i="25"/>
  <c r="U74" i="2"/>
  <c r="N95" i="11"/>
  <c r="J34" i="17"/>
  <c r="P69" i="13"/>
  <c r="P80" i="13" s="1"/>
  <c r="L80" i="13"/>
  <c r="U60" i="25"/>
  <c r="U66" i="25" s="1"/>
  <c r="U73" i="25" s="1"/>
  <c r="V211" i="4"/>
  <c r="N115" i="13" l="1"/>
  <c r="P60" i="15"/>
  <c r="V169" i="4"/>
  <c r="AT168" i="4"/>
  <c r="V132" i="4"/>
  <c r="P115" i="11"/>
  <c r="N115" i="11"/>
  <c r="X20" i="4"/>
  <c r="X23" i="4" s="1"/>
  <c r="AC14" i="4"/>
  <c r="AS14" i="4" s="1"/>
  <c r="AT14" i="4" s="1"/>
  <c r="AS131" i="4"/>
  <c r="AT131" i="4" s="1"/>
  <c r="V91" i="4"/>
  <c r="V90" i="4"/>
  <c r="L115" i="11"/>
  <c r="L115" i="13"/>
  <c r="AC108" i="4"/>
  <c r="AS108" i="4" s="1"/>
  <c r="AT108" i="4" s="1"/>
  <c r="AC89" i="4"/>
  <c r="L60" i="15"/>
  <c r="J196" i="12"/>
  <c r="V212" i="4"/>
  <c r="V213" i="4"/>
  <c r="AT211" i="4"/>
  <c r="P115" i="13"/>
  <c r="AC10" i="4" l="1"/>
  <c r="AS89" i="4"/>
  <c r="AT89" i="4" s="1"/>
  <c r="AC13" i="4" l="1"/>
  <c r="AS13" i="4" s="1"/>
  <c r="AT13" i="4" s="1"/>
  <c r="AS10" i="4"/>
  <c r="AT10" i="4" s="1"/>
  <c r="AC20" i="4" l="1"/>
  <c r="AC23" i="4" s="1"/>
</calcChain>
</file>

<file path=xl/sharedStrings.xml><?xml version="1.0" encoding="utf-8"?>
<sst xmlns="http://schemas.openxmlformats.org/spreadsheetml/2006/main" count="6393" uniqueCount="4459">
  <si>
    <t>KENTUCKY UTILITIES COMPANY</t>
  </si>
  <si>
    <t>SUMMARY OF UTILITY PLANT - REGULATORY ACCOUNTING</t>
  </si>
  <si>
    <t>Beginning</t>
  </si>
  <si>
    <t>Transfers/</t>
  </si>
  <si>
    <t>Ending</t>
  </si>
  <si>
    <t>Balance</t>
  </si>
  <si>
    <t>Additions</t>
  </si>
  <si>
    <t>Retirements</t>
  </si>
  <si>
    <t>Adjustments</t>
  </si>
  <si>
    <t>Net Additions</t>
  </si>
  <si>
    <t>UTILITY PLANT IN SERVICE</t>
  </si>
  <si>
    <t>Electric</t>
  </si>
  <si>
    <t>Electric Distribution</t>
  </si>
  <si>
    <t>Electric General Plant</t>
  </si>
  <si>
    <t>Electric Hydro Production</t>
  </si>
  <si>
    <t>Electric Intangible Plant</t>
  </si>
  <si>
    <t>Electric Other Production</t>
  </si>
  <si>
    <t>Electric Steam Production</t>
  </si>
  <si>
    <t>Electric Transmission</t>
  </si>
  <si>
    <t>Total 101 Accounts</t>
  </si>
  <si>
    <t>ELECTRIC PLANT PURCHASED OR SOLD</t>
  </si>
  <si>
    <t>Electric Steam</t>
  </si>
  <si>
    <t>Total 102001</t>
  </si>
  <si>
    <t>PLANT HELD FOR FUTURE USE</t>
  </si>
  <si>
    <t>Total 105001</t>
  </si>
  <si>
    <t>COMPLETED CONSTRUCTION NOT CLASSIFIED</t>
  </si>
  <si>
    <t>Total 106 Accounts</t>
  </si>
  <si>
    <t>NONUTILITY PROPERTY</t>
  </si>
  <si>
    <t>Common</t>
  </si>
  <si>
    <t>Non Utility Property</t>
  </si>
  <si>
    <t>Total 121001</t>
  </si>
  <si>
    <t>CONSTRUCTION WORK IN PROGRESS</t>
  </si>
  <si>
    <t>Total 107001</t>
  </si>
  <si>
    <t>Total Plant (Non-CWIP)</t>
  </si>
  <si>
    <t>Total Plant + CWIP</t>
  </si>
  <si>
    <t>Total Plant + CWIP - Non Utiltity (BS)</t>
  </si>
  <si>
    <t xml:space="preserve"> </t>
  </si>
  <si>
    <t>ARO</t>
  </si>
  <si>
    <t>RWIP</t>
  </si>
  <si>
    <t>Accruals</t>
  </si>
  <si>
    <t>Settlements</t>
  </si>
  <si>
    <t>Transfers Out</t>
  </si>
  <si>
    <t>Cost of Removal</t>
  </si>
  <si>
    <t>Salvage</t>
  </si>
  <si>
    <t>Other Credits</t>
  </si>
  <si>
    <t>LIFE RESERVE</t>
  </si>
  <si>
    <t>Electric Distribution - ARO</t>
  </si>
  <si>
    <t>Electric Hydro Production - ARO</t>
  </si>
  <si>
    <t>Electric Other Production - ARO</t>
  </si>
  <si>
    <t>Electric Steam Production - ARO</t>
  </si>
  <si>
    <t>Electric Transmission - ARO</t>
  </si>
  <si>
    <t>COST OF REMOVAL</t>
  </si>
  <si>
    <t>SALVAGE</t>
  </si>
  <si>
    <t>TOTAL RESERVES</t>
  </si>
  <si>
    <t>RETIREMENT WORK IN PROGRESS</t>
  </si>
  <si>
    <t>YTD ACTIVITY</t>
  </si>
  <si>
    <t>AMORTIZATION</t>
  </si>
  <si>
    <t>Depreciation &amp; Amortization Total</t>
  </si>
  <si>
    <t>Utility Plant at Original Cost Less Reserve for</t>
  </si>
  <si>
    <t xml:space="preserve">  Depreciation &amp; Amortization (Excl nonutility)</t>
  </si>
  <si>
    <t>RWIP BY G/L ACCOUNT - REGULATORY ACCOUNTING</t>
  </si>
  <si>
    <t>RWIP ACCOUNT 108099</t>
  </si>
  <si>
    <t>RWIP ACCOUNT 108799</t>
  </si>
  <si>
    <t>RWIP ACCOUNT 108901</t>
  </si>
  <si>
    <t>TOTAL RWIP</t>
  </si>
  <si>
    <t>VARIANCE</t>
  </si>
  <si>
    <t>SUMMARY OF CHANGES FOR CASH FLOW STATEMENT - REGULATORY</t>
  </si>
  <si>
    <t>Non-Cash Changes</t>
  </si>
  <si>
    <t>Cash Changes</t>
  </si>
  <si>
    <t>Beginning Balance</t>
  </si>
  <si>
    <t>Ending Balance</t>
  </si>
  <si>
    <t>Depreciation/ Amortization Expense (403)</t>
  </si>
  <si>
    <t>Depreciation/ Amortization Expense (403) (PA-Pension)</t>
  </si>
  <si>
    <t>ARO Depr Total Activity (403)</t>
  </si>
  <si>
    <t>ARO 254 Activity (Parent COR)</t>
  </si>
  <si>
    <t>ARO Accretion</t>
  </si>
  <si>
    <t>Unitizations</t>
  </si>
  <si>
    <t>Pension 107001 (PA)</t>
  </si>
  <si>
    <t>Retirements    (FIN BOOKS)</t>
  </si>
  <si>
    <t>Retirements    (PA BOOKS)</t>
  </si>
  <si>
    <t>Gains/(Losses)</t>
  </si>
  <si>
    <t>ARO Settlements (Gross)</t>
  </si>
  <si>
    <t>ARO Revaluation/ Addtions (Gross)</t>
  </si>
  <si>
    <t>Transfer from 101 and 108 to 182 (Gross)</t>
  </si>
  <si>
    <t>ARO Transfers</t>
  </si>
  <si>
    <t>Purchase Acct Netting - Net Book Value</t>
  </si>
  <si>
    <t>Other Misc Transfers</t>
  </si>
  <si>
    <t>Other - Non Depr Exp/Change</t>
  </si>
  <si>
    <t>RWIP - CCR</t>
  </si>
  <si>
    <t>CWIP Spend</t>
  </si>
  <si>
    <t>Net Change in Account</t>
  </si>
  <si>
    <t>Difference</t>
  </si>
  <si>
    <t>Property, plant and equipment:</t>
  </si>
  <si>
    <t>Regulated utility plant - electric</t>
  </si>
  <si>
    <t>Nonregulated plant</t>
  </si>
  <si>
    <t>Accumulated depreciation</t>
  </si>
  <si>
    <t>CWIP</t>
  </si>
  <si>
    <t>Other long-term intangibles</t>
  </si>
  <si>
    <t>Accumulated cost of removal of utility plant</t>
  </si>
  <si>
    <t>Regulatory Assets-Noncurrent- ARO</t>
  </si>
  <si>
    <t>Current ARO Liability</t>
  </si>
  <si>
    <t>ARO Liability</t>
  </si>
  <si>
    <t>Check</t>
  </si>
  <si>
    <t>Note:</t>
  </si>
  <si>
    <t>Other long-term intangibles include accounts beginning with 101, 108, and 111</t>
  </si>
  <si>
    <t>Transfer of Loss on Sale of Land to account 426120</t>
  </si>
  <si>
    <t>Current ARO Liability includes accounts:  230022.</t>
  </si>
  <si>
    <t>Other balance sheet accounts affected (per Recon Depr Exp to IS)</t>
  </si>
  <si>
    <t>Fuel (151061)</t>
  </si>
  <si>
    <t>Other current assets (184315)</t>
  </si>
  <si>
    <t>254XXX ARO Regulatory Liability</t>
  </si>
  <si>
    <t>nets to zero (b/s to b/s entry)</t>
  </si>
  <si>
    <t>Less: - Intangibles</t>
  </si>
  <si>
    <t>330.10</t>
  </si>
  <si>
    <t>Electric Intang</t>
  </si>
  <si>
    <t>340.10</t>
  </si>
  <si>
    <t>350.10</t>
  </si>
  <si>
    <t>360.10</t>
  </si>
  <si>
    <t>302.00</t>
  </si>
  <si>
    <t>Franchise and Consent</t>
  </si>
  <si>
    <t>Total Intangibles</t>
  </si>
  <si>
    <t>Intangibles - Cost</t>
  </si>
  <si>
    <t>Intangibles - Depreciation</t>
  </si>
  <si>
    <t>Plus:</t>
  </si>
  <si>
    <t>Accumulated Depreciation</t>
  </si>
  <si>
    <t>Less:</t>
  </si>
  <si>
    <t>Plus</t>
  </si>
  <si>
    <t>REGULATORY LIABILITY ARO - GENERATION</t>
  </si>
  <si>
    <t>Addition</t>
  </si>
  <si>
    <t>DETAIL OF TRANSFERS - REGULATORY ACCOUNTING</t>
  </si>
  <si>
    <t>Adjustment</t>
  </si>
  <si>
    <t>Transfer</t>
  </si>
  <si>
    <t>N/A</t>
  </si>
  <si>
    <t>Mar-2017 (1)</t>
  </si>
  <si>
    <t>Mar-2017 (2)</t>
  </si>
  <si>
    <t>Apr-2017 (1)</t>
  </si>
  <si>
    <t>Apr-2017 (2)</t>
  </si>
  <si>
    <t>Jun-2017 (A)</t>
  </si>
  <si>
    <t>Jun-2017 (B)</t>
  </si>
  <si>
    <t>Jun-2017 (C)</t>
  </si>
  <si>
    <t>DEC-2017 (A)</t>
  </si>
  <si>
    <t>DEC 2017 (B)</t>
  </si>
  <si>
    <t>Total</t>
  </si>
  <si>
    <t>Summary</t>
  </si>
  <si>
    <t>Transfers</t>
  </si>
  <si>
    <t>FERC FORM 1 COLUMN CLASSIFICATION:</t>
  </si>
  <si>
    <t>E360.10-Land Rights</t>
  </si>
  <si>
    <t>E360.20-Land</t>
  </si>
  <si>
    <t>E361.00-Structures and Improvements</t>
  </si>
  <si>
    <t>E362.00-Station Equipment</t>
  </si>
  <si>
    <t>E364.00-Poles, Towers, and Fixtures</t>
  </si>
  <si>
    <t>E365.00-OH Conductors and Devices</t>
  </si>
  <si>
    <t>E366.00-Underground Conduit</t>
  </si>
  <si>
    <t>E367.00-UG Conductors and Devices</t>
  </si>
  <si>
    <t>E368.00-Line Transformers</t>
  </si>
  <si>
    <t>E369.00-Services</t>
  </si>
  <si>
    <t>E370.00-Meters</t>
  </si>
  <si>
    <t>E370.01-Meters AMS</t>
  </si>
  <si>
    <t>E370.20-Meters CT and PT</t>
  </si>
  <si>
    <t>E371.00-Install on Customer Premise</t>
  </si>
  <si>
    <t>E373.00-Street Lighting / Signal Sy</t>
  </si>
  <si>
    <t>E374.05-ARO Cost Elec Dist (L/B)</t>
  </si>
  <si>
    <t>E374.07-ARO Cost Elec Dist (Eqp)</t>
  </si>
  <si>
    <t>Total Distribution 101</t>
  </si>
  <si>
    <t>E389.20-Land</t>
  </si>
  <si>
    <t>E390.10-Structures and Improvements</t>
  </si>
  <si>
    <t>E390.20-Improvements to Leased Property</t>
  </si>
  <si>
    <t>E391.10-Office Equipment</t>
  </si>
  <si>
    <t>E391.20-Non PC Computer Equipment</t>
  </si>
  <si>
    <t>E391.30-Cash Processing Equipment</t>
  </si>
  <si>
    <t>E391.31-Personal Computers</t>
  </si>
  <si>
    <t>E392.00-Cars and Light Trucks</t>
  </si>
  <si>
    <t>E392.10-Heavy Trucks and Other</t>
  </si>
  <si>
    <t>E393.00-Stores Equipment</t>
  </si>
  <si>
    <t>E394.00-Tools, Shop, and Garage Equ</t>
  </si>
  <si>
    <t>E395.00-Laboratory Equipment</t>
  </si>
  <si>
    <t>E396.00-Power Operated Equipment</t>
  </si>
  <si>
    <t>E397.00-Comm Equip Microwave</t>
  </si>
  <si>
    <t>E397.10-Comm Equip General</t>
  </si>
  <si>
    <t>E397.20-DSM Communication Equipment</t>
  </si>
  <si>
    <t>E398.00-Miscellaneous Equipment</t>
  </si>
  <si>
    <t>Total General Plant 101</t>
  </si>
  <si>
    <t>E330.10-Land Rights</t>
  </si>
  <si>
    <t>E331.00-Structures and Improvements</t>
  </si>
  <si>
    <t>E332.00-Reservoirs, Dams, and Water</t>
  </si>
  <si>
    <t>E333.00-Water Wheels, Turbines, Gen</t>
  </si>
  <si>
    <t>E334.00-Accessory Electric Equipmen</t>
  </si>
  <si>
    <t>E335.00-Misc Power Plant Equipment</t>
  </si>
  <si>
    <t>E336.00-Roads, Railroads, and Bridg</t>
  </si>
  <si>
    <t>E337.07-ARO Cost Hydro Prod (Eqp)</t>
  </si>
  <si>
    <t>Total Hydro 101</t>
  </si>
  <si>
    <t>E301.00-Organization</t>
  </si>
  <si>
    <t>E302.00-Franchises and Consents</t>
  </si>
  <si>
    <t>E303.00-Misc Intangible Plant</t>
  </si>
  <si>
    <t>E303.10-CCS Software</t>
  </si>
  <si>
    <t>Total Intangible 101</t>
  </si>
  <si>
    <t>E340.10-Land Rights</t>
  </si>
  <si>
    <t>E340.20-Land</t>
  </si>
  <si>
    <t>E341.00-Structures and Improvements</t>
  </si>
  <si>
    <t>E342.00-Fuel Holders, Producers, Ac</t>
  </si>
  <si>
    <t>E342.01-AROP Fuel Holders, Prod, Ac</t>
  </si>
  <si>
    <t>E343.00-Prime Movers</t>
  </si>
  <si>
    <t>E344.00-Generators</t>
  </si>
  <si>
    <t>E345.00-Accessory Electric Equipmen</t>
  </si>
  <si>
    <t>E345.01-AROP Accessory Electric Equipmen</t>
  </si>
  <si>
    <t>E346.00-Misc Power Plant Equipment</t>
  </si>
  <si>
    <t>E347.07-ARO Cost Other Prod (Eqp)</t>
  </si>
  <si>
    <t>Total Other Production 101</t>
  </si>
  <si>
    <t>E310.20-Land</t>
  </si>
  <si>
    <t>E311.00-Structures and Improvements</t>
  </si>
  <si>
    <t xml:space="preserve">E311.01-AROP Structures and Improv </t>
  </si>
  <si>
    <t>E312.00-Boiler Plant Equipment</t>
  </si>
  <si>
    <t>E312.01-AROP Boiler Plant Equipment</t>
  </si>
  <si>
    <t>E314.00-Turbogenerator Units</t>
  </si>
  <si>
    <t>E314.01-AROP Turbogenerator Units</t>
  </si>
  <si>
    <t>E315.00-Accessory Electric Equipmen</t>
  </si>
  <si>
    <t>E315.01-AROP Accessory Electric Equipmen</t>
  </si>
  <si>
    <t>E316.00-Misc Power Plant Equip</t>
  </si>
  <si>
    <t>E317.07-ARO Cost Steam (Eqp)</t>
  </si>
  <si>
    <t>E317.08-ARO Cost Steam (CCR)</t>
  </si>
  <si>
    <t>Total Steam Production 101</t>
  </si>
  <si>
    <t>E350.10-Land Rights</t>
  </si>
  <si>
    <t>E350.20-Land</t>
  </si>
  <si>
    <t>E352.10-Struct &amp; Imp-Non Sys Contro</t>
  </si>
  <si>
    <t>E352.20-Struct &amp; Imp-Sys Control/Co</t>
  </si>
  <si>
    <t>E353.10-Station Equipment - Non Sys</t>
  </si>
  <si>
    <t>E353.11-AROP Station Equip Non Sys</t>
  </si>
  <si>
    <t>E353.20-Station Equip-Sys Control</t>
  </si>
  <si>
    <t>E354.00-Towers and Fixtures</t>
  </si>
  <si>
    <t>E355.00-Poles and Fixtures</t>
  </si>
  <si>
    <t>E356.00-OH Conductors and Devices</t>
  </si>
  <si>
    <t>E357.00-Underground Conduit</t>
  </si>
  <si>
    <t>E358.00-UG Conductors and Devices</t>
  </si>
  <si>
    <t>E359.15-ARO Cost Transm (L/B)</t>
  </si>
  <si>
    <t>E359.17-ARO Cost Transm (Eqp)</t>
  </si>
  <si>
    <t>Total Transmission 101</t>
  </si>
  <si>
    <t>PLANT PURCHASED AND SOLD</t>
  </si>
  <si>
    <t>Total 102 Accounts</t>
  </si>
  <si>
    <t>Total Distribution 106</t>
  </si>
  <si>
    <t>Total General Plant 106</t>
  </si>
  <si>
    <t>Total Hydro 106</t>
  </si>
  <si>
    <t>Total Intangible 106</t>
  </si>
  <si>
    <t>Total Other Production 106</t>
  </si>
  <si>
    <t>Total Steam Production 106</t>
  </si>
  <si>
    <t>Total Transmission 106</t>
  </si>
  <si>
    <t>Net Transfers</t>
  </si>
  <si>
    <t>Transfer Asset for Kevil Operations Center from 101- Plant in Service to 105- Plant Held for Future Use</t>
  </si>
  <si>
    <t>Transfer Between Plant Accounts</t>
  </si>
  <si>
    <t xml:space="preserve">Apr-2017 (1) </t>
  </si>
  <si>
    <t xml:space="preserve">Transfer Polo Club from 121 to Plant Held for Future Use 105 per James Burns and Randy Magallon. </t>
  </si>
  <si>
    <t xml:space="preserve">Apr-2017 (2) </t>
  </si>
  <si>
    <t>KU Vehicle Sale</t>
  </si>
  <si>
    <t>Bryant Road Substation Land Donation to Lexington-Fayette Urban County Government</t>
  </si>
  <si>
    <t>ARO Revaluation</t>
  </si>
  <si>
    <t>Jun-2017 (C )</t>
  </si>
  <si>
    <t>Transfer of ARO asset to correct account</t>
  </si>
  <si>
    <t>July</t>
  </si>
  <si>
    <t>Transfer between plant accounts</t>
  </si>
  <si>
    <t>August 2017</t>
  </si>
  <si>
    <t>Sep-2017</t>
  </si>
  <si>
    <t>October 2017</t>
  </si>
  <si>
    <t>Dec-2017 (A)</t>
  </si>
  <si>
    <t>ARO Revaluation for Ghent Ash Pond, Pineville Ash Pond and CCR and non-CCR wells</t>
  </si>
  <si>
    <t>Dec-2017 (B)</t>
  </si>
  <si>
    <t>ARO Revaluation for Tyrone Ash pond</t>
  </si>
  <si>
    <t>DETAIL OF TRANSFERS - REGULATORY ACCOUNTING - VIRGINIA</t>
  </si>
  <si>
    <t>Mar-2017</t>
  </si>
  <si>
    <t>July-2017</t>
  </si>
  <si>
    <t>August-2017</t>
  </si>
  <si>
    <t>Transfer of Land for Lonesome Pine substation from 101 to Future Use</t>
  </si>
  <si>
    <t>( Moved $240,853.29 from account 101, plant account E360.20 - to account 105 (future use) E360.25.)  </t>
  </si>
  <si>
    <t>DETAIL OF TRANSFERS - REGULATORY ACCOUNTING - TENNESSEE</t>
  </si>
  <si>
    <t>Land and Vehicle Retirements- 2017</t>
  </si>
  <si>
    <t>Land Cost</t>
  </si>
  <si>
    <t>Unplanned</t>
  </si>
  <si>
    <t>Actual Cash</t>
  </si>
  <si>
    <t>Booked</t>
  </si>
  <si>
    <t>Vehicles NBV</t>
  </si>
  <si>
    <t>Depreciation</t>
  </si>
  <si>
    <t>(Gain)/Loss</t>
  </si>
  <si>
    <t>Received</t>
  </si>
  <si>
    <t>to GL (Y/N)</t>
  </si>
  <si>
    <t>KU Vehicle Auction (151989)</t>
  </si>
  <si>
    <t>Y</t>
  </si>
  <si>
    <t>Grand Total</t>
  </si>
  <si>
    <t>Amounts in the cost column for land/vehicles represents the undepreciated balance on the vehicles.</t>
  </si>
  <si>
    <t>KENTUCKY UTILITIIES COMPANY</t>
  </si>
  <si>
    <t>CWIP SPEND - YTD - REGULATORY ACCOUNTING</t>
  </si>
  <si>
    <t>Project Number</t>
  </si>
  <si>
    <t>Project Description</t>
  </si>
  <si>
    <t>00059FACK</t>
  </si>
  <si>
    <t>PINEVILLE TRANS OFF RECONFIG</t>
  </si>
  <si>
    <t>00061FACK</t>
  </si>
  <si>
    <t>LIMESTONE MEZZ WALL</t>
  </si>
  <si>
    <t>00062FACK</t>
  </si>
  <si>
    <t>LONDON HVAC SPLIT UNIT</t>
  </si>
  <si>
    <t>00070FACK</t>
  </si>
  <si>
    <t>LONDON PROPERTY PURCHASE</t>
  </si>
  <si>
    <t>00071FACK</t>
  </si>
  <si>
    <t>RICHMOND BO ROOF REPLACEMENT</t>
  </si>
  <si>
    <t>001KU16</t>
  </si>
  <si>
    <t>Access Switch Rotation-KU16</t>
  </si>
  <si>
    <t>002KU16</t>
  </si>
  <si>
    <t>Analog Sunset-KU16</t>
  </si>
  <si>
    <t>004KU14</t>
  </si>
  <si>
    <t>Call Center-Route&amp;Report-KU14</t>
  </si>
  <si>
    <t>012KU16</t>
  </si>
  <si>
    <t>CIP Compl Tools - Year 6-KU16</t>
  </si>
  <si>
    <t>015KU15</t>
  </si>
  <si>
    <t>Core Network Infra-KU15</t>
  </si>
  <si>
    <t>017KU16</t>
  </si>
  <si>
    <t>Electric Insp Enhan-KU16</t>
  </si>
  <si>
    <t>018KU15</t>
  </si>
  <si>
    <t>Data Protection-KU15</t>
  </si>
  <si>
    <t>019KU15</t>
  </si>
  <si>
    <t>Design Tool Repl (WIM)-KU15</t>
  </si>
  <si>
    <t>021KU16</t>
  </si>
  <si>
    <t>Further app virt build-KU16</t>
  </si>
  <si>
    <t>023KU16</t>
  </si>
  <si>
    <t>IT Security Infrast-KU16</t>
  </si>
  <si>
    <t>026KU16</t>
  </si>
  <si>
    <t>Lville Racks &amp; Furn-KU16</t>
  </si>
  <si>
    <t>031KU16</t>
  </si>
  <si>
    <t>Mobile Infrastructure-KU16</t>
  </si>
  <si>
    <t>032KU16</t>
  </si>
  <si>
    <t>Mobile Radio-KU16</t>
  </si>
  <si>
    <t>033KU16</t>
  </si>
  <si>
    <t>Mble Rad Syst Replace-KU16</t>
  </si>
  <si>
    <t>034KU16</t>
  </si>
  <si>
    <t>Multi-Fun Dev Grow&amp;Ref-KU16</t>
  </si>
  <si>
    <t>039KU16</t>
  </si>
  <si>
    <t>Network Management-KU16</t>
  </si>
  <si>
    <t>040KU15</t>
  </si>
  <si>
    <t>Mobile Infrastructure-KU15</t>
  </si>
  <si>
    <t>042KU15</t>
  </si>
  <si>
    <t>Mble Rad Syst RepYr 1/2-KU15</t>
  </si>
  <si>
    <t>043KU16</t>
  </si>
  <si>
    <t>Original SW Upgrade-KU16</t>
  </si>
  <si>
    <t>044KU16</t>
  </si>
  <si>
    <t>Outside Cable Plant-KU16</t>
  </si>
  <si>
    <t>047KU16</t>
  </si>
  <si>
    <t>Phone Expan/Break Fix-KU16</t>
  </si>
  <si>
    <t>063KU16</t>
  </si>
  <si>
    <t>Simpsonville Elect Upg-KU16</t>
  </si>
  <si>
    <t>064KU16</t>
  </si>
  <si>
    <t>Simpson Furn &amp; Racks-KU16</t>
  </si>
  <si>
    <t>067KU16</t>
  </si>
  <si>
    <t>Tele Rm Data Cent Y1/2-KU16</t>
  </si>
  <si>
    <t>077KU16</t>
  </si>
  <si>
    <t>Wireless Upgrade (WERUS)-KU16</t>
  </si>
  <si>
    <t>081KU14</t>
  </si>
  <si>
    <t>SE KY MW Buildout-KU14</t>
  </si>
  <si>
    <t>088KU16</t>
  </si>
  <si>
    <t>Tech Ref desktop/laptops-KU16</t>
  </si>
  <si>
    <t>093KU16</t>
  </si>
  <si>
    <t>Server HW Refresh-KU16</t>
  </si>
  <si>
    <t>100KU15</t>
  </si>
  <si>
    <t>Replace Edge 95 Units-KU15</t>
  </si>
  <si>
    <t>109KU16</t>
  </si>
  <si>
    <t>WallStreet Suite Upgr-KU16</t>
  </si>
  <si>
    <t>110KU16</t>
  </si>
  <si>
    <t>Monitoring Project-KU16</t>
  </si>
  <si>
    <t>113KU16</t>
  </si>
  <si>
    <t>TOA Enhancements-KU16</t>
  </si>
  <si>
    <t>117150</t>
  </si>
  <si>
    <t>Trimble County 2 KU</t>
  </si>
  <si>
    <t>117362</t>
  </si>
  <si>
    <t>Accrued Labor - KU</t>
  </si>
  <si>
    <t>117768</t>
  </si>
  <si>
    <t>BR3-1 SB AIR COMP REPL 05</t>
  </si>
  <si>
    <t>117787</t>
  </si>
  <si>
    <t>BR MN OFFICE HVAC REPL 05</t>
  </si>
  <si>
    <t>117KU16</t>
  </si>
  <si>
    <t>TRODS-KU16</t>
  </si>
  <si>
    <t>119903</t>
  </si>
  <si>
    <t>Clear A&amp;G 12/04</t>
  </si>
  <si>
    <t>120210</t>
  </si>
  <si>
    <t>BR 1, 2, &amp; 3 FGD</t>
  </si>
  <si>
    <t>120424</t>
  </si>
  <si>
    <t>TY3 GEN LEAD REPL 06-07</t>
  </si>
  <si>
    <t>120465</t>
  </si>
  <si>
    <t>U3 Condenser Valves</t>
  </si>
  <si>
    <t>120756</t>
  </si>
  <si>
    <t>Misc. A/R Uncollect - KU Cap</t>
  </si>
  <si>
    <t>121972</t>
  </si>
  <si>
    <t>GR High Pressure F.W. Heater</t>
  </si>
  <si>
    <t>122041</t>
  </si>
  <si>
    <t>TY3 GEN BUSHINGS 07</t>
  </si>
  <si>
    <t>122609</t>
  </si>
  <si>
    <t>Ghent Ash Pond/Landfill</t>
  </si>
  <si>
    <t>123910</t>
  </si>
  <si>
    <t>BRCT10 C Inspection 12-13</t>
  </si>
  <si>
    <t>124782</t>
  </si>
  <si>
    <t>09 CENT BLUEGRASS STATION</t>
  </si>
  <si>
    <t>125KU16</t>
  </si>
  <si>
    <t>EMS CIP-KU16</t>
  </si>
  <si>
    <t>126KU16</t>
  </si>
  <si>
    <t>Expand EMS Dev System-KU16</t>
  </si>
  <si>
    <t>127134</t>
  </si>
  <si>
    <t>TC CCP LANDFILL PH1 RAV-KU</t>
  </si>
  <si>
    <t>127285</t>
  </si>
  <si>
    <t>NALLY &amp; HAMILTON</t>
  </si>
  <si>
    <t>129KU16</t>
  </si>
  <si>
    <t>Implement SDE Replace-KU16</t>
  </si>
  <si>
    <t>130804</t>
  </si>
  <si>
    <t>DSP Pennington Gap Sub</t>
  </si>
  <si>
    <t>130867</t>
  </si>
  <si>
    <t>BR3 FABRIC FILTER</t>
  </si>
  <si>
    <t>130870</t>
  </si>
  <si>
    <t>GH1 FABRIC FILTER</t>
  </si>
  <si>
    <t>130871</t>
  </si>
  <si>
    <t>GH2 FABRIC FILTER</t>
  </si>
  <si>
    <t>130872</t>
  </si>
  <si>
    <t>GH3 FABRIC FILTER</t>
  </si>
  <si>
    <t>130873</t>
  </si>
  <si>
    <t>GH4 FABRIC FILTER</t>
  </si>
  <si>
    <t>130997</t>
  </si>
  <si>
    <t>GH 4 E Heater Nozzle Tray Repl</t>
  </si>
  <si>
    <t>130KU15</t>
  </si>
  <si>
    <t>Advanced Malware Detect-KU15</t>
  </si>
  <si>
    <t>131203</t>
  </si>
  <si>
    <t>GH4 SH Spray Valve Retrofit</t>
  </si>
  <si>
    <t>131338</t>
  </si>
  <si>
    <t>Ghent 345kV Control House</t>
  </si>
  <si>
    <t>131350</t>
  </si>
  <si>
    <t>Tyrone Control House</t>
  </si>
  <si>
    <t>131355</t>
  </si>
  <si>
    <t>Ghent Redesign 138kV Sub</t>
  </si>
  <si>
    <t>131861</t>
  </si>
  <si>
    <t>CIP-KU-2016</t>
  </si>
  <si>
    <t>131864</t>
  </si>
  <si>
    <t>CIP-KU-2017</t>
  </si>
  <si>
    <t>131980</t>
  </si>
  <si>
    <t>GH3 Primary SH Tube Repl</t>
  </si>
  <si>
    <t>132000KU</t>
  </si>
  <si>
    <t>TC CT HGP Insp #1-KU</t>
  </si>
  <si>
    <t>132001KU</t>
  </si>
  <si>
    <t>TCCT HGP Insp #2-KU</t>
  </si>
  <si>
    <t>132002KU</t>
  </si>
  <si>
    <t>TCCT HGP Insp Unit 7 KU</t>
  </si>
  <si>
    <t>132245</t>
  </si>
  <si>
    <t>Brown Landfill Phase II</t>
  </si>
  <si>
    <t>132371</t>
  </si>
  <si>
    <t>Brown Landfill PH I</t>
  </si>
  <si>
    <t>132674</t>
  </si>
  <si>
    <t>KU Park Control House</t>
  </si>
  <si>
    <t>132928KU</t>
  </si>
  <si>
    <t>GS CDM Aurora - KU</t>
  </si>
  <si>
    <t>133102KU</t>
  </si>
  <si>
    <t>GS GE 345kV Spr KU</t>
  </si>
  <si>
    <t>133414</t>
  </si>
  <si>
    <t>GH Machine Shop Lathe</t>
  </si>
  <si>
    <t>133419</t>
  </si>
  <si>
    <t>GH1 Crusher Hse Belt Feeders</t>
  </si>
  <si>
    <t>133468</t>
  </si>
  <si>
    <t>GH3 SCR L1 Replacement</t>
  </si>
  <si>
    <t>133470</t>
  </si>
  <si>
    <t>GH4 SCR L1 Regen 2017</t>
  </si>
  <si>
    <t>133493</t>
  </si>
  <si>
    <t>GH4 C Feedwater Heater Repl</t>
  </si>
  <si>
    <t>133515</t>
  </si>
  <si>
    <t>GH3 Boiler Burner Repl</t>
  </si>
  <si>
    <t>133520</t>
  </si>
  <si>
    <t>GH4 B Feedwater Htr Repl</t>
  </si>
  <si>
    <t>133638</t>
  </si>
  <si>
    <t>EFFLUENT WATER STUDY - BR</t>
  </si>
  <si>
    <t>133641</t>
  </si>
  <si>
    <t>EFFLUENT WATER STUDY-GH</t>
  </si>
  <si>
    <t>133683</t>
  </si>
  <si>
    <t>EFFLUENT WATER STUDY-TC KU</t>
  </si>
  <si>
    <t>133736</t>
  </si>
  <si>
    <t>GH4 CT Cell 4-2 Rebuild 17</t>
  </si>
  <si>
    <t>133737</t>
  </si>
  <si>
    <t>GH4 CT Cell 4-3 Rebuild 17</t>
  </si>
  <si>
    <t>133793</t>
  </si>
  <si>
    <t>GH 3-5 Pulv Gearbox</t>
  </si>
  <si>
    <t>133890</t>
  </si>
  <si>
    <t>BRCT Pipeline AC Mitigation</t>
  </si>
  <si>
    <t>133KU16</t>
  </si>
  <si>
    <t>NE KY Buildout Eng Phase-KU16</t>
  </si>
  <si>
    <t>134113KU</t>
  </si>
  <si>
    <t>TC2 SCR L3 REPL-KU</t>
  </si>
  <si>
    <t>134237</t>
  </si>
  <si>
    <t>DSP LEX AREA MAJOR PROJECTS</t>
  </si>
  <si>
    <t>134245</t>
  </si>
  <si>
    <t>DSP STNWL SUB UPGD</t>
  </si>
  <si>
    <t>135243</t>
  </si>
  <si>
    <t>Green River Steel 69kV Cap</t>
  </si>
  <si>
    <t>135245KU</t>
  </si>
  <si>
    <t>TC2KU PJFF B&amp;C</t>
  </si>
  <si>
    <t>135361</t>
  </si>
  <si>
    <t>REL LEXPLNT-PISGH 69RBLD</t>
  </si>
  <si>
    <t>135625</t>
  </si>
  <si>
    <t>Matanzas Sub Upgrade</t>
  </si>
  <si>
    <t>135911</t>
  </si>
  <si>
    <t>DLC - KU</t>
  </si>
  <si>
    <t>135KU16</t>
  </si>
  <si>
    <t>Rate Case 2016-KU16</t>
  </si>
  <si>
    <t>136554KU</t>
  </si>
  <si>
    <t>GS SL Coal Plvzr KU</t>
  </si>
  <si>
    <t>136556KU</t>
  </si>
  <si>
    <t>GS SL Slfr Anlzr KU</t>
  </si>
  <si>
    <t>136557KU</t>
  </si>
  <si>
    <t>GS SL Ion Chrmgrph KU</t>
  </si>
  <si>
    <t>136558KU</t>
  </si>
  <si>
    <t>GS SL Oil Prt Cntr KU</t>
  </si>
  <si>
    <t>137011</t>
  </si>
  <si>
    <t>BR1/2 A Conv to 1-1&amp;1-2 Crshrs</t>
  </si>
  <si>
    <t>137046</t>
  </si>
  <si>
    <t>GH3 Turbine Vibration Equip</t>
  </si>
  <si>
    <t>137071</t>
  </si>
  <si>
    <t>GH4 FGD Sump Pump Repl</t>
  </si>
  <si>
    <t>137206</t>
  </si>
  <si>
    <t>BRCT 11N2 SFC Controls Upgrade</t>
  </si>
  <si>
    <t>137336</t>
  </si>
  <si>
    <t>GH Scraper Replacement</t>
  </si>
  <si>
    <t>137339</t>
  </si>
  <si>
    <t>GH D9 Dozer Replacement</t>
  </si>
  <si>
    <t>137372</t>
  </si>
  <si>
    <t>GH3 3-4 Pulv Gearbox</t>
  </si>
  <si>
    <t>137377</t>
  </si>
  <si>
    <t>GH 657 Scraper Replacement</t>
  </si>
  <si>
    <t>137492</t>
  </si>
  <si>
    <t>TC Landfill Add'l Land KU</t>
  </si>
  <si>
    <t>137728</t>
  </si>
  <si>
    <t>SR 2017 Bonds Mill-West Cliff</t>
  </si>
  <si>
    <t>137738</t>
  </si>
  <si>
    <t>HWY 641 RELO</t>
  </si>
  <si>
    <t>137745</t>
  </si>
  <si>
    <t>PR HARDIN CO SMITH 345KV P2</t>
  </si>
  <si>
    <t>137749</t>
  </si>
  <si>
    <t>DSP SHELBYVILLE E-TRANS</t>
  </si>
  <si>
    <t>137751</t>
  </si>
  <si>
    <t>DSP VILEY 2-TRANS</t>
  </si>
  <si>
    <t>137752</t>
  </si>
  <si>
    <t>DSP Richmond North 138kV</t>
  </si>
  <si>
    <t>137754</t>
  </si>
  <si>
    <t>DSP HUME RD PHASE II TRANSFRMR</t>
  </si>
  <si>
    <t>138168</t>
  </si>
  <si>
    <t>DSP PAYNES MILL SUB PROJ</t>
  </si>
  <si>
    <t>138KU16</t>
  </si>
  <si>
    <t>PowerPlant Module Upgr-KU16</t>
  </si>
  <si>
    <t>139046</t>
  </si>
  <si>
    <t>TC2 DSI System - KU</t>
  </si>
  <si>
    <t>139595KU</t>
  </si>
  <si>
    <t>GS GE DME Phase II KU</t>
  </si>
  <si>
    <t>139598KU</t>
  </si>
  <si>
    <t>GS GE Aux Trans Prot KU</t>
  </si>
  <si>
    <t>139670KU</t>
  </si>
  <si>
    <t>GS CDM CIP Ver 6.0 KU</t>
  </si>
  <si>
    <t>139696</t>
  </si>
  <si>
    <t>LEX UNDRGD-PHASE 1</t>
  </si>
  <si>
    <t>139906</t>
  </si>
  <si>
    <t>TEP-Morganfield 161kV Brkr Add</t>
  </si>
  <si>
    <t>139KU15</t>
  </si>
  <si>
    <t>CTS/AFB-Accting Enhance-KU15</t>
  </si>
  <si>
    <t>139KU16</t>
  </si>
  <si>
    <t>Central Firewall Mgmt-KU16</t>
  </si>
  <si>
    <t>140034KU</t>
  </si>
  <si>
    <t>TC KU PURCHASE FORKLIFT</t>
  </si>
  <si>
    <t>140048KU</t>
  </si>
  <si>
    <t>TC2 KU TURBINE CONTROL UPGD</t>
  </si>
  <si>
    <t>140173</t>
  </si>
  <si>
    <t>GH 3 &amp; 4 H Conveyoer Siding</t>
  </si>
  <si>
    <t>140176</t>
  </si>
  <si>
    <t>GH Personnel Carrier 17</t>
  </si>
  <si>
    <t>140179</t>
  </si>
  <si>
    <t>GH1 Air Heater Baskets</t>
  </si>
  <si>
    <t>140194</t>
  </si>
  <si>
    <t>GH Crusher Hse 2 Dust Col</t>
  </si>
  <si>
    <t>140203</t>
  </si>
  <si>
    <t>GH Barge Unloader Recert</t>
  </si>
  <si>
    <t>140225</t>
  </si>
  <si>
    <t>FULL UPGRD EMS SWARE-KU-2018</t>
  </si>
  <si>
    <t>140404KU</t>
  </si>
  <si>
    <t>TC CT KU PIGGING IMPROVEMENT</t>
  </si>
  <si>
    <t>140409KU</t>
  </si>
  <si>
    <t>S&amp;TT Trans Trng Cntr</t>
  </si>
  <si>
    <t>140485</t>
  </si>
  <si>
    <t>ELIZABETHTOWN T&amp;E CAPITAL 2014</t>
  </si>
  <si>
    <t>141315</t>
  </si>
  <si>
    <t>Campbellsville - Pole Racks</t>
  </si>
  <si>
    <t>141329</t>
  </si>
  <si>
    <t>Harlan - Pole Racks</t>
  </si>
  <si>
    <t>141389</t>
  </si>
  <si>
    <t>KU FURNITURE PROJ</t>
  </si>
  <si>
    <t>141400</t>
  </si>
  <si>
    <t>Business Offices CapEx 2015</t>
  </si>
  <si>
    <t>141401</t>
  </si>
  <si>
    <t>CARPET / FLOORING REPLACEMENT</t>
  </si>
  <si>
    <t>141436</t>
  </si>
  <si>
    <t>KU FAILED EQP REPLACE 2016</t>
  </si>
  <si>
    <t>141438</t>
  </si>
  <si>
    <t>KU FURN &amp; CHAIR 2016</t>
  </si>
  <si>
    <t>141885</t>
  </si>
  <si>
    <t>KU Portable Transformer</t>
  </si>
  <si>
    <t>142753KU</t>
  </si>
  <si>
    <t>TC2 KU IGNIT FUEL 2015</t>
  </si>
  <si>
    <t>143043</t>
  </si>
  <si>
    <t>Brown Solar Facility - KU</t>
  </si>
  <si>
    <t>143640 KU</t>
  </si>
  <si>
    <t>CR7 NGCC Inventory KU</t>
  </si>
  <si>
    <t>143864 KU</t>
  </si>
  <si>
    <t>PR Gas Pipe Line KU</t>
  </si>
  <si>
    <t>144038</t>
  </si>
  <si>
    <t>GHENT LANDFILL PHASE IB</t>
  </si>
  <si>
    <t>144039</t>
  </si>
  <si>
    <t>I75, Exit 95 Richmond HWY</t>
  </si>
  <si>
    <t>144061</t>
  </si>
  <si>
    <t>REL TUNNELL HILL SWITCH</t>
  </si>
  <si>
    <t>144112</t>
  </si>
  <si>
    <t>BACKUP CC V_WALL RPLC-KU-2016</t>
  </si>
  <si>
    <t>144116</t>
  </si>
  <si>
    <t>Lynch Control House</t>
  </si>
  <si>
    <t>144118</t>
  </si>
  <si>
    <t>GR 69kV Control House Rpl</t>
  </si>
  <si>
    <t>144140</t>
  </si>
  <si>
    <t>Rpl (3) Leitchfield Brkrs</t>
  </si>
  <si>
    <t>144143</t>
  </si>
  <si>
    <t>Rpl Toyota South 714 Brkr</t>
  </si>
  <si>
    <t>144179</t>
  </si>
  <si>
    <t>GH1 Boiler Lwr Sidewall Panel</t>
  </si>
  <si>
    <t>144256</t>
  </si>
  <si>
    <t>GH Coal Conveyor Structure Rpl</t>
  </si>
  <si>
    <t>144275</t>
  </si>
  <si>
    <t>GH 3&amp;4 Brominator Upgrade</t>
  </si>
  <si>
    <t>144291</t>
  </si>
  <si>
    <t>GH1 Coal Handling Controls</t>
  </si>
  <si>
    <t>144299</t>
  </si>
  <si>
    <t>GH3 FGD Recycle Pump Gearbx</t>
  </si>
  <si>
    <t>144300</t>
  </si>
  <si>
    <t>GH CHA2 4KV Feed Cable</t>
  </si>
  <si>
    <t>144302</t>
  </si>
  <si>
    <t>GH2 4kv Switchgear</t>
  </si>
  <si>
    <t>144306</t>
  </si>
  <si>
    <t>GH2 ESS MCC Transfer Swt</t>
  </si>
  <si>
    <t>144311</t>
  </si>
  <si>
    <t>GH3 Upper Econ Upper Bank</t>
  </si>
  <si>
    <t>144326</t>
  </si>
  <si>
    <t>GH1 SCR Catalyst L3 New</t>
  </si>
  <si>
    <t>144338</t>
  </si>
  <si>
    <t>Brown N CIP Security Upgrds</t>
  </si>
  <si>
    <t>144342</t>
  </si>
  <si>
    <t>GH4 Turbine Vibration Equip</t>
  </si>
  <si>
    <t>144344</t>
  </si>
  <si>
    <t>GH Mechanical Main Truck</t>
  </si>
  <si>
    <t>144345</t>
  </si>
  <si>
    <t>GH Lube Truck</t>
  </si>
  <si>
    <t>144360</t>
  </si>
  <si>
    <t>REL-Madisonville 604 Brkr Add</t>
  </si>
  <si>
    <t>144364</t>
  </si>
  <si>
    <t>REL-Parkers Mill 604 Brkr Adds</t>
  </si>
  <si>
    <t>144424</t>
  </si>
  <si>
    <t>GH 1-2 Pulv Gearbox</t>
  </si>
  <si>
    <t>144432</t>
  </si>
  <si>
    <t>'BR1 Maintenance Vent Fan Repl</t>
  </si>
  <si>
    <t>144433</t>
  </si>
  <si>
    <t>'BR3 Maintenance Vent Fan Repl</t>
  </si>
  <si>
    <t>144436</t>
  </si>
  <si>
    <t>BRFGD Mist Eliminator Repl</t>
  </si>
  <si>
    <t>144475KU</t>
  </si>
  <si>
    <t>GS GE CORS KU</t>
  </si>
  <si>
    <t>144488</t>
  </si>
  <si>
    <t>TEP-Rodburn 138/69kV Xfrmr</t>
  </si>
  <si>
    <t>144541</t>
  </si>
  <si>
    <t>BRCT Gas Pipeline Relocation</t>
  </si>
  <si>
    <t>144610</t>
  </si>
  <si>
    <t>BR Main Pond Closure</t>
  </si>
  <si>
    <t>144632</t>
  </si>
  <si>
    <t>REL-Cawood 604 Brkr Addition</t>
  </si>
  <si>
    <t>144634</t>
  </si>
  <si>
    <t>REL-FMC 604 Brkr Addition</t>
  </si>
  <si>
    <t>144636</t>
  </si>
  <si>
    <t>REL-Stanford 604 Brkr Add</t>
  </si>
  <si>
    <t>144637</t>
  </si>
  <si>
    <t>REL-Camargo 604 Brkr Add</t>
  </si>
  <si>
    <t>144737</t>
  </si>
  <si>
    <t>Lexington Area Major Proj</t>
  </si>
  <si>
    <t>144751</t>
  </si>
  <si>
    <t>Shelbyville East Dist</t>
  </si>
  <si>
    <t>144769</t>
  </si>
  <si>
    <t>LEX AREA MAJOR SUB PROJECT</t>
  </si>
  <si>
    <t>144770</t>
  </si>
  <si>
    <t>SHELBYVILLE EAST DIST SUB</t>
  </si>
  <si>
    <t>144771</t>
  </si>
  <si>
    <t>LOCKPORT SUB ADD 138KV BRKR</t>
  </si>
  <si>
    <t>144785</t>
  </si>
  <si>
    <t>SCM LEX UPGRD 4KV PORTABLE</t>
  </si>
  <si>
    <t>144820</t>
  </si>
  <si>
    <t>SCM2016 LEX REPL SUB BATTERY</t>
  </si>
  <si>
    <t>144821</t>
  </si>
  <si>
    <t>SCM2016 LEX LGCY RTU REPLACE</t>
  </si>
  <si>
    <t>144874</t>
  </si>
  <si>
    <t>SCM2016 LEX MISC CAPITAL SUB</t>
  </si>
  <si>
    <t>144875</t>
  </si>
  <si>
    <t>SCM2016 LEX MISC NESC COMPL</t>
  </si>
  <si>
    <t>144876</t>
  </si>
  <si>
    <t>SCM2016 LEX REPL BREAKERS</t>
  </si>
  <si>
    <t>144877</t>
  </si>
  <si>
    <t>SCM2016 LEX REPL BUSHINGS</t>
  </si>
  <si>
    <t>144878</t>
  </si>
  <si>
    <t>SCM2016 LEX REPL REGULATORS</t>
  </si>
  <si>
    <t>144880</t>
  </si>
  <si>
    <t>SCM2016 LEX WILDLIFE PROTECT</t>
  </si>
  <si>
    <t>144881</t>
  </si>
  <si>
    <t>SCM2016 EARL FAILED BRKR/RECL</t>
  </si>
  <si>
    <t>144882</t>
  </si>
  <si>
    <t>SCM2016 EARL MISC CAPITAL SUB</t>
  </si>
  <si>
    <t>144885</t>
  </si>
  <si>
    <t>SCM2016 CENT LIGHTNING PROTECT</t>
  </si>
  <si>
    <t>144896</t>
  </si>
  <si>
    <t>SCM2016 PINE FAILED BRKR/RECL</t>
  </si>
  <si>
    <t>144903</t>
  </si>
  <si>
    <t>SCM2016 PINE TOOLS &amp; EQUIPMENT</t>
  </si>
  <si>
    <t>144907</t>
  </si>
  <si>
    <t>SCM2016 DAN TOOLS &amp; EQUIPMENT</t>
  </si>
  <si>
    <t>144909</t>
  </si>
  <si>
    <t>DSP HUME ROAD SUB PHASE2</t>
  </si>
  <si>
    <t>144962</t>
  </si>
  <si>
    <t>REL-Farley/Artemus/Pine Panels</t>
  </si>
  <si>
    <t>144970</t>
  </si>
  <si>
    <t>REL BARTON MOS</t>
  </si>
  <si>
    <t>144998</t>
  </si>
  <si>
    <t>KU SECURITY EQUIPMENT 2016</t>
  </si>
  <si>
    <t>145011</t>
  </si>
  <si>
    <t>KU CAMERAS 2017</t>
  </si>
  <si>
    <t>145013</t>
  </si>
  <si>
    <t>KU FIRE SYSTEMS 2017</t>
  </si>
  <si>
    <t>145015</t>
  </si>
  <si>
    <t>KU SECURITY EQUIPMENT 2017</t>
  </si>
  <si>
    <t>145121</t>
  </si>
  <si>
    <t>Pineville Transmission Shed</t>
  </si>
  <si>
    <t>145405</t>
  </si>
  <si>
    <t>Adv Meter Sys KU 2015</t>
  </si>
  <si>
    <t>146001KU</t>
  </si>
  <si>
    <t>TC KU LAB EQUIP 2016</t>
  </si>
  <si>
    <t>146002KU</t>
  </si>
  <si>
    <t>TC KU LAB MONITORS 2016</t>
  </si>
  <si>
    <t>146005KU</t>
  </si>
  <si>
    <t>TC KU SAFETY ERT EQUIP 2016</t>
  </si>
  <si>
    <t>146434</t>
  </si>
  <si>
    <t>DX Dam Parapet Wall</t>
  </si>
  <si>
    <t>146602</t>
  </si>
  <si>
    <t>N-1 DIST XFMR LAKESHORE SUB</t>
  </si>
  <si>
    <t>146606</t>
  </si>
  <si>
    <t>N-1 DIST XFMR LAKESHORE CW</t>
  </si>
  <si>
    <t>146700</t>
  </si>
  <si>
    <t>NEWTOWN PIKE EXTENSION</t>
  </si>
  <si>
    <t>146708</t>
  </si>
  <si>
    <t>N-1 DISTXFMR INNOVATION DR SUB</t>
  </si>
  <si>
    <t>146762</t>
  </si>
  <si>
    <t>London Frontage Rd</t>
  </si>
  <si>
    <t>146763</t>
  </si>
  <si>
    <t>LEBANON EAST SUB PROJECT</t>
  </si>
  <si>
    <t>146785</t>
  </si>
  <si>
    <t>Wasioto 119 Widening</t>
  </si>
  <si>
    <t>146824</t>
  </si>
  <si>
    <t>Arc Flash Dan Lancaster 2</t>
  </si>
  <si>
    <t>146903</t>
  </si>
  <si>
    <t>Reynolds 0044 KU CIFI 2016</t>
  </si>
  <si>
    <t>146904</t>
  </si>
  <si>
    <t>Picadome 0232 KU CIFI 2016</t>
  </si>
  <si>
    <t>146907</t>
  </si>
  <si>
    <t>SHUN PIKE 0581 KU CIFI 2016</t>
  </si>
  <si>
    <t>146911</t>
  </si>
  <si>
    <t>Stinking Creek 0313 CIFI 2016</t>
  </si>
  <si>
    <t>146982</t>
  </si>
  <si>
    <t>PR Ghent-Blackwell 138kV</t>
  </si>
  <si>
    <t>147027</t>
  </si>
  <si>
    <t>BR J Conveyor Gearbox Repl</t>
  </si>
  <si>
    <t>147087</t>
  </si>
  <si>
    <t>KU NALCO ENGINEERING</t>
  </si>
  <si>
    <t>147159</t>
  </si>
  <si>
    <t>Rpl Danville N 604 &amp; 608 Brkrs</t>
  </si>
  <si>
    <t>147162</t>
  </si>
  <si>
    <t>Rpl Harlan Wye 614 Breaker</t>
  </si>
  <si>
    <t>147217</t>
  </si>
  <si>
    <t>TEP-W. Cliff-Shakertown Term</t>
  </si>
  <si>
    <t>147218</t>
  </si>
  <si>
    <t>TEP-Brown Subs Term Eqp</t>
  </si>
  <si>
    <t>147219</t>
  </si>
  <si>
    <t>TEP-Hardinsburg-B. Branch Term</t>
  </si>
  <si>
    <t>147220</t>
  </si>
  <si>
    <t>TEP-Bonds M.-Lawrenceburg Term</t>
  </si>
  <si>
    <t>147222</t>
  </si>
  <si>
    <t>TEP-Elihu 814 Brkr Rpl</t>
  </si>
  <si>
    <t>147226</t>
  </si>
  <si>
    <t>TEP-Boyle Co 604 Disconnects</t>
  </si>
  <si>
    <t>147281</t>
  </si>
  <si>
    <t>MOBILE COMMAND CNTR CONNECT</t>
  </si>
  <si>
    <t>147294</t>
  </si>
  <si>
    <t>GH3 Micron Filter Replacement</t>
  </si>
  <si>
    <t>147313</t>
  </si>
  <si>
    <t>PR Bardstown-Elizabethtown</t>
  </si>
  <si>
    <t>147315</t>
  </si>
  <si>
    <t>PR Lebanon-Springfield</t>
  </si>
  <si>
    <t>147334</t>
  </si>
  <si>
    <t>PR London-Sweet Hollow 69kV</t>
  </si>
  <si>
    <t>147335</t>
  </si>
  <si>
    <t>PR Green Rvr Plnt-Morganfield</t>
  </si>
  <si>
    <t>147344</t>
  </si>
  <si>
    <t>Dorchester Bushings</t>
  </si>
  <si>
    <t>147345</t>
  </si>
  <si>
    <t>Earlington North Bushings</t>
  </si>
  <si>
    <t>147360</t>
  </si>
  <si>
    <t>Tyrone Ground Grid</t>
  </si>
  <si>
    <t>147392</t>
  </si>
  <si>
    <t>Brown CT Breaker Monitors</t>
  </si>
  <si>
    <t>147401</t>
  </si>
  <si>
    <t>GH4 11th Stage Ext Val Repl</t>
  </si>
  <si>
    <t>147403</t>
  </si>
  <si>
    <t>GH3 11th Stage Ext Val Repl</t>
  </si>
  <si>
    <t>147405</t>
  </si>
  <si>
    <t>GH1-6 Feeder &amp; Outlet Hop Repl</t>
  </si>
  <si>
    <t>147406</t>
  </si>
  <si>
    <t>GH1-2 Feeder &amp; Outlet Hop Repl</t>
  </si>
  <si>
    <t>147413</t>
  </si>
  <si>
    <t>GH1-3 Feeder &amp; Outlet Hop Repl</t>
  </si>
  <si>
    <t>147414</t>
  </si>
  <si>
    <t>GH1-4 Feeder &amp; Outlet Hop Repl</t>
  </si>
  <si>
    <t>147415</t>
  </si>
  <si>
    <t>GH1-5 Feeder &amp; Outlet Hop Repl</t>
  </si>
  <si>
    <t>147418</t>
  </si>
  <si>
    <t>GH1-1 Feeder &amp; Outlet Hop Repl</t>
  </si>
  <si>
    <t>147441</t>
  </si>
  <si>
    <t>GH1 Waterwall Panel Repl18</t>
  </si>
  <si>
    <t>147467</t>
  </si>
  <si>
    <t>NRP Grn Rvr Plnt-Erlngton No</t>
  </si>
  <si>
    <t>147468</t>
  </si>
  <si>
    <t>NRP West Lex-Haefling</t>
  </si>
  <si>
    <t>147472</t>
  </si>
  <si>
    <t>NRP Paducah Prim-Coleman Rd</t>
  </si>
  <si>
    <t>147473</t>
  </si>
  <si>
    <t>NRP Cloverport-Hardinsburg</t>
  </si>
  <si>
    <t>147478</t>
  </si>
  <si>
    <t>NRP GR Plant-Morganfield</t>
  </si>
  <si>
    <t>147480</t>
  </si>
  <si>
    <t>REL Esserville Switch</t>
  </si>
  <si>
    <t>147482</t>
  </si>
  <si>
    <t>REL Campbellsburg Switch</t>
  </si>
  <si>
    <t>147534</t>
  </si>
  <si>
    <t>REL Radcliff Switch</t>
  </si>
  <si>
    <t>147565</t>
  </si>
  <si>
    <t>REL Haley MOS</t>
  </si>
  <si>
    <t>147588</t>
  </si>
  <si>
    <t>GRAHAMVILLE-DOE RELO 161kV</t>
  </si>
  <si>
    <t>147600</t>
  </si>
  <si>
    <t>GH2 Econ Sootblower Add</t>
  </si>
  <si>
    <t>147657</t>
  </si>
  <si>
    <t>GH4-5 Pulverizer Gearbox Repl</t>
  </si>
  <si>
    <t>147694</t>
  </si>
  <si>
    <t>GH4 Crusher Hoists</t>
  </si>
  <si>
    <t>147703</t>
  </si>
  <si>
    <t>GH4 AH Soot Blower Controls</t>
  </si>
  <si>
    <t>147710</t>
  </si>
  <si>
    <t>GH4 Soot Blower Press Controls</t>
  </si>
  <si>
    <t>147778</t>
  </si>
  <si>
    <t>GH2 &amp; 3 Stack Cap Heat Trace</t>
  </si>
  <si>
    <t>147786</t>
  </si>
  <si>
    <t>EMS APP ENHANCEMENTS-KU-2017</t>
  </si>
  <si>
    <t>147901</t>
  </si>
  <si>
    <t>GH Central Tool Room</t>
  </si>
  <si>
    <t>147903</t>
  </si>
  <si>
    <t>BR2 Hydrogen Coolers Retube</t>
  </si>
  <si>
    <t>147905</t>
  </si>
  <si>
    <t>GH1 &amp; 2 LPSW Pipe Repl</t>
  </si>
  <si>
    <t>147924</t>
  </si>
  <si>
    <t>BR FGD Inlet Duct Lining</t>
  </si>
  <si>
    <t>147928</t>
  </si>
  <si>
    <t>BR 1A Feedwater Heater Repl</t>
  </si>
  <si>
    <t>147937</t>
  </si>
  <si>
    <t>BR H Belt Repl</t>
  </si>
  <si>
    <t>147942</t>
  </si>
  <si>
    <t>BRCT5 C Insp &amp; Parts Recond</t>
  </si>
  <si>
    <t>147949</t>
  </si>
  <si>
    <t>BRCT11 C Insp &amp; Parts Recond</t>
  </si>
  <si>
    <t>147961</t>
  </si>
  <si>
    <t>BRCT11 AVR Upgrade</t>
  </si>
  <si>
    <t>147973</t>
  </si>
  <si>
    <t>TC KU CCR RULING NON MECH</t>
  </si>
  <si>
    <t>147999</t>
  </si>
  <si>
    <t>SR 2017 Earlington No-Nebo</t>
  </si>
  <si>
    <t>147KU16</t>
  </si>
  <si>
    <t>MV90 upgrade-KU16</t>
  </si>
  <si>
    <t>148021</t>
  </si>
  <si>
    <t>DANVILLE BO REPL DOOR/WINDOWS</t>
  </si>
  <si>
    <t>148024</t>
  </si>
  <si>
    <t>REPL WINDOWS AT DRIVE THRU</t>
  </si>
  <si>
    <t>148027</t>
  </si>
  <si>
    <t>CARPET/FLOORING - KU 2016</t>
  </si>
  <si>
    <t>148030</t>
  </si>
  <si>
    <t>WINCHESTER BACK STAIRS REPL</t>
  </si>
  <si>
    <t>148092 KU</t>
  </si>
  <si>
    <t>CR7 NGCC CI KU (2017)</t>
  </si>
  <si>
    <t>148250</t>
  </si>
  <si>
    <t>DSP Paris 819-2 Sub Brkr Add</t>
  </si>
  <si>
    <t>148251</t>
  </si>
  <si>
    <t>DSP Richmond North Sub Prop</t>
  </si>
  <si>
    <t>148370</t>
  </si>
  <si>
    <t>REL-Hoover 604 Breaker Add</t>
  </si>
  <si>
    <t>148371</t>
  </si>
  <si>
    <t>REL-Earlington 604 Brkr Add</t>
  </si>
  <si>
    <t>148482</t>
  </si>
  <si>
    <t>Grahamville DOE Sub Elim</t>
  </si>
  <si>
    <t>148483</t>
  </si>
  <si>
    <t>Lex Arc Flash-Clays Mill 0145</t>
  </si>
  <si>
    <t>148487</t>
  </si>
  <si>
    <t>Lex Arc Flash- Higby Mill 0023</t>
  </si>
  <si>
    <t>148488</t>
  </si>
  <si>
    <t>Lex Arc Flash-Higby Mill 1071</t>
  </si>
  <si>
    <t>148607</t>
  </si>
  <si>
    <t>SCM2016 DAN REPL LEGACY BRKR</t>
  </si>
  <si>
    <t>148613</t>
  </si>
  <si>
    <t>SCM2016 LEX REPL LEGACY BRKR</t>
  </si>
  <si>
    <t>148617</t>
  </si>
  <si>
    <t>SCM2016 KU REPL LTC/REG CNTRL</t>
  </si>
  <si>
    <t>148621</t>
  </si>
  <si>
    <t>SCM2016 DAN FAILED BRKR/RECL</t>
  </si>
  <si>
    <t>148685</t>
  </si>
  <si>
    <t>DSP MT VERNON SUBSTATION PROJ</t>
  </si>
  <si>
    <t>148710</t>
  </si>
  <si>
    <t>DSP RICHMOND NORTH SUB PROJ</t>
  </si>
  <si>
    <t>148720</t>
  </si>
  <si>
    <t>VILEY 2 SUB XFMR</t>
  </si>
  <si>
    <t>148740</t>
  </si>
  <si>
    <t>SCM2017 DAN REPL SUB BATTERY</t>
  </si>
  <si>
    <t>148741</t>
  </si>
  <si>
    <t>SCM2017 DAN REPL LEGACY BRKR</t>
  </si>
  <si>
    <t>148742</t>
  </si>
  <si>
    <t>SCM2017 EARL REPL SUB BATTERY</t>
  </si>
  <si>
    <t>148743</t>
  </si>
  <si>
    <t>SCM2017 EARL REPL LEGACY BRKRS</t>
  </si>
  <si>
    <t>148744</t>
  </si>
  <si>
    <t>SCM2017 KU LEGACY RELAY REPL</t>
  </si>
  <si>
    <t>148745</t>
  </si>
  <si>
    <t>SCM2017 LEX REPL SUB BATTERY</t>
  </si>
  <si>
    <t>148746</t>
  </si>
  <si>
    <t>SCM2017 LEX LEGACY RTU REPL</t>
  </si>
  <si>
    <t>148747</t>
  </si>
  <si>
    <t>SCM2017 LEX REPL LEGACY BRKR</t>
  </si>
  <si>
    <t>148757</t>
  </si>
  <si>
    <t>SCM2017 PINE REPL SUB BATTERY</t>
  </si>
  <si>
    <t>148758</t>
  </si>
  <si>
    <t>SCM2017 PINE REPL LEGACY BRKR</t>
  </si>
  <si>
    <t>148759</t>
  </si>
  <si>
    <t>SCM2017 KU REPL LTC/REG CNTRL</t>
  </si>
  <si>
    <t>148779</t>
  </si>
  <si>
    <t>SCM2017 DAN FAILED BRKR/RECL</t>
  </si>
  <si>
    <t>148780</t>
  </si>
  <si>
    <t>SCM2017 DAN MISC CAPITAL PROJ</t>
  </si>
  <si>
    <t>148781</t>
  </si>
  <si>
    <t>SCM2017 DAN MISC NESC COMPL</t>
  </si>
  <si>
    <t>148782</t>
  </si>
  <si>
    <t>SCM2017 DAN WILDLIFE PROTECT</t>
  </si>
  <si>
    <t>148783</t>
  </si>
  <si>
    <t>SCM2017 DAN SUB BLDG &amp; GRNDS</t>
  </si>
  <si>
    <t>148784</t>
  </si>
  <si>
    <t>SCM2017 EARL FAILED BRKR/RECL</t>
  </si>
  <si>
    <t>148785</t>
  </si>
  <si>
    <t>SCM2017 EARL MISC CAPITAL SUB</t>
  </si>
  <si>
    <t>148786</t>
  </si>
  <si>
    <t>SCM2017 EARL MISC NESC COMPL</t>
  </si>
  <si>
    <t>148787</t>
  </si>
  <si>
    <t>SCM2017 EARL WILDLIFE PROTECT</t>
  </si>
  <si>
    <t>148788</t>
  </si>
  <si>
    <t>SCM2017 EARL SUB BLDG &amp; GRNDS</t>
  </si>
  <si>
    <t>148790</t>
  </si>
  <si>
    <t>SCM2017 KU LTC OIL FILT ADDS</t>
  </si>
  <si>
    <t>148791</t>
  </si>
  <si>
    <t>SCM2017 KU OIL CONTAINMENT UPG</t>
  </si>
  <si>
    <t>148792</t>
  </si>
  <si>
    <t>SCM2017 KU RPL XFMR FANS</t>
  </si>
  <si>
    <t>148793</t>
  </si>
  <si>
    <t>SCM2017 KU LIGHTNING PROTECT</t>
  </si>
  <si>
    <t>148794</t>
  </si>
  <si>
    <t>SCM2017 LEX MISC CAPITAL SUB</t>
  </si>
  <si>
    <t>148795</t>
  </si>
  <si>
    <t>SCM2017 LEX MISC NESC COMPL</t>
  </si>
  <si>
    <t>148796</t>
  </si>
  <si>
    <t>SCM2017 LEX REPL BREAKERS</t>
  </si>
  <si>
    <t>148797</t>
  </si>
  <si>
    <t>SCM2017 LEX REPL BUSHINGS</t>
  </si>
  <si>
    <t>148798</t>
  </si>
  <si>
    <t>SCM2017 LEX REPL REGULATORS</t>
  </si>
  <si>
    <t>148799</t>
  </si>
  <si>
    <t>SCM2017 LEX WILDLIFE PROTECT</t>
  </si>
  <si>
    <t>148800</t>
  </si>
  <si>
    <t>SCM2017 LEX SUB BLDNG &amp; GND</t>
  </si>
  <si>
    <t>148809</t>
  </si>
  <si>
    <t>SCM2017 PINE FAILED BRKR/RECL</t>
  </si>
  <si>
    <t>148810</t>
  </si>
  <si>
    <t>SCM2017 PINE MISC CAPITAL SUB</t>
  </si>
  <si>
    <t>148811</t>
  </si>
  <si>
    <t>SCM2017 PINE MISC NESC COMPL</t>
  </si>
  <si>
    <t>148812</t>
  </si>
  <si>
    <t>SCM2017 PINE WILDLIFE PROTECT</t>
  </si>
  <si>
    <t>148813</t>
  </si>
  <si>
    <t>SCM2017 PINE SUB BLDNG &amp; GND</t>
  </si>
  <si>
    <t>148827</t>
  </si>
  <si>
    <t>GH ATB #1 CCR</t>
  </si>
  <si>
    <t>148831</t>
  </si>
  <si>
    <t>GR MAIN AP CCR</t>
  </si>
  <si>
    <t>148851</t>
  </si>
  <si>
    <t>CR Mrgnfld-Ovrlnd No 69kV Rbld</t>
  </si>
  <si>
    <t>148874</t>
  </si>
  <si>
    <t>SCM2017 PINE TOOLS &amp; EQUIPMENT</t>
  </si>
  <si>
    <t>148875</t>
  </si>
  <si>
    <t>SCM2017 EARL TOOLS &amp; EQUIPMENT</t>
  </si>
  <si>
    <t>148876</t>
  </si>
  <si>
    <t>SCM2017 LEX TOOLS &amp; EQUIPMENT</t>
  </si>
  <si>
    <t>148878</t>
  </si>
  <si>
    <t>SCM2017 DAN TOOLS &amp; EQUIPMENT</t>
  </si>
  <si>
    <t>148892</t>
  </si>
  <si>
    <t>N1DT STONEWALL 2 SUB</t>
  </si>
  <si>
    <t>148980</t>
  </si>
  <si>
    <t>TOYOTA SOUTH SUBSTATION</t>
  </si>
  <si>
    <t>148981</t>
  </si>
  <si>
    <t>SCM2017 PINE RPL 22KV&amp;34KV BKR</t>
  </si>
  <si>
    <t>148990</t>
  </si>
  <si>
    <t>TEP-N.A.S 345 DFR</t>
  </si>
  <si>
    <t>148KU16</t>
  </si>
  <si>
    <t>Implement Corp. SIEM-KU16</t>
  </si>
  <si>
    <t>149027</t>
  </si>
  <si>
    <t>TEP-KU DFR 2016</t>
  </si>
  <si>
    <t>149030</t>
  </si>
  <si>
    <t>PINEVILLE POLE YARD ENTRANCE</t>
  </si>
  <si>
    <t>149098</t>
  </si>
  <si>
    <t>Danville Cap Tools 2016</t>
  </si>
  <si>
    <t>149101</t>
  </si>
  <si>
    <t>Elizabethtown Cap Tools 2016</t>
  </si>
  <si>
    <t>149102</t>
  </si>
  <si>
    <t>Shelbyville Cap Tools 2016</t>
  </si>
  <si>
    <t>149103</t>
  </si>
  <si>
    <t>Lexington Cap Tools 2016</t>
  </si>
  <si>
    <t>149122</t>
  </si>
  <si>
    <t>BR3 F-2 Feedwater Heater Repl</t>
  </si>
  <si>
    <t>149177</t>
  </si>
  <si>
    <t>GH2 WFGD IMPROVEMENTS</t>
  </si>
  <si>
    <t>149347</t>
  </si>
  <si>
    <t>GH1 HG CONTROL INJECTION</t>
  </si>
  <si>
    <t>149348</t>
  </si>
  <si>
    <t>GH2 HG CONTROL INJECTION</t>
  </si>
  <si>
    <t>149350</t>
  </si>
  <si>
    <t>GH3 HG CONTROL INJECTION</t>
  </si>
  <si>
    <t>149351</t>
  </si>
  <si>
    <t>GH4 HG CONTROL INJECTION</t>
  </si>
  <si>
    <t>149368</t>
  </si>
  <si>
    <t>E-Town Cap Bank Rpl</t>
  </si>
  <si>
    <t>149466</t>
  </si>
  <si>
    <t>KU HW/SW 2016 ASSET MGMT</t>
  </si>
  <si>
    <t>149478</t>
  </si>
  <si>
    <t>KU FAILED EQP REPLACE 2017</t>
  </si>
  <si>
    <t>149480</t>
  </si>
  <si>
    <t>KU FURN &amp; CHAIR 2017</t>
  </si>
  <si>
    <t>149488</t>
  </si>
  <si>
    <t>CARPET/FLOORING - KU 2017</t>
  </si>
  <si>
    <t>149530</t>
  </si>
  <si>
    <t>MS (Pineville) Meter Test 2017</t>
  </si>
  <si>
    <t>149546</t>
  </si>
  <si>
    <t>URD Cable Rejuv KU</t>
  </si>
  <si>
    <t>149705</t>
  </si>
  <si>
    <t>TEP-W Lex Reactor Additions</t>
  </si>
  <si>
    <t>149765</t>
  </si>
  <si>
    <t>NRP Ghent-Scott County</t>
  </si>
  <si>
    <t>149767</t>
  </si>
  <si>
    <t>NRP Scott Co-Toyota North</t>
  </si>
  <si>
    <t>149768</t>
  </si>
  <si>
    <t>NRP Toyota So-Toyota No</t>
  </si>
  <si>
    <t>149890</t>
  </si>
  <si>
    <t>El Veh Charge Station KU 2015</t>
  </si>
  <si>
    <t>149972KU</t>
  </si>
  <si>
    <t>GS GE ME Remote Vib KU</t>
  </si>
  <si>
    <t>149991</t>
  </si>
  <si>
    <t>BUILDING - KEVIL KY</t>
  </si>
  <si>
    <t>149992</t>
  </si>
  <si>
    <t>BUILDING - NORTON VA</t>
  </si>
  <si>
    <t>150005KU</t>
  </si>
  <si>
    <t>TC2 KU REPL EXPOSED BUS PJFF</t>
  </si>
  <si>
    <t>150008KU</t>
  </si>
  <si>
    <t>TC KU B COAL CONV SP MTR</t>
  </si>
  <si>
    <t>150022KU</t>
  </si>
  <si>
    <t>TC2 KU COAL HAND CRUSH BIN</t>
  </si>
  <si>
    <t>150027KU</t>
  </si>
  <si>
    <t>TC KU DIGITAL RADIO CONV</t>
  </si>
  <si>
    <t>150046KU</t>
  </si>
  <si>
    <t>TC KU MACH SHOP WELD BOOTH</t>
  </si>
  <si>
    <t>150054KU</t>
  </si>
  <si>
    <t>TC2 KU SSC CHAIN</t>
  </si>
  <si>
    <t>150066</t>
  </si>
  <si>
    <t>UPGRADE GREEN RIVER 34KV RELAY</t>
  </si>
  <si>
    <t>150071KU</t>
  </si>
  <si>
    <t>TC KU LIGHT UPGRADE</t>
  </si>
  <si>
    <t>150079KU</t>
  </si>
  <si>
    <t>GS GE ME Oil Skid KU</t>
  </si>
  <si>
    <t>150080KU</t>
  </si>
  <si>
    <t>GS GE Black Start KU</t>
  </si>
  <si>
    <t>150095</t>
  </si>
  <si>
    <t>FUL UPGRD EMS SWARE-KU-2016</t>
  </si>
  <si>
    <t>150218</t>
  </si>
  <si>
    <t>KU Ky Wired Non-reimb</t>
  </si>
  <si>
    <t>150221</t>
  </si>
  <si>
    <t>KU Ky Wired Reimbursable</t>
  </si>
  <si>
    <t>150237</t>
  </si>
  <si>
    <t>Georgetown 0426 KU CIFI 2016</t>
  </si>
  <si>
    <t>150238</t>
  </si>
  <si>
    <t>Walker OCB Kit Install</t>
  </si>
  <si>
    <t>150241</t>
  </si>
  <si>
    <t>River Queen OCB Kit Install</t>
  </si>
  <si>
    <t>150242</t>
  </si>
  <si>
    <t>Danville N OCB Kit Install</t>
  </si>
  <si>
    <t>150244</t>
  </si>
  <si>
    <t>W Frankfort OCB Kit Install</t>
  </si>
  <si>
    <t>150248</t>
  </si>
  <si>
    <t>Lebanon OCB Kit Install</t>
  </si>
  <si>
    <t>150249</t>
  </si>
  <si>
    <t>Boonesboro N OCB Kit Install</t>
  </si>
  <si>
    <t>150257</t>
  </si>
  <si>
    <t>Brown CT OCB Kit Install</t>
  </si>
  <si>
    <t>150268</t>
  </si>
  <si>
    <t>Green River OCB Kit Install</t>
  </si>
  <si>
    <t>150269</t>
  </si>
  <si>
    <t>Lancaster SW OCB Kit Install</t>
  </si>
  <si>
    <t>150270</t>
  </si>
  <si>
    <t>Wheatcroft OCB Kit Install</t>
  </si>
  <si>
    <t>150272</t>
  </si>
  <si>
    <t>INNOVATION 0593 KU CIFI 2016</t>
  </si>
  <si>
    <t>150276</t>
  </si>
  <si>
    <t>WILMORE 12KV 0585 CIFI 2016</t>
  </si>
  <si>
    <t>150279</t>
  </si>
  <si>
    <t>LAWRENCEBURG 2515 KU CIFI 2017</t>
  </si>
  <si>
    <t>150281</t>
  </si>
  <si>
    <t>VERSAILLES 0507 KU CIFI 2017</t>
  </si>
  <si>
    <t>150282</t>
  </si>
  <si>
    <t>WILSON DOWN 0081 KU CIFI 2016</t>
  </si>
  <si>
    <t>150285</t>
  </si>
  <si>
    <t>Earlington PITP 2016</t>
  </si>
  <si>
    <t>150287</t>
  </si>
  <si>
    <t>Elizabethtown PITP 2016</t>
  </si>
  <si>
    <t>150288</t>
  </si>
  <si>
    <t>Maysville PITP 2016</t>
  </si>
  <si>
    <t>150289</t>
  </si>
  <si>
    <t>Richmond PITP 2016</t>
  </si>
  <si>
    <t>150290</t>
  </si>
  <si>
    <t>London PITP 2016</t>
  </si>
  <si>
    <t>150291</t>
  </si>
  <si>
    <t>Pineville PITP 2016</t>
  </si>
  <si>
    <t>150292</t>
  </si>
  <si>
    <t>Danville PITP 2016</t>
  </si>
  <si>
    <t>150293</t>
  </si>
  <si>
    <t>Norton PITP 2016</t>
  </si>
  <si>
    <t>150331</t>
  </si>
  <si>
    <t>KU FIBERTECH NON-REIMB</t>
  </si>
  <si>
    <t>150333</t>
  </si>
  <si>
    <t>KU FIBERTECH REIMBURSABLE</t>
  </si>
  <si>
    <t>150368</t>
  </si>
  <si>
    <t>KY 89 Hwy Project Richmond</t>
  </si>
  <si>
    <t>150371</t>
  </si>
  <si>
    <t>CIFI 2016 London 0205</t>
  </si>
  <si>
    <t>150372</t>
  </si>
  <si>
    <t>Ferguson South 0539 CIFI 2016</t>
  </si>
  <si>
    <t>150374</t>
  </si>
  <si>
    <t>Big Stone Gap 4701 CIFI 2016</t>
  </si>
  <si>
    <t>150375</t>
  </si>
  <si>
    <t>Dorchester 4603 CIFI 2016</t>
  </si>
  <si>
    <t>150376</t>
  </si>
  <si>
    <t>East Stone Gap 4721 CIFI 2016</t>
  </si>
  <si>
    <t>150377</t>
  </si>
  <si>
    <t>St. Paul 0688 CIFI 2017</t>
  </si>
  <si>
    <t>150379</t>
  </si>
  <si>
    <t>Meldrum 0390 Ckt Hard 2017</t>
  </si>
  <si>
    <t>150380</t>
  </si>
  <si>
    <t>Evarts 4475 Small Wire 2016</t>
  </si>
  <si>
    <t>150414</t>
  </si>
  <si>
    <t>London CEMI 2016</t>
  </si>
  <si>
    <t>150427</t>
  </si>
  <si>
    <t>WEST HICKMAN 864 KU CIFI 2017</t>
  </si>
  <si>
    <t>150468</t>
  </si>
  <si>
    <t>Comp-related Equip KU 2016</t>
  </si>
  <si>
    <t>150625</t>
  </si>
  <si>
    <t>Mineral Gap Data Center</t>
  </si>
  <si>
    <t>150636</t>
  </si>
  <si>
    <t>Middlesboro (5) Brkr Rpl</t>
  </si>
  <si>
    <t>150642</t>
  </si>
  <si>
    <t>KU Park Surge Arrestor/PT</t>
  </si>
  <si>
    <t>150644</t>
  </si>
  <si>
    <t>Ghent Redesign 138kV-P&amp;C</t>
  </si>
  <si>
    <t>150646</t>
  </si>
  <si>
    <t>PR Livingston-South Paducah</t>
  </si>
  <si>
    <t>150652</t>
  </si>
  <si>
    <t>PR Blackwell-Kenton</t>
  </si>
  <si>
    <t>150653</t>
  </si>
  <si>
    <t>Carntown 0947 Sm Wire 2016</t>
  </si>
  <si>
    <t>150657</t>
  </si>
  <si>
    <t>CLAYS MILL 0145 CIFI 2016</t>
  </si>
  <si>
    <t>150681KU</t>
  </si>
  <si>
    <t>TC2 KU EXP JOINT REPL</t>
  </si>
  <si>
    <t>150687</t>
  </si>
  <si>
    <t>PR Pocket-Pennington Gap</t>
  </si>
  <si>
    <t>150717</t>
  </si>
  <si>
    <t>N1DT WEST HICKMAN EXPANSION</t>
  </si>
  <si>
    <t>150719</t>
  </si>
  <si>
    <t>W. Hickman Sub Dist Circuit</t>
  </si>
  <si>
    <t>150733</t>
  </si>
  <si>
    <t>Etown Insulator Rpl</t>
  </si>
  <si>
    <t>150741</t>
  </si>
  <si>
    <t>Fawkes Ground Grid Rpl</t>
  </si>
  <si>
    <t>150743</t>
  </si>
  <si>
    <t>36DSP West Hickman Expansion</t>
  </si>
  <si>
    <t>150745</t>
  </si>
  <si>
    <t>Big Stone Gap 4702 CIFI 2017</t>
  </si>
  <si>
    <t>150749</t>
  </si>
  <si>
    <t>Calloway 0311 CIFI 2017</t>
  </si>
  <si>
    <t>150772</t>
  </si>
  <si>
    <t>Pineville 345kV Brkrs</t>
  </si>
  <si>
    <t>150785</t>
  </si>
  <si>
    <t>Morehead West 0617 CIFI</t>
  </si>
  <si>
    <t>150791</t>
  </si>
  <si>
    <t>NRP Ghent-NAS 345kV Tap</t>
  </si>
  <si>
    <t>150802</t>
  </si>
  <si>
    <t>EKP Long Lick Tap</t>
  </si>
  <si>
    <t>150805</t>
  </si>
  <si>
    <t>OATI Software Change - KU</t>
  </si>
  <si>
    <t>150838</t>
  </si>
  <si>
    <t>NRP Brown CT-Brown North</t>
  </si>
  <si>
    <t>150841</t>
  </si>
  <si>
    <t>PR Ghent-Scott County</t>
  </si>
  <si>
    <t>150842</t>
  </si>
  <si>
    <t>Princeton-Walker 69kV LTG</t>
  </si>
  <si>
    <t>150844</t>
  </si>
  <si>
    <t>REL Madisonville Loop MOS</t>
  </si>
  <si>
    <t>150845</t>
  </si>
  <si>
    <t>REL-Madisonville Loop-Subs</t>
  </si>
  <si>
    <t>150846</t>
  </si>
  <si>
    <t>REL-Madisonville Loop-P&amp;C</t>
  </si>
  <si>
    <t>150847</t>
  </si>
  <si>
    <t>Green River Steel Switch</t>
  </si>
  <si>
    <t>150856</t>
  </si>
  <si>
    <t>BR3 SCR Top Layer Catalyst 17</t>
  </si>
  <si>
    <t>150866KU</t>
  </si>
  <si>
    <t>TC FA KU COMBO MTR START</t>
  </si>
  <si>
    <t>150878</t>
  </si>
  <si>
    <t>Elihu 644 Brkr CT Rpl</t>
  </si>
  <si>
    <t>150885</t>
  </si>
  <si>
    <t>Diverse Comm 117-122</t>
  </si>
  <si>
    <t>151092</t>
  </si>
  <si>
    <t>Smuckers 69kV Relocation</t>
  </si>
  <si>
    <t>151112</t>
  </si>
  <si>
    <t>Kenton Relay Rpl</t>
  </si>
  <si>
    <t>151113</t>
  </si>
  <si>
    <t>West Hickman Land Purchase</t>
  </si>
  <si>
    <t>151120</t>
  </si>
  <si>
    <t>TC CCRT FA KU</t>
  </si>
  <si>
    <t>151121</t>
  </si>
  <si>
    <t>TC CCRT G KU</t>
  </si>
  <si>
    <t>151122</t>
  </si>
  <si>
    <t>TC CCRT TRANS KU</t>
  </si>
  <si>
    <t>151123</t>
  </si>
  <si>
    <t>TC CCRT LANDFILL KU</t>
  </si>
  <si>
    <t>151126KU</t>
  </si>
  <si>
    <t>GS GE BlackStart TC KU</t>
  </si>
  <si>
    <t>151156</t>
  </si>
  <si>
    <t>Mineral Gap Redundancy</t>
  </si>
  <si>
    <t>151159</t>
  </si>
  <si>
    <t>Tunnel Hill 1443 - SW 2016</t>
  </si>
  <si>
    <t>151161</t>
  </si>
  <si>
    <t>SIMP COMM CTR RECONF-KU</t>
  </si>
  <si>
    <t>151174</t>
  </si>
  <si>
    <t>BR CCRT Capital Spares</t>
  </si>
  <si>
    <t>151177</t>
  </si>
  <si>
    <t>TEP-Hardin Co Xfmr Add</t>
  </si>
  <si>
    <t>151190</t>
  </si>
  <si>
    <t>GH2 CW Bypass Valve</t>
  </si>
  <si>
    <t>151194KU</t>
  </si>
  <si>
    <t>TC2 KU TURB VOLT MONITOR</t>
  </si>
  <si>
    <t>151207</t>
  </si>
  <si>
    <t>Richmond Smallwire 2016</t>
  </si>
  <si>
    <t>151209</t>
  </si>
  <si>
    <t>GH3 Blowdown Line Reroute</t>
  </si>
  <si>
    <t>151289KU</t>
  </si>
  <si>
    <t>GS GE Dam Impnd '16 TC KU</t>
  </si>
  <si>
    <t>151308</t>
  </si>
  <si>
    <t>Hanson 0811 - CIFI 2016</t>
  </si>
  <si>
    <t>151310</t>
  </si>
  <si>
    <t>Beaver Dam N 919 CIFI 2016</t>
  </si>
  <si>
    <t>151315</t>
  </si>
  <si>
    <t>IBM 103 CIFI 2016</t>
  </si>
  <si>
    <t>151316</t>
  </si>
  <si>
    <t>Carlisle 12kV CIFI 2016</t>
  </si>
  <si>
    <t>151317</t>
  </si>
  <si>
    <t>Shelby City 0533 CIFI 2016</t>
  </si>
  <si>
    <t>151318</t>
  </si>
  <si>
    <t>Mount Sterling 12kV CIFI 2016</t>
  </si>
  <si>
    <t>151321</t>
  </si>
  <si>
    <t>GS GE Dam Impnd GH</t>
  </si>
  <si>
    <t>151331 KU</t>
  </si>
  <si>
    <t>CR7 Station Buildings KU</t>
  </si>
  <si>
    <t>151337</t>
  </si>
  <si>
    <t>GH Crusher Hse 1 Dust Col</t>
  </si>
  <si>
    <t>151347</t>
  </si>
  <si>
    <t>GH 3-1 Pulv Gearbox</t>
  </si>
  <si>
    <t>151357</t>
  </si>
  <si>
    <t>GH1 FGD Inlet Modification</t>
  </si>
  <si>
    <t>151358</t>
  </si>
  <si>
    <t>GH3 FGD Inlet Modification</t>
  </si>
  <si>
    <t>151361</t>
  </si>
  <si>
    <t>GH4 FGD Inlet Modification</t>
  </si>
  <si>
    <t>151372</t>
  </si>
  <si>
    <t>GH 1&amp;2 J Conveyor Siding Repl</t>
  </si>
  <si>
    <t>151377</t>
  </si>
  <si>
    <t>GH Stack Lighting Replacement</t>
  </si>
  <si>
    <t>151379</t>
  </si>
  <si>
    <t>GH3 TurbineBldg LED Lighting17</t>
  </si>
  <si>
    <t>151382</t>
  </si>
  <si>
    <t>GH2 Boiler Bldg LED Lighting</t>
  </si>
  <si>
    <t>151386</t>
  </si>
  <si>
    <t>GH2 Pulv PA Flow Indication</t>
  </si>
  <si>
    <t>151388</t>
  </si>
  <si>
    <t>GH1&amp;2 Control Room AHU Repl</t>
  </si>
  <si>
    <t>151393</t>
  </si>
  <si>
    <t>GH 2-1 FGD Header Repl</t>
  </si>
  <si>
    <t>151401</t>
  </si>
  <si>
    <t>GH3 RearWW Nose Arch Lwr Bends</t>
  </si>
  <si>
    <t>151412</t>
  </si>
  <si>
    <t>GH Coal Yard Bobcat</t>
  </si>
  <si>
    <t>151413</t>
  </si>
  <si>
    <t>GH Coal Yard Backhoe</t>
  </si>
  <si>
    <t>151414</t>
  </si>
  <si>
    <t>GH Security Cameras</t>
  </si>
  <si>
    <t>151421</t>
  </si>
  <si>
    <t>GH4 Stack CEM Umbilical Repl</t>
  </si>
  <si>
    <t>151422</t>
  </si>
  <si>
    <t>GH1 Diesel Generator Repl</t>
  </si>
  <si>
    <t>151429</t>
  </si>
  <si>
    <t>GH 3&amp;4 Station Air Comp Cntrlr</t>
  </si>
  <si>
    <t>151430</t>
  </si>
  <si>
    <t>GH1 Hydrogen Cooler Replace</t>
  </si>
  <si>
    <t>151436</t>
  </si>
  <si>
    <t>GH3 PA Duct Hopper Replacement</t>
  </si>
  <si>
    <t>151449KU</t>
  </si>
  <si>
    <t>TC KU COMMON 480V BREAKER UPG</t>
  </si>
  <si>
    <t>151465</t>
  </si>
  <si>
    <t>Mobile Control House</t>
  </si>
  <si>
    <t>151468</t>
  </si>
  <si>
    <t>West Cliff Monitor</t>
  </si>
  <si>
    <t>151469</t>
  </si>
  <si>
    <t>Lake Reba Tap Monitor</t>
  </si>
  <si>
    <t>151470</t>
  </si>
  <si>
    <t>Business Offices CapEx 2016</t>
  </si>
  <si>
    <t>151554</t>
  </si>
  <si>
    <t>PR Hardinsburg-C Hardin EKPC</t>
  </si>
  <si>
    <t>151563KU</t>
  </si>
  <si>
    <t>GS GE Alarm Mgmt CR KU</t>
  </si>
  <si>
    <t>151598</t>
  </si>
  <si>
    <t>N1DT KU Spare Transformers</t>
  </si>
  <si>
    <t>151604</t>
  </si>
  <si>
    <t>TEP Ghent-Fairview 138kV</t>
  </si>
  <si>
    <t>151690</t>
  </si>
  <si>
    <t>ESR Maysville East Tap</t>
  </si>
  <si>
    <t>151691</t>
  </si>
  <si>
    <t>ESR Campbellsburg EKPC Tap</t>
  </si>
  <si>
    <t>151692</t>
  </si>
  <si>
    <t>ESR Eddyville Tap</t>
  </si>
  <si>
    <t>151721</t>
  </si>
  <si>
    <t>Richmond South 2321 CIFI 2016</t>
  </si>
  <si>
    <t>151745</t>
  </si>
  <si>
    <t>REL-Warsaw 615 Switch Motor</t>
  </si>
  <si>
    <t>151748</t>
  </si>
  <si>
    <t>KU Park-Greasy Env Mods</t>
  </si>
  <si>
    <t>151761</t>
  </si>
  <si>
    <t>Fawkes Firewall/Cap Bank</t>
  </si>
  <si>
    <t>151771</t>
  </si>
  <si>
    <t>DSP Corbin US Steel</t>
  </si>
  <si>
    <t>151777</t>
  </si>
  <si>
    <t>Finchville Control House</t>
  </si>
  <si>
    <t>151785</t>
  </si>
  <si>
    <t>Polaris RGR 570 Lex</t>
  </si>
  <si>
    <t>151786</t>
  </si>
  <si>
    <t>Lex Utility Trailer</t>
  </si>
  <si>
    <t>151792</t>
  </si>
  <si>
    <t>REL Radcliff MOS</t>
  </si>
  <si>
    <t>151793</t>
  </si>
  <si>
    <t>REL Esserville MOS</t>
  </si>
  <si>
    <t>151794</t>
  </si>
  <si>
    <t>REL Elizabethtown Tap MOS</t>
  </si>
  <si>
    <t>151795</t>
  </si>
  <si>
    <t>GH DTLS LED Lighting</t>
  </si>
  <si>
    <t>151796</t>
  </si>
  <si>
    <t>REL Joyland 69kV MOS</t>
  </si>
  <si>
    <t>151797</t>
  </si>
  <si>
    <t>REL Campbellsville Ind MOS</t>
  </si>
  <si>
    <t>151798</t>
  </si>
  <si>
    <t>REL Harlan 557 MOS</t>
  </si>
  <si>
    <t>151799</t>
  </si>
  <si>
    <t>REL Somerset 3 MOS</t>
  </si>
  <si>
    <t>151814</t>
  </si>
  <si>
    <t>REL-Stanford 848-615 MOS Add</t>
  </si>
  <si>
    <t>151815</t>
  </si>
  <si>
    <t>REL-Somerset N 92-605 Motor</t>
  </si>
  <si>
    <t>151829</t>
  </si>
  <si>
    <t>Meldrum 0308 CIFI 2016</t>
  </si>
  <si>
    <t>151832</t>
  </si>
  <si>
    <t>Somerset 3 - CIFI 2016</t>
  </si>
  <si>
    <t>151834</t>
  </si>
  <si>
    <t>Poor Valley 0751 CIFI 2016</t>
  </si>
  <si>
    <t>151836</t>
  </si>
  <si>
    <t>Sandy Ridge 2 0676 CIFI 2016</t>
  </si>
  <si>
    <t>151884</t>
  </si>
  <si>
    <t>GH CCRT West Access Road</t>
  </si>
  <si>
    <t>151885</t>
  </si>
  <si>
    <t>BR3-F Htr Extraction Chk Valve</t>
  </si>
  <si>
    <t>151886</t>
  </si>
  <si>
    <t>GH Property Acquisition 16</t>
  </si>
  <si>
    <t>151898</t>
  </si>
  <si>
    <t>West Frankfort Relay Rpl</t>
  </si>
  <si>
    <t>151917</t>
  </si>
  <si>
    <t>DX Access Bridge Refurb</t>
  </si>
  <si>
    <t>151936</t>
  </si>
  <si>
    <t>BR Video Conferencing Equip</t>
  </si>
  <si>
    <t>151955KU</t>
  </si>
  <si>
    <t>TC2 KU GEN FIELD RWND</t>
  </si>
  <si>
    <t>151959</t>
  </si>
  <si>
    <t>BRCT 6&amp;7 Auto Gas Shutoff</t>
  </si>
  <si>
    <t>151974</t>
  </si>
  <si>
    <t>BR02 Lmstne Slurry Tnk Flr Ref</t>
  </si>
  <si>
    <t>151975 KU</t>
  </si>
  <si>
    <t>CR7 SEE Transformer KU</t>
  </si>
  <si>
    <t>151982</t>
  </si>
  <si>
    <t>BR2 Overfire Air Exp Jnt Repl</t>
  </si>
  <si>
    <t>151986</t>
  </si>
  <si>
    <t>BR3 Overfire Air Exp Jnt Repl</t>
  </si>
  <si>
    <t>151988</t>
  </si>
  <si>
    <t>BR3 AH Outlet Exp Jnt Repl</t>
  </si>
  <si>
    <t>151999 KU</t>
  </si>
  <si>
    <t>PR Control Room Upgrade</t>
  </si>
  <si>
    <t>152000KU</t>
  </si>
  <si>
    <t>TC CT KU GEN PROT RELAY</t>
  </si>
  <si>
    <t>152001 KU</t>
  </si>
  <si>
    <t>PR Station Warehouse KU</t>
  </si>
  <si>
    <t>152004</t>
  </si>
  <si>
    <t>GH1 FGD Sump Pump Repl</t>
  </si>
  <si>
    <t>152006</t>
  </si>
  <si>
    <t>GH1 Burner Replacement 2017</t>
  </si>
  <si>
    <t>152038KU</t>
  </si>
  <si>
    <t>TC CT SECUR ST</t>
  </si>
  <si>
    <t>152049KU</t>
  </si>
  <si>
    <t>TC2 BOILER WW REPL</t>
  </si>
  <si>
    <t>152050 KU</t>
  </si>
  <si>
    <t>CR7 Station Support Bldg KU</t>
  </si>
  <si>
    <t>152051 KU</t>
  </si>
  <si>
    <t>CR7 DC Bus Arrangement KU</t>
  </si>
  <si>
    <t>152053 KU</t>
  </si>
  <si>
    <t>CR7 Condition Monitoring KU</t>
  </si>
  <si>
    <t>152090KU</t>
  </si>
  <si>
    <t>TC A BALL MILL LINE UPGD</t>
  </si>
  <si>
    <t>152099KU</t>
  </si>
  <si>
    <t>TC2 HP TURBINE BLADES</t>
  </si>
  <si>
    <t>152141</t>
  </si>
  <si>
    <t>PBR-Lynch 69kV Brkr Rpl</t>
  </si>
  <si>
    <t>152145</t>
  </si>
  <si>
    <t>PBR-Salem 69kV Brkr Rpl</t>
  </si>
  <si>
    <t>152147</t>
  </si>
  <si>
    <t>PBR-Ohio County 69kV Brkr Rpl</t>
  </si>
  <si>
    <t>152148</t>
  </si>
  <si>
    <t>PBR-Sweet Hollow 69kV Brkr Rpl</t>
  </si>
  <si>
    <t>152151</t>
  </si>
  <si>
    <t>PBR-West Irvine 69kV Brkr Rpl</t>
  </si>
  <si>
    <t>152152</t>
  </si>
  <si>
    <t>PBR-Evarts 69kV Brkr Rpl</t>
  </si>
  <si>
    <t>152171</t>
  </si>
  <si>
    <t>PBR-Rocky Branch 69kV Brkr Rpl</t>
  </si>
  <si>
    <t>152225</t>
  </si>
  <si>
    <t>Brown N 345kV 934 Brkr Rpl</t>
  </si>
  <si>
    <t>152231</t>
  </si>
  <si>
    <t>POR-Shelbyville 69kV PT Rpl</t>
  </si>
  <si>
    <t>152255</t>
  </si>
  <si>
    <t>Stinking Creek 0314</t>
  </si>
  <si>
    <t>152266</t>
  </si>
  <si>
    <t>SCADA PRIVATE NTWK_KU_2016</t>
  </si>
  <si>
    <t>152270</t>
  </si>
  <si>
    <t>RICHMOND BO PAVE LOT</t>
  </si>
  <si>
    <t>152271KU</t>
  </si>
  <si>
    <t>TC2 ID FAN REFURBISHMENT</t>
  </si>
  <si>
    <t>152273KU</t>
  </si>
  <si>
    <t>TC2 FD FAN REBUILD</t>
  </si>
  <si>
    <t>152275</t>
  </si>
  <si>
    <t>GH3 Gen Dual Tower H2 Dryer</t>
  </si>
  <si>
    <t>152329</t>
  </si>
  <si>
    <t>N.A.S. Secondary Containment</t>
  </si>
  <si>
    <t>152339</t>
  </si>
  <si>
    <t>MORGANFIELD FITNESS CENTER</t>
  </si>
  <si>
    <t>152341</t>
  </si>
  <si>
    <t>PINEVILLE FITNESS CENTER</t>
  </si>
  <si>
    <t>152343</t>
  </si>
  <si>
    <t>STONE RD FITNESS CENTER</t>
  </si>
  <si>
    <t>152345</t>
  </si>
  <si>
    <t>Highway 421</t>
  </si>
  <si>
    <t>152358</t>
  </si>
  <si>
    <t>TEP-Hardin Co Xfmr Add-P&amp;C</t>
  </si>
  <si>
    <t>152359</t>
  </si>
  <si>
    <t>CARPORT BARLOW</t>
  </si>
  <si>
    <t>152360</t>
  </si>
  <si>
    <t>CARPET DIX DAM</t>
  </si>
  <si>
    <t>152361</t>
  </si>
  <si>
    <t>PAVING GEORGETOWN 2017</t>
  </si>
  <si>
    <t>152363</t>
  </si>
  <si>
    <t>PAVING MT STERLING STOREROOM</t>
  </si>
  <si>
    <t>152368</t>
  </si>
  <si>
    <t>STOREROOM ROOF DAWSON SPRINGS</t>
  </si>
  <si>
    <t>152377</t>
  </si>
  <si>
    <t>BR Process Water</t>
  </si>
  <si>
    <t>152379</t>
  </si>
  <si>
    <t>GH Process Water</t>
  </si>
  <si>
    <t>152385</t>
  </si>
  <si>
    <t>TC KU Process Water</t>
  </si>
  <si>
    <t>152399</t>
  </si>
  <si>
    <t>PAVING DANVILLE</t>
  </si>
  <si>
    <t>152401</t>
  </si>
  <si>
    <t>Green River C&amp;P/Switch Rpl</t>
  </si>
  <si>
    <t>152478</t>
  </si>
  <si>
    <t>Lonesome Pine Sub Property</t>
  </si>
  <si>
    <t>152558</t>
  </si>
  <si>
    <t>Earlington Capital Tools 2017</t>
  </si>
  <si>
    <t>152559</t>
  </si>
  <si>
    <t>Danville Cap Tools 2017-2019</t>
  </si>
  <si>
    <t>152560</t>
  </si>
  <si>
    <t>Richmond Cap Tools 2017-2019</t>
  </si>
  <si>
    <t>152562</t>
  </si>
  <si>
    <t>Etown Cap Tools 2017-2019</t>
  </si>
  <si>
    <t>152565</t>
  </si>
  <si>
    <t>Maysville Cap Tools 2017-2019</t>
  </si>
  <si>
    <t>152566</t>
  </si>
  <si>
    <t>Lexington Cap Tools 2017-2019</t>
  </si>
  <si>
    <t>152589</t>
  </si>
  <si>
    <t>Corbin US Steel Substation</t>
  </si>
  <si>
    <t>152591</t>
  </si>
  <si>
    <t>London Cap Tools 2017-2019</t>
  </si>
  <si>
    <t>152593</t>
  </si>
  <si>
    <t>St Charles Sub Reg/Pier Rep</t>
  </si>
  <si>
    <t>152596</t>
  </si>
  <si>
    <t>DSP Moorman 2.4KV to 7.2KV</t>
  </si>
  <si>
    <t>152599</t>
  </si>
  <si>
    <t>DSP Paris Circuit 805</t>
  </si>
  <si>
    <t>152608</t>
  </si>
  <si>
    <t>TEP-Matanzas-Wilson Riser Rpl</t>
  </si>
  <si>
    <t>152623</t>
  </si>
  <si>
    <t>West Lexington #3 Bushing Rpl</t>
  </si>
  <si>
    <t>152725</t>
  </si>
  <si>
    <t>Penn Gap Pole Trailer</t>
  </si>
  <si>
    <t>152747</t>
  </si>
  <si>
    <t>STONE RD ADM BLDG ROOF REPL</t>
  </si>
  <si>
    <t>152756</t>
  </si>
  <si>
    <t>GH 1-2 CWP Major Overhaul</t>
  </si>
  <si>
    <t>152758</t>
  </si>
  <si>
    <t>Black Branch Rd Ckt</t>
  </si>
  <si>
    <t>152792</t>
  </si>
  <si>
    <t>Richmond N. Sub</t>
  </si>
  <si>
    <t>152806</t>
  </si>
  <si>
    <t>GH 2-1 BCWP Major Overhaul '17</t>
  </si>
  <si>
    <t>152818</t>
  </si>
  <si>
    <t>KU Dist Capacitors</t>
  </si>
  <si>
    <t>152820</t>
  </si>
  <si>
    <t>DSP Viley 2 Dist</t>
  </si>
  <si>
    <t>152825</t>
  </si>
  <si>
    <t>GH 1-2 LPSW Pump Mjr Overhaul</t>
  </si>
  <si>
    <t>152826</t>
  </si>
  <si>
    <t>Transfer for Lex Plant Pisgah</t>
  </si>
  <si>
    <t>152833</t>
  </si>
  <si>
    <t>GH Electric Shop Addition</t>
  </si>
  <si>
    <t>152865</t>
  </si>
  <si>
    <t>N1DT STR Stonewall 2 Dist</t>
  </si>
  <si>
    <t>152883</t>
  </si>
  <si>
    <t>GH4 Hydrogen Dryer</t>
  </si>
  <si>
    <t>152888</t>
  </si>
  <si>
    <t>GH2 Hydrogen Dryer</t>
  </si>
  <si>
    <t>152891</t>
  </si>
  <si>
    <t>GH4 Hydrogen Coolers</t>
  </si>
  <si>
    <t>152894</t>
  </si>
  <si>
    <t>GH2 Hydrogen Coolers</t>
  </si>
  <si>
    <t>152898</t>
  </si>
  <si>
    <t>BR CCR Rule New Construction</t>
  </si>
  <si>
    <t>152899</t>
  </si>
  <si>
    <t>GH CCR Rule New Construction</t>
  </si>
  <si>
    <t>152903</t>
  </si>
  <si>
    <t>TC CCR New Construction KU</t>
  </si>
  <si>
    <t>152907</t>
  </si>
  <si>
    <t>MAYSVILLE WIRE SHED - 2017</t>
  </si>
  <si>
    <t>152971</t>
  </si>
  <si>
    <t>Earlington N 634 Brkr Overhaul</t>
  </si>
  <si>
    <t>152983</t>
  </si>
  <si>
    <t>Bonds Mill Relay Rpl</t>
  </si>
  <si>
    <t>153004KU</t>
  </si>
  <si>
    <t>TC2 KU A CEM DATA LOG CHANGE</t>
  </si>
  <si>
    <t>153005KU</t>
  </si>
  <si>
    <t>TC2 KU B CEM DATA LOG CHANGE</t>
  </si>
  <si>
    <t>153006KU</t>
  </si>
  <si>
    <t>TCCT KU CEM DATA LOG CHANGE</t>
  </si>
  <si>
    <t>153015KU</t>
  </si>
  <si>
    <t>TC2 KU A CEM PM CHANGEOUT</t>
  </si>
  <si>
    <t>153016KU</t>
  </si>
  <si>
    <t>TC2 KU B CEM PM CHANGEOUT</t>
  </si>
  <si>
    <t>153026</t>
  </si>
  <si>
    <t>Green River SPCC</t>
  </si>
  <si>
    <t>153053KU</t>
  </si>
  <si>
    <t>TC2 KU GEN EXITATION REPL</t>
  </si>
  <si>
    <t>153058</t>
  </si>
  <si>
    <t>Moorman 2.4kv to 7.2kv</t>
  </si>
  <si>
    <t>153062</t>
  </si>
  <si>
    <t>DANVILLE POLE YARD EXPANSION</t>
  </si>
  <si>
    <t>153064</t>
  </si>
  <si>
    <t>DANVILLE SHED &amp; ROOF EXT</t>
  </si>
  <si>
    <t>153068</t>
  </si>
  <si>
    <t>REL Lebanon S Motor Add</t>
  </si>
  <si>
    <t>153069KU</t>
  </si>
  <si>
    <t>TC KU REPL B CHILLER</t>
  </si>
  <si>
    <t>153073</t>
  </si>
  <si>
    <t>REL Cynthiana S MOS 569-605</t>
  </si>
  <si>
    <t>153073KU</t>
  </si>
  <si>
    <t>TC FUEL HANDLING DOZER-</t>
  </si>
  <si>
    <t>153097KU</t>
  </si>
  <si>
    <t>TC CT KU REBUILD EXH EXP JNTS</t>
  </si>
  <si>
    <t>153113</t>
  </si>
  <si>
    <t>GH 3-2 Air Heater Expansion Jt</t>
  </si>
  <si>
    <t>153115</t>
  </si>
  <si>
    <t>London Transmission Line Cl</t>
  </si>
  <si>
    <t>153175</t>
  </si>
  <si>
    <t>BR3 Mercury Monitor</t>
  </si>
  <si>
    <t>153178</t>
  </si>
  <si>
    <t>Corbin Steel Distribution</t>
  </si>
  <si>
    <t>153208</t>
  </si>
  <si>
    <t>BRCT8 AVR Upgrade</t>
  </si>
  <si>
    <t>153210</t>
  </si>
  <si>
    <t>BRCT9 AVR Upgrade</t>
  </si>
  <si>
    <t>153211</t>
  </si>
  <si>
    <t>BRCT10 AVR Upgrade</t>
  </si>
  <si>
    <t>153212</t>
  </si>
  <si>
    <t>PIN-Grahamville 834 Switch Rpl</t>
  </si>
  <si>
    <t>153230</t>
  </si>
  <si>
    <t>POR-Lansdowne Brkr CT Rpl</t>
  </si>
  <si>
    <t>153232</t>
  </si>
  <si>
    <t>POR-Loudon 644 Brkr CT Rpl</t>
  </si>
  <si>
    <t>153256</t>
  </si>
  <si>
    <t>PBU-Haefling 718-4 Bushing Rpl</t>
  </si>
  <si>
    <t>153261</t>
  </si>
  <si>
    <t>White Plains tie Nortonville</t>
  </si>
  <si>
    <t>153269</t>
  </si>
  <si>
    <t>GH CHA 4KV Feed Cable</t>
  </si>
  <si>
    <t>153279</t>
  </si>
  <si>
    <t>ROR-KU SPARE CCVT-2016</t>
  </si>
  <si>
    <t>153288</t>
  </si>
  <si>
    <t>Etown Trailer</t>
  </si>
  <si>
    <t>153337</t>
  </si>
  <si>
    <t>GH 2-1 CWP Discharge Vlve Repl</t>
  </si>
  <si>
    <t>153338</t>
  </si>
  <si>
    <t>POR-Elihu Winding Gauge Rpl</t>
  </si>
  <si>
    <t>153346</t>
  </si>
  <si>
    <t>PR Brown CT-Bardstown</t>
  </si>
  <si>
    <t>153347</t>
  </si>
  <si>
    <t>PR Clinton-South Paducah</t>
  </si>
  <si>
    <t>153348</t>
  </si>
  <si>
    <t>PR Crittenden County Tap</t>
  </si>
  <si>
    <t>153349</t>
  </si>
  <si>
    <t>PR Leitchfield-Stephensburg</t>
  </si>
  <si>
    <t>153351</t>
  </si>
  <si>
    <t>PR Adams-Millersburg</t>
  </si>
  <si>
    <t>153362</t>
  </si>
  <si>
    <t>MS 2016 KU 2210 Meter Tester</t>
  </si>
  <si>
    <t>153363</t>
  </si>
  <si>
    <t>PR Indian Hill-Ohio County</t>
  </si>
  <si>
    <t>153367</t>
  </si>
  <si>
    <t>GH 3-2 Pulv Gearbox 17</t>
  </si>
  <si>
    <t>153369</t>
  </si>
  <si>
    <t>GH 4-1 Trav Wtr Screen Rebuild</t>
  </si>
  <si>
    <t>153378</t>
  </si>
  <si>
    <t>GHENT VEHICLES 2016</t>
  </si>
  <si>
    <t>153382</t>
  </si>
  <si>
    <t>Stone Road Renovation</t>
  </si>
  <si>
    <t>153388</t>
  </si>
  <si>
    <t>BR Remote Controlled Mower</t>
  </si>
  <si>
    <t>153391KU</t>
  </si>
  <si>
    <t>TC CATHODIC PROTECTION 2016</t>
  </si>
  <si>
    <t>153405</t>
  </si>
  <si>
    <t>GH4 Pyrite Line Repl 2016</t>
  </si>
  <si>
    <t>153418</t>
  </si>
  <si>
    <t>ROR-KU Spare Switches-2016</t>
  </si>
  <si>
    <t>153420</t>
  </si>
  <si>
    <t>RFN-Adams Fence Rpl</t>
  </si>
  <si>
    <t>153422</t>
  </si>
  <si>
    <t>Kentenia Sub Upgrade</t>
  </si>
  <si>
    <t>153427</t>
  </si>
  <si>
    <t>REL-Rockwell MOS</t>
  </si>
  <si>
    <t>153443</t>
  </si>
  <si>
    <t>GH 1-2 Lift Station Flow Mtrs</t>
  </si>
  <si>
    <t>153446</t>
  </si>
  <si>
    <t>BR2-1 BFP Overhaul</t>
  </si>
  <si>
    <t>153457</t>
  </si>
  <si>
    <t>BR2-1 Condensate Pump Overhaul</t>
  </si>
  <si>
    <t>153472 KU</t>
  </si>
  <si>
    <t>CR7 Chemical Storage Tank  KU</t>
  </si>
  <si>
    <t>153476</t>
  </si>
  <si>
    <t>Middlesboro Pole Rack-KU16</t>
  </si>
  <si>
    <t>153491</t>
  </si>
  <si>
    <t>Soden Hills Underground</t>
  </si>
  <si>
    <t>153492</t>
  </si>
  <si>
    <t>GH Station Lab Renovation</t>
  </si>
  <si>
    <t>153496</t>
  </si>
  <si>
    <t>CIP IP Connectivity - KU</t>
  </si>
  <si>
    <t>153505</t>
  </si>
  <si>
    <t>GH3 Varnish Removal Skid</t>
  </si>
  <si>
    <t>153507</t>
  </si>
  <si>
    <t>PBU-Rogersville Bushing Rpl</t>
  </si>
  <si>
    <t>153518</t>
  </si>
  <si>
    <t>TEP-Farmers Xfrmr Upgrade</t>
  </si>
  <si>
    <t>153519</t>
  </si>
  <si>
    <t>DSP Black Branch Rd Sub 2477</t>
  </si>
  <si>
    <t>153527</t>
  </si>
  <si>
    <t>KU Distribution Automation</t>
  </si>
  <si>
    <t>153539</t>
  </si>
  <si>
    <t>OMN-Tyrone TR1 Monitor</t>
  </si>
  <si>
    <t>153540</t>
  </si>
  <si>
    <t>OMN-Harlan Y TR1 Monitor</t>
  </si>
  <si>
    <t>153548</t>
  </si>
  <si>
    <t>Single Phase Spare Transformer</t>
  </si>
  <si>
    <t>153549</t>
  </si>
  <si>
    <t>Replace LTC Detroit Harvester</t>
  </si>
  <si>
    <t>153552</t>
  </si>
  <si>
    <t>Norton Oil Spill Protection</t>
  </si>
  <si>
    <t>153559</t>
  </si>
  <si>
    <t>FBR-Ghent 926 Brkr Rpl</t>
  </si>
  <si>
    <t>153562</t>
  </si>
  <si>
    <t>DCC ENHANCEMENT KU</t>
  </si>
  <si>
    <t>153563</t>
  </si>
  <si>
    <t>PFN-Wickliffe Xfmr Fan Rpl</t>
  </si>
  <si>
    <t>153565</t>
  </si>
  <si>
    <t>GH 2-1 PA Fan Var Inlet Vane</t>
  </si>
  <si>
    <t>153568</t>
  </si>
  <si>
    <t>GH Limestone Runoff Sump Pump</t>
  </si>
  <si>
    <t>153573</t>
  </si>
  <si>
    <t>Danville Pole Inspection 2017</t>
  </si>
  <si>
    <t>153574</t>
  </si>
  <si>
    <t>Earlington Pole Inspect 2017</t>
  </si>
  <si>
    <t>153576</t>
  </si>
  <si>
    <t>Elizabethtown Pole Ins 2017</t>
  </si>
  <si>
    <t>153577</t>
  </si>
  <si>
    <t>Lexington Pole Inspect 2017</t>
  </si>
  <si>
    <t>153578</t>
  </si>
  <si>
    <t>Norton Pole Inspection 2017</t>
  </si>
  <si>
    <t>153579</t>
  </si>
  <si>
    <t>Pineville Pole Inspection 2017</t>
  </si>
  <si>
    <t>153580</t>
  </si>
  <si>
    <t>Maysville Pole Inspection 2017</t>
  </si>
  <si>
    <t>153581</t>
  </si>
  <si>
    <t>London Pole Inspection 2017</t>
  </si>
  <si>
    <t>153582</t>
  </si>
  <si>
    <t>Richmond Pole Inspection 2017</t>
  </si>
  <si>
    <t>153583</t>
  </si>
  <si>
    <t>GH 3-1 CWP Major Overhaul</t>
  </si>
  <si>
    <t>153590</t>
  </si>
  <si>
    <t>ROR-Spare Xfrm 2016-KU</t>
  </si>
  <si>
    <t>153592</t>
  </si>
  <si>
    <t>GH1 GSU High Side Bushing Repl</t>
  </si>
  <si>
    <t>153593</t>
  </si>
  <si>
    <t>Spare 138/69 185MVA Xfrmr-2016</t>
  </si>
  <si>
    <t>153595</t>
  </si>
  <si>
    <t>PR West Frankfort-Shelbyville</t>
  </si>
  <si>
    <t>153596</t>
  </si>
  <si>
    <t>BR Library HVAC Repl</t>
  </si>
  <si>
    <t>153597</t>
  </si>
  <si>
    <t>BR3 BCWPG02 Rewind/Refurb 2017</t>
  </si>
  <si>
    <t>153598</t>
  </si>
  <si>
    <t>BR Landfill Capping 2016-17</t>
  </si>
  <si>
    <t>153616</t>
  </si>
  <si>
    <t>GH LAND PWS ELG</t>
  </si>
  <si>
    <t>153621</t>
  </si>
  <si>
    <t>Matanzas-Hardinsburg Riser Rpl</t>
  </si>
  <si>
    <t>153625</t>
  </si>
  <si>
    <t>GH2 Mill Hot Air Gates Repl</t>
  </si>
  <si>
    <t>153626</t>
  </si>
  <si>
    <t>SIMPSONVILLE CRAC UNITS</t>
  </si>
  <si>
    <t>153628</t>
  </si>
  <si>
    <t>SIMPSONVILLE CRAC IT KU</t>
  </si>
  <si>
    <t>153632</t>
  </si>
  <si>
    <t>Green River-Erlng No 69kV LTG</t>
  </si>
  <si>
    <t>153638KU</t>
  </si>
  <si>
    <t>TC RESIDENT OFFICE CONSTR</t>
  </si>
  <si>
    <t>153640KU</t>
  </si>
  <si>
    <t>TC I/E SHOP OFFICE SPACE</t>
  </si>
  <si>
    <t>153642</t>
  </si>
  <si>
    <t>REL UK West MOS</t>
  </si>
  <si>
    <t>153643</t>
  </si>
  <si>
    <t>REL Corbin US Steel MOS</t>
  </si>
  <si>
    <t>153644</t>
  </si>
  <si>
    <t>BR3 Exciter Rewind</t>
  </si>
  <si>
    <t>153648</t>
  </si>
  <si>
    <t>SHELBYVILLE BUS OFF PAVING</t>
  </si>
  <si>
    <t>153657</t>
  </si>
  <si>
    <t>GH Crusher House Lighting</t>
  </si>
  <si>
    <t>153658</t>
  </si>
  <si>
    <t>GH1 West Coal Conv Rm Lighting</t>
  </si>
  <si>
    <t>153668</t>
  </si>
  <si>
    <t>PBR-Bardstown Sw 69kV Brkr Rpl</t>
  </si>
  <si>
    <t>153669</t>
  </si>
  <si>
    <t>PBR-River Queen 69kV Brkr Rpl</t>
  </si>
  <si>
    <t>153675KU</t>
  </si>
  <si>
    <t>GS SL UPS</t>
  </si>
  <si>
    <t>153676</t>
  </si>
  <si>
    <t>GH MH110Z CCR Belt Repl 2017</t>
  </si>
  <si>
    <t>153677</t>
  </si>
  <si>
    <t>GH MH111ZA CCR ConvBelt Repl17</t>
  </si>
  <si>
    <t>153678</t>
  </si>
  <si>
    <t>GH MH111ZB CCR ConvBelt Repl17</t>
  </si>
  <si>
    <t>153683KU</t>
  </si>
  <si>
    <t>GS CDM SUBSTATION CALLBOX KU</t>
  </si>
  <si>
    <t>153684</t>
  </si>
  <si>
    <t>EARLINGTON STOREROOM RENO</t>
  </si>
  <si>
    <t>153688KU</t>
  </si>
  <si>
    <t>GS CDM CALLBOX HYDRO</t>
  </si>
  <si>
    <t>153690KU</t>
  </si>
  <si>
    <t>Gas Monitoring Cameras KU</t>
  </si>
  <si>
    <t>153702</t>
  </si>
  <si>
    <t>Lexington Derrick Digger</t>
  </si>
  <si>
    <t>153703KU</t>
  </si>
  <si>
    <t>GS GE Alloy Analyzer KU 2016</t>
  </si>
  <si>
    <t>153706</t>
  </si>
  <si>
    <t>FTR-Earlington N Xfmr Rpl</t>
  </si>
  <si>
    <t>153710</t>
  </si>
  <si>
    <t>GH 3-1 Air Compressor Motor</t>
  </si>
  <si>
    <t>153715</t>
  </si>
  <si>
    <t>Pineville Tower</t>
  </si>
  <si>
    <t>153727</t>
  </si>
  <si>
    <t>CIP Intrusion Detect Trans KU</t>
  </si>
  <si>
    <t>153729</t>
  </si>
  <si>
    <t>CIP Intrusion Detect IT KU</t>
  </si>
  <si>
    <t>153739</t>
  </si>
  <si>
    <t>GH LS Prep Mill Gearbox</t>
  </si>
  <si>
    <t>153741</t>
  </si>
  <si>
    <t>ESR Wilmore Tap Switch</t>
  </si>
  <si>
    <t>153743</t>
  </si>
  <si>
    <t>GH 6G Conveyor Belt Repl 17</t>
  </si>
  <si>
    <t>153747</t>
  </si>
  <si>
    <t>Evarts 4476 Ckt Hard</t>
  </si>
  <si>
    <t>153748KU</t>
  </si>
  <si>
    <t>TC2 ID FAN OVERHAUL 2017</t>
  </si>
  <si>
    <t>153753</t>
  </si>
  <si>
    <t>ROR-Spare 150 MVA Xfrmr-Pine</t>
  </si>
  <si>
    <t>153765KU</t>
  </si>
  <si>
    <t>TC2 MS BYPASS VALVE OH</t>
  </si>
  <si>
    <t>153772</t>
  </si>
  <si>
    <t>Caron 0210 Ckt Hard 2017</t>
  </si>
  <si>
    <t>153774</t>
  </si>
  <si>
    <t>MUNFORDVILLE TR REPLACE</t>
  </si>
  <si>
    <t>153776</t>
  </si>
  <si>
    <t>Corbin East 0279 Ckt Hard 2017</t>
  </si>
  <si>
    <t>153777</t>
  </si>
  <si>
    <t>Liberty Ckt Tie Ckt Hard 2017</t>
  </si>
  <si>
    <t>153779</t>
  </si>
  <si>
    <t>Shawnee Gas 4402 Ckt Hard 2017</t>
  </si>
  <si>
    <t>153783</t>
  </si>
  <si>
    <t>Harlan Y 4412 Ckt Hard 2017</t>
  </si>
  <si>
    <t>153784</t>
  </si>
  <si>
    <t>Muhlenberg Prison Ckt Hard '17</t>
  </si>
  <si>
    <t>153786</t>
  </si>
  <si>
    <t>BR2 Reheat Spray Valve Repl</t>
  </si>
  <si>
    <t>153787</t>
  </si>
  <si>
    <t>GH1 APHC Heat Exchanger Repl17</t>
  </si>
  <si>
    <t>153788</t>
  </si>
  <si>
    <t>Danville East 2113 CIFI 2017</t>
  </si>
  <si>
    <t>153789</t>
  </si>
  <si>
    <t>Eddyville 1503 CIFI 2017</t>
  </si>
  <si>
    <t>153790</t>
  </si>
  <si>
    <t>Etown 2 2411 CIFI 2017</t>
  </si>
  <si>
    <t>153793</t>
  </si>
  <si>
    <t>Alexander 0515 CIFI 2017</t>
  </si>
  <si>
    <t>153795</t>
  </si>
  <si>
    <t>Midway 0516 CIFI 2017</t>
  </si>
  <si>
    <t>153797</t>
  </si>
  <si>
    <t>Hopewell 0285 CIFI 2017</t>
  </si>
  <si>
    <t>153798</t>
  </si>
  <si>
    <t>Wedonia 0966 KU CIFI 2017</t>
  </si>
  <si>
    <t>153799</t>
  </si>
  <si>
    <t>Big Stone Gap 4704 CIFI 2017</t>
  </si>
  <si>
    <t>153802</t>
  </si>
  <si>
    <t>Taylorsville 2529 KU CIFI 2017</t>
  </si>
  <si>
    <t>153803</t>
  </si>
  <si>
    <t>Fairfield 2503 KU CIFI 2017</t>
  </si>
  <si>
    <t>153804</t>
  </si>
  <si>
    <t>London 0204 KU CIFI 2017</t>
  </si>
  <si>
    <t>153805</t>
  </si>
  <si>
    <t>BR3 Air Tugger</t>
  </si>
  <si>
    <t>153809</t>
  </si>
  <si>
    <t>BR Diesel Fuel Tank</t>
  </si>
  <si>
    <t>153811</t>
  </si>
  <si>
    <t>SODEN HILL PHASES 2&amp;3</t>
  </si>
  <si>
    <t>153816</t>
  </si>
  <si>
    <t>Beattyville Hwy 52</t>
  </si>
  <si>
    <t>153817</t>
  </si>
  <si>
    <t>Etown Tap Line Program 2017</t>
  </si>
  <si>
    <t>153818</t>
  </si>
  <si>
    <t>Joyland 0099 KU CIFI 2017</t>
  </si>
  <si>
    <t>153823</t>
  </si>
  <si>
    <t>PR Wickliffe-Clinton</t>
  </si>
  <si>
    <t>153826KU</t>
  </si>
  <si>
    <t>KU Tech Trng Center</t>
  </si>
  <si>
    <t>153830</t>
  </si>
  <si>
    <t>AMS SAP Security KU</t>
  </si>
  <si>
    <t>153838</t>
  </si>
  <si>
    <t>PR Fawkes-Clark County</t>
  </si>
  <si>
    <t>153839</t>
  </si>
  <si>
    <t>PR Somerset North-Stanford</t>
  </si>
  <si>
    <t>153847</t>
  </si>
  <si>
    <t>BR Limestone Gearbox Rebuild</t>
  </si>
  <si>
    <t>153859</t>
  </si>
  <si>
    <t>KU HW/SW ASSET MGMT 2017</t>
  </si>
  <si>
    <t>153861</t>
  </si>
  <si>
    <t>POR-GRPP AC System Rpl</t>
  </si>
  <si>
    <t>153869</t>
  </si>
  <si>
    <t>EARLINGTON WIRE SHED</t>
  </si>
  <si>
    <t>153870</t>
  </si>
  <si>
    <t>GH1 CT Bypass Sparger Pipe</t>
  </si>
  <si>
    <t>153876</t>
  </si>
  <si>
    <t>GH4 Coal Feeder Inlet Valves</t>
  </si>
  <si>
    <t>153887</t>
  </si>
  <si>
    <t>GH1 Main Condenser Exp Jt Repl</t>
  </si>
  <si>
    <t>153904</t>
  </si>
  <si>
    <t>GH4 CT Fan Spare Gearbox</t>
  </si>
  <si>
    <t>153908</t>
  </si>
  <si>
    <t>GH1 &amp; GH2 CT Fan Spare Gearbox</t>
  </si>
  <si>
    <t>153920</t>
  </si>
  <si>
    <t>TL Comp-Rel Hardware-KU</t>
  </si>
  <si>
    <t>153921</t>
  </si>
  <si>
    <t>Danville Office-2nd Floor UPG</t>
  </si>
  <si>
    <t>153922</t>
  </si>
  <si>
    <t>PR Carrollton-East Frankfort</t>
  </si>
  <si>
    <t>153924</t>
  </si>
  <si>
    <t>Middlesboro 0372 CEMI 2017</t>
  </si>
  <si>
    <t>153944</t>
  </si>
  <si>
    <t>PR Millersburg-Murphysville</t>
  </si>
  <si>
    <t>153945</t>
  </si>
  <si>
    <t>RICHMOND STOREROOM</t>
  </si>
  <si>
    <t>153948</t>
  </si>
  <si>
    <t>STONE RD BATHROOM RENO</t>
  </si>
  <si>
    <t>153949</t>
  </si>
  <si>
    <t>SHELBYVILLE BO RENO 2017</t>
  </si>
  <si>
    <t>153950</t>
  </si>
  <si>
    <t>CARROLLTON STOREROOM RENO</t>
  </si>
  <si>
    <t>153951</t>
  </si>
  <si>
    <t>PR Manchester-London</t>
  </si>
  <si>
    <t>153952</t>
  </si>
  <si>
    <t>Pineville Cargo Trailer</t>
  </si>
  <si>
    <t>153953</t>
  </si>
  <si>
    <t>BR CY Control Room HVAC Repl</t>
  </si>
  <si>
    <t>153954</t>
  </si>
  <si>
    <t>TEP Princeton-Walker</t>
  </si>
  <si>
    <t>153962KU</t>
  </si>
  <si>
    <t>TC SAFETY/ERT 2017</t>
  </si>
  <si>
    <t>153964KU</t>
  </si>
  <si>
    <t>TC1 &amp; COMM 480V BREAK UPG 2017</t>
  </si>
  <si>
    <t>153970</t>
  </si>
  <si>
    <t>LGE CTR 23 CONF CTR AV KU</t>
  </si>
  <si>
    <t>153976</t>
  </si>
  <si>
    <t>FACILTIES CAPACITY FURN KU</t>
  </si>
  <si>
    <t>153998KU</t>
  </si>
  <si>
    <t>TC LAB EQUIPMENT 2017</t>
  </si>
  <si>
    <t>153KU16</t>
  </si>
  <si>
    <t>Tertiary Data Domain-KU16</t>
  </si>
  <si>
    <t>154000</t>
  </si>
  <si>
    <t>Elk Creek URD Replacement</t>
  </si>
  <si>
    <t>154001KU</t>
  </si>
  <si>
    <t>TC LAB MONITORS 2017</t>
  </si>
  <si>
    <t>154003KU</t>
  </si>
  <si>
    <t>TC PREDICTIVE MAINT DEV 2017</t>
  </si>
  <si>
    <t>154005</t>
  </si>
  <si>
    <t>GH 6H Conveyor Belt Repl 17</t>
  </si>
  <si>
    <t>154006</t>
  </si>
  <si>
    <t>GH 1-1 LPSW Strainer Repl</t>
  </si>
  <si>
    <t>154007</t>
  </si>
  <si>
    <t>GH1 Economizer Outlet Exp Jt</t>
  </si>
  <si>
    <t>154008</t>
  </si>
  <si>
    <t>BRCT9 COOLING WATER PUMPS</t>
  </si>
  <si>
    <t>154009</t>
  </si>
  <si>
    <t>SHELBYVILLE SR RENO 2017</t>
  </si>
  <si>
    <t>154010</t>
  </si>
  <si>
    <t>PARIS SR RENO 2017</t>
  </si>
  <si>
    <t>154012</t>
  </si>
  <si>
    <t>DANVILLE BO 2ND FLOOR RENO</t>
  </si>
  <si>
    <t>154014</t>
  </si>
  <si>
    <t>AMS MAM System 2017 KU</t>
  </si>
  <si>
    <t>154032</t>
  </si>
  <si>
    <t>Earlington CEMI 2017</t>
  </si>
  <si>
    <t>154033</t>
  </si>
  <si>
    <t>GH1 MTOR Cooler Head</t>
  </si>
  <si>
    <t>154036</t>
  </si>
  <si>
    <t>AMS Device Management 2017 KU</t>
  </si>
  <si>
    <t>154039</t>
  </si>
  <si>
    <t>GH Hydrogen Generator Replace</t>
  </si>
  <si>
    <t>154041</t>
  </si>
  <si>
    <t>REPLACE SCHOLLS XFRM</t>
  </si>
  <si>
    <t>154048</t>
  </si>
  <si>
    <t>Adams Ground Grid Rpl</t>
  </si>
  <si>
    <t>154051</t>
  </si>
  <si>
    <t>PAR-American Ave GG Rpl</t>
  </si>
  <si>
    <t>154053KU</t>
  </si>
  <si>
    <t>TC2 COAL FLOW ANALYZERS 2017</t>
  </si>
  <si>
    <t>154055KU</t>
  </si>
  <si>
    <t>TC SITE PAVING 2017</t>
  </si>
  <si>
    <t>154062KU</t>
  </si>
  <si>
    <t>TC2 COOLING TOWER MAKEUP</t>
  </si>
  <si>
    <t>154064KU</t>
  </si>
  <si>
    <t>TC DCS ROOM RENOVATION</t>
  </si>
  <si>
    <t>154067KU</t>
  </si>
  <si>
    <t>TC MOORING CELL REFURBISHMENT</t>
  </si>
  <si>
    <t>154071KU</t>
  </si>
  <si>
    <t>TC 3 PHASE TEST SET</t>
  </si>
  <si>
    <t>154073KU</t>
  </si>
  <si>
    <t>TC CT SPARE TURNING GEAR MTR</t>
  </si>
  <si>
    <t>154075</t>
  </si>
  <si>
    <t>Alexander 0500 CEMI 2017</t>
  </si>
  <si>
    <t>154076</t>
  </si>
  <si>
    <t>Purchase Garage Equip KU</t>
  </si>
  <si>
    <t>154077</t>
  </si>
  <si>
    <t>RSC-Ghent Phys Sec Upgr</t>
  </si>
  <si>
    <t>154078</t>
  </si>
  <si>
    <t>ROR-Spare KU PT 2017</t>
  </si>
  <si>
    <t>154079</t>
  </si>
  <si>
    <t>ETOWN UTILITY VEHICLE</t>
  </si>
  <si>
    <t>154085</t>
  </si>
  <si>
    <t>GH3 Partial Vertical RH Rpl17</t>
  </si>
  <si>
    <t>154086</t>
  </si>
  <si>
    <t>PR Pittsburg-Lancaster</t>
  </si>
  <si>
    <t>154087</t>
  </si>
  <si>
    <t>LEXOC TR LN CLR 17 W.LEX-HAEF</t>
  </si>
  <si>
    <t>154088KU</t>
  </si>
  <si>
    <t>TC OVATION SECURITY CTR 2017</t>
  </si>
  <si>
    <t>154093</t>
  </si>
  <si>
    <t>Distribution Auto KU 2017</t>
  </si>
  <si>
    <t>154096</t>
  </si>
  <si>
    <t>IT Distribution Automation KU</t>
  </si>
  <si>
    <t>154103</t>
  </si>
  <si>
    <t>GH CY Sample House Lighting</t>
  </si>
  <si>
    <t>154104</t>
  </si>
  <si>
    <t>GH 2-2 PA Fan Var Inlet Vane</t>
  </si>
  <si>
    <t>154105</t>
  </si>
  <si>
    <t>CKT 2522 TRANS UNDERBLD</t>
  </si>
  <si>
    <t>154109</t>
  </si>
  <si>
    <t>GH3 Turbine IP Diaphragm Repl</t>
  </si>
  <si>
    <t>154110</t>
  </si>
  <si>
    <t>RED BIRD RELOCATION</t>
  </si>
  <si>
    <t>154116</t>
  </si>
  <si>
    <t>NB CK 0161 UPGR (LAWRENCEBURG)</t>
  </si>
  <si>
    <t>154118</t>
  </si>
  <si>
    <t>KU Barton Sub Expansion</t>
  </si>
  <si>
    <t>154119</t>
  </si>
  <si>
    <t>UG Williamsburg Trailer Park</t>
  </si>
  <si>
    <t>154138</t>
  </si>
  <si>
    <t>E Brannon Rd Ext Hwy Relo</t>
  </si>
  <si>
    <t>154139</t>
  </si>
  <si>
    <t>BRCT Ground Wells</t>
  </si>
  <si>
    <t>154140</t>
  </si>
  <si>
    <t>GH 1L4 Conveyor Belt Repl 17</t>
  </si>
  <si>
    <t>154141</t>
  </si>
  <si>
    <t>GH Spare Transport Blower</t>
  </si>
  <si>
    <t>154143</t>
  </si>
  <si>
    <t>RFN-Hillside Fence Rpl</t>
  </si>
  <si>
    <t>154144</t>
  </si>
  <si>
    <t>RFN-Leitchfield Fence Rpl</t>
  </si>
  <si>
    <t>154146</t>
  </si>
  <si>
    <t>RFN-Indian Hill Fence Rpl</t>
  </si>
  <si>
    <t>154147</t>
  </si>
  <si>
    <t>RFN-West Lex Fence Rpl</t>
  </si>
  <si>
    <t>154153</t>
  </si>
  <si>
    <t>Earlington-Dist Racks-KU17</t>
  </si>
  <si>
    <t>154155</t>
  </si>
  <si>
    <t>Elizabethtown Dist Racks-KU17</t>
  </si>
  <si>
    <t>154156KU</t>
  </si>
  <si>
    <t>TC2 EXCITE TRANSFORM REPL 2017</t>
  </si>
  <si>
    <t>154159KU</t>
  </si>
  <si>
    <t>TC CT OVAT SECURITY CENTER</t>
  </si>
  <si>
    <t>154162</t>
  </si>
  <si>
    <t>GH1 Gen H2Cooler Pipe Relocate</t>
  </si>
  <si>
    <t>154163</t>
  </si>
  <si>
    <t>RSC-Hardin Co Phys Sec Upgr</t>
  </si>
  <si>
    <t>154166</t>
  </si>
  <si>
    <t>REPLACE FLOOR LGE CTR 12 KU</t>
  </si>
  <si>
    <t>154178</t>
  </si>
  <si>
    <t>PR Lake Reba 162-Delvinta</t>
  </si>
  <si>
    <t>154179</t>
  </si>
  <si>
    <t>City of Paris Telecom Equip</t>
  </si>
  <si>
    <t>154180</t>
  </si>
  <si>
    <t>GH Inert Fines Agitator Gearbx</t>
  </si>
  <si>
    <t>154181</t>
  </si>
  <si>
    <t>TRANS UNDERBUILT PARKWAY</t>
  </si>
  <si>
    <t>154182</t>
  </si>
  <si>
    <t>GH1 Blowdown Tank Replacement</t>
  </si>
  <si>
    <t>154195</t>
  </si>
  <si>
    <t>BR Reaction Stand Assembly</t>
  </si>
  <si>
    <t>154199</t>
  </si>
  <si>
    <t>Pineville Gate &amp; Card Reader</t>
  </si>
  <si>
    <t>154205</t>
  </si>
  <si>
    <t>BOC 1 DIRECTORS OFFICES KU</t>
  </si>
  <si>
    <t>154210KU</t>
  </si>
  <si>
    <t>TC2 2B ID FAN DE BLADE -</t>
  </si>
  <si>
    <t>154214</t>
  </si>
  <si>
    <t>WHITENOISE AT KUGO</t>
  </si>
  <si>
    <t>154215</t>
  </si>
  <si>
    <t>BR3 Conden Recirc Valve Repl</t>
  </si>
  <si>
    <t>154216</t>
  </si>
  <si>
    <t>DSP Lonesome Pine-ROW</t>
  </si>
  <si>
    <t>154219</t>
  </si>
  <si>
    <t>EARLINGTON UTV</t>
  </si>
  <si>
    <t>154226</t>
  </si>
  <si>
    <t>GH Safety Lighting</t>
  </si>
  <si>
    <t>154229KU</t>
  </si>
  <si>
    <t>TC COAL H BUILD ROOF RPL-2017</t>
  </si>
  <si>
    <t>154232</t>
  </si>
  <si>
    <t>GH 1-1 Air Heater Gearbox Repl</t>
  </si>
  <si>
    <t>154233</t>
  </si>
  <si>
    <t>GH1 Cooling Twr Drift Elim Rpl</t>
  </si>
  <si>
    <t>154234</t>
  </si>
  <si>
    <t>PINEVILLE SOMERSET #2 XFMR</t>
  </si>
  <si>
    <t>154235</t>
  </si>
  <si>
    <t>Lex Backyard Machine</t>
  </si>
  <si>
    <t>154242</t>
  </si>
  <si>
    <t>2017 RECEIVE 1 XFRM FROM LGE</t>
  </si>
  <si>
    <t>154270</t>
  </si>
  <si>
    <t>Upgrade Scholls Substation</t>
  </si>
  <si>
    <t>154271</t>
  </si>
  <si>
    <t>GH2 CT Blowdown Partial Repl</t>
  </si>
  <si>
    <t>154272</t>
  </si>
  <si>
    <t>Interconnection Meter Rpls</t>
  </si>
  <si>
    <t>154273</t>
  </si>
  <si>
    <t>PCA-Artemus CC Rpl</t>
  </si>
  <si>
    <t>154274</t>
  </si>
  <si>
    <t>PCA-Haefling CC/SSVT Rpl</t>
  </si>
  <si>
    <t>154275</t>
  </si>
  <si>
    <t>PCA-Harlan Wye CC Rpl</t>
  </si>
  <si>
    <t>154276</t>
  </si>
  <si>
    <t>GH 1-1 BCWP Replacement</t>
  </si>
  <si>
    <t>154277</t>
  </si>
  <si>
    <t>2017 Tap Line LEXOC</t>
  </si>
  <si>
    <t>154278</t>
  </si>
  <si>
    <t>2017 Tap Line EAROC</t>
  </si>
  <si>
    <t>154281</t>
  </si>
  <si>
    <t>BR2-2 BFP Fluid Drive Repl</t>
  </si>
  <si>
    <t>154282</t>
  </si>
  <si>
    <t>BR1 Main Trans-DGA Monitor Sys</t>
  </si>
  <si>
    <t>154285</t>
  </si>
  <si>
    <t>BR3-1 Circ Vlv Limitorque Repl</t>
  </si>
  <si>
    <t>154287</t>
  </si>
  <si>
    <t>Paris 0806 CEMI 2017</t>
  </si>
  <si>
    <t>154288KU</t>
  </si>
  <si>
    <t>TC2 ID FAN VIBRATION PROBES</t>
  </si>
  <si>
    <t>154295</t>
  </si>
  <si>
    <t>REL-Camargo MOS</t>
  </si>
  <si>
    <t>154301</t>
  </si>
  <si>
    <t>Trans Test Lab Equip-KU</t>
  </si>
  <si>
    <t>154303KU</t>
  </si>
  <si>
    <t>TC2 COAL MILL EXPANSION JTS</t>
  </si>
  <si>
    <t>154305KU</t>
  </si>
  <si>
    <t>TC2 PENTHOUSE PLATFORM INSTALL</t>
  </si>
  <si>
    <t>154307KU</t>
  </si>
  <si>
    <t>TC LAB TANK REFURBISHMENT</t>
  </si>
  <si>
    <t>154310</t>
  </si>
  <si>
    <t>GH1 FGD Agitator Shafts Repl</t>
  </si>
  <si>
    <t>154313</t>
  </si>
  <si>
    <t>Stone Rd Security Cameras</t>
  </si>
  <si>
    <t>154316KU</t>
  </si>
  <si>
    <t>GS GE Brown Degassed Monitor</t>
  </si>
  <si>
    <t>154320KU</t>
  </si>
  <si>
    <t>GS GE Ghent Silica Analyzer</t>
  </si>
  <si>
    <t>154322 KU</t>
  </si>
  <si>
    <t>CR7 Bypass Valve Upgrade KU</t>
  </si>
  <si>
    <t>154350</t>
  </si>
  <si>
    <t>London Big Tex Dump Trailer</t>
  </si>
  <si>
    <t>154351KU</t>
  </si>
  <si>
    <t>GS Gen Eng Air Sieve TCKU</t>
  </si>
  <si>
    <t>154353</t>
  </si>
  <si>
    <t>Earlington 4KV Circuit Work</t>
  </si>
  <si>
    <t>154354</t>
  </si>
  <si>
    <t>Salem 1704 CIFI 2017</t>
  </si>
  <si>
    <t>154355</t>
  </si>
  <si>
    <t>ETOWN BO ASSEMBLY RM RENO</t>
  </si>
  <si>
    <t>154364</t>
  </si>
  <si>
    <t>PINEVILLE TRANS SHED OFFICE</t>
  </si>
  <si>
    <t>154365</t>
  </si>
  <si>
    <t>BR3 Bot Ash Overfl Piping Repl</t>
  </si>
  <si>
    <t>154371</t>
  </si>
  <si>
    <t>PR Loudon Avenue-Winchester</t>
  </si>
  <si>
    <t>154372</t>
  </si>
  <si>
    <t>Danville Pole Racks-KU17</t>
  </si>
  <si>
    <t>154419KU</t>
  </si>
  <si>
    <t>TC2 COAL MILL WATCH SYSTEM</t>
  </si>
  <si>
    <t>154432</t>
  </si>
  <si>
    <t>Earlington 4KV Substation</t>
  </si>
  <si>
    <t>154433</t>
  </si>
  <si>
    <t>DX Smart Meter Upgrade '17</t>
  </si>
  <si>
    <t>154438</t>
  </si>
  <si>
    <t>GH 3N3 Conveyor Belt Repl 17</t>
  </si>
  <si>
    <t>154440</t>
  </si>
  <si>
    <t>GH 4N4 Conveyor Belt Repl 17</t>
  </si>
  <si>
    <t>154441</t>
  </si>
  <si>
    <t>GH4 FGD Agitator Shafts Repl</t>
  </si>
  <si>
    <t>154442</t>
  </si>
  <si>
    <t>GH 4-10 CT Fan Gearbox Repl</t>
  </si>
  <si>
    <t>154443</t>
  </si>
  <si>
    <t>GH Skyjack Vertical Lifts</t>
  </si>
  <si>
    <t>154452</t>
  </si>
  <si>
    <t>REPLACE RICHMOND SOUTH XFMR</t>
  </si>
  <si>
    <t>154453</t>
  </si>
  <si>
    <t>GH1 Varnish Removal Skid</t>
  </si>
  <si>
    <t>154471</t>
  </si>
  <si>
    <t>Lexington CEMI 2017</t>
  </si>
  <si>
    <t>154476KU</t>
  </si>
  <si>
    <t>TC STATION AIR SYSTEM REFURB</t>
  </si>
  <si>
    <t>154494</t>
  </si>
  <si>
    <t>London CEMI 2017</t>
  </si>
  <si>
    <t>154496</t>
  </si>
  <si>
    <t>GH 3N1 Conveyor Belt Repl 17</t>
  </si>
  <si>
    <t>154501</t>
  </si>
  <si>
    <t>PFN-Pocket Trans Fans</t>
  </si>
  <si>
    <t>154503</t>
  </si>
  <si>
    <t>Lexington Undrgrnd-Real Estate</t>
  </si>
  <si>
    <t>154504</t>
  </si>
  <si>
    <t>Barton Distillery Ckt Work</t>
  </si>
  <si>
    <t>154506</t>
  </si>
  <si>
    <t>UPS BATTERY REPL - KU 2017</t>
  </si>
  <si>
    <t>154514</t>
  </si>
  <si>
    <t>SEWER LINE REPL - RICHMOND</t>
  </si>
  <si>
    <t>154516</t>
  </si>
  <si>
    <t>Peoples Rural Phone Reimb</t>
  </si>
  <si>
    <t>154519</t>
  </si>
  <si>
    <t>GH Paving Project '17</t>
  </si>
  <si>
    <t>154534</t>
  </si>
  <si>
    <t>BUILD NEW STOREROOM HARLAN</t>
  </si>
  <si>
    <t>154535</t>
  </si>
  <si>
    <t>Earlington Rack Storg Bin-KU17</t>
  </si>
  <si>
    <t>154537 KU</t>
  </si>
  <si>
    <t>CR7 Contractor Parking KU</t>
  </si>
  <si>
    <t>154553</t>
  </si>
  <si>
    <t>EKU Pedway Relocation</t>
  </si>
  <si>
    <t>154567 KU</t>
  </si>
  <si>
    <t>CR7 T3K ENHANCE KU</t>
  </si>
  <si>
    <t>154569 KU</t>
  </si>
  <si>
    <t>PR13 T3K ENHANCE KU</t>
  </si>
  <si>
    <t>154573</t>
  </si>
  <si>
    <t>Monitors Business Offices 2017</t>
  </si>
  <si>
    <t>154575KU</t>
  </si>
  <si>
    <t>TC BAP/GSP IMPROVEMENTS 2017</t>
  </si>
  <si>
    <t>154577</t>
  </si>
  <si>
    <t>Richmond CEMI 2017</t>
  </si>
  <si>
    <t>154578</t>
  </si>
  <si>
    <t>Butler ETW 625 Wire Trailer</t>
  </si>
  <si>
    <t>154581KU</t>
  </si>
  <si>
    <t>TC SKID STEER LOADER</t>
  </si>
  <si>
    <t>154583KU</t>
  </si>
  <si>
    <t>TC CONVEYOR BELT 2017</t>
  </si>
  <si>
    <t>154587</t>
  </si>
  <si>
    <t>POR-2017 CT Install</t>
  </si>
  <si>
    <t>154605</t>
  </si>
  <si>
    <t>KT0025 TR REWIND</t>
  </si>
  <si>
    <t>154606</t>
  </si>
  <si>
    <t>CO464 TR REWIND</t>
  </si>
  <si>
    <t>154615</t>
  </si>
  <si>
    <t>City of Paris Weaver Sub</t>
  </si>
  <si>
    <t>154617</t>
  </si>
  <si>
    <t>PR Pocket-Pennington Gap 69kV</t>
  </si>
  <si>
    <t>154618</t>
  </si>
  <si>
    <t>PR Fawkes-Higby Mill</t>
  </si>
  <si>
    <t>154628KU</t>
  </si>
  <si>
    <t>TC UPGD CONFERENCE ROOMS</t>
  </si>
  <si>
    <t>154661</t>
  </si>
  <si>
    <t>GH Gypsum StorageBldg Door</t>
  </si>
  <si>
    <t>154662</t>
  </si>
  <si>
    <t>American Ave SSVT and 69kV PT</t>
  </si>
  <si>
    <t>154663</t>
  </si>
  <si>
    <t>Scott Co SST</t>
  </si>
  <si>
    <t>154665</t>
  </si>
  <si>
    <t>Gardner Circuit Work</t>
  </si>
  <si>
    <t>154669</t>
  </si>
  <si>
    <t>GARDNER CIRCUIT BKR ADDITION</t>
  </si>
  <si>
    <t>154671</t>
  </si>
  <si>
    <t>Purchase Leased Veh 6340</t>
  </si>
  <si>
    <t>154672 KU</t>
  </si>
  <si>
    <t>CR7 Backwash Strainer KU</t>
  </si>
  <si>
    <t>154681</t>
  </si>
  <si>
    <t>Earlington Forklift (12k lbs)</t>
  </si>
  <si>
    <t>154683</t>
  </si>
  <si>
    <t>Danville Forklift (12k lbs)</t>
  </si>
  <si>
    <t>154684</t>
  </si>
  <si>
    <t>Pineville Forklift (12k lbs)</t>
  </si>
  <si>
    <t>154686</t>
  </si>
  <si>
    <t>Lexington Forklift (20k lbs)</t>
  </si>
  <si>
    <t>154693</t>
  </si>
  <si>
    <t>PR Brown-Fawkes 138kV</t>
  </si>
  <si>
    <t>154695</t>
  </si>
  <si>
    <t>GH Recycle Pump Impellers</t>
  </si>
  <si>
    <t>154696</t>
  </si>
  <si>
    <t>GH 3-7 CT Fan Gearbox '17</t>
  </si>
  <si>
    <t>154697</t>
  </si>
  <si>
    <t>GH 1&amp;2 Mech Shop Gantry Crane</t>
  </si>
  <si>
    <t>154698</t>
  </si>
  <si>
    <t>GH Street Sweeper</t>
  </si>
  <si>
    <t>154699</t>
  </si>
  <si>
    <t>GH 1-3 Trav Wtr Screen Repl</t>
  </si>
  <si>
    <t>154711KU</t>
  </si>
  <si>
    <t>TC2 ACOUSTIC MONITORS</t>
  </si>
  <si>
    <t>154786KU</t>
  </si>
  <si>
    <t>TC2 COND POLISHER RESIN UPG</t>
  </si>
  <si>
    <t>154807</t>
  </si>
  <si>
    <t>Pineville Equip Trailer 2017</t>
  </si>
  <si>
    <t>154809</t>
  </si>
  <si>
    <t>FOR Rumsey 605 switch</t>
  </si>
  <si>
    <t>154818</t>
  </si>
  <si>
    <t>RIVERPORT FURNITURE KU</t>
  </si>
  <si>
    <t>154819</t>
  </si>
  <si>
    <t>GH 1-8 CT Fan Gearbox</t>
  </si>
  <si>
    <t>154820</t>
  </si>
  <si>
    <t>GH Guard Gate 2 Bldg HVAC Repl</t>
  </si>
  <si>
    <t>154845</t>
  </si>
  <si>
    <t>GH Front End Loader</t>
  </si>
  <si>
    <t>155008</t>
  </si>
  <si>
    <t>GH3 Vertical RH Partial Repl18</t>
  </si>
  <si>
    <t>155047</t>
  </si>
  <si>
    <t>SCISSOR LIFT &amp; TRAILER -EARL</t>
  </si>
  <si>
    <t>155050</t>
  </si>
  <si>
    <t>Mortons Gap Distrib Work</t>
  </si>
  <si>
    <t>155059</t>
  </si>
  <si>
    <t>BR3 Cool Water Head Refr</t>
  </si>
  <si>
    <t>155061</t>
  </si>
  <si>
    <t>GR CCR New Construction</t>
  </si>
  <si>
    <t>155064</t>
  </si>
  <si>
    <t>ASHLAND PIPE 12KV XFMR</t>
  </si>
  <si>
    <t>155065</t>
  </si>
  <si>
    <t>Norton Dump Trailers</t>
  </si>
  <si>
    <t>155071</t>
  </si>
  <si>
    <t>SIMPSONVILLE CAMERAS</t>
  </si>
  <si>
    <t>155169</t>
  </si>
  <si>
    <t>BR Tractor Shed Hoist Repl</t>
  </si>
  <si>
    <t>155170</t>
  </si>
  <si>
    <t>BR FGD Spare ABB Breaker</t>
  </si>
  <si>
    <t>155171</t>
  </si>
  <si>
    <t>BR3 CR Duct Heater</t>
  </si>
  <si>
    <t>155176KU</t>
  </si>
  <si>
    <t>GS GenEng Insight CM KU</t>
  </si>
  <si>
    <t>155179KU</t>
  </si>
  <si>
    <t>GS GenEng RDI Camera KU</t>
  </si>
  <si>
    <t>155180KU</t>
  </si>
  <si>
    <t>GS GenEng Insight CM CR7 KU</t>
  </si>
  <si>
    <t>155190</t>
  </si>
  <si>
    <t>PAVE AT WINCHESTER BUS OFF</t>
  </si>
  <si>
    <t>155191</t>
  </si>
  <si>
    <t>ETOWN - BUILD NEW STORAGE AREA</t>
  </si>
  <si>
    <t>155192</t>
  </si>
  <si>
    <t>LONDON STAGING AREA - OFFICE</t>
  </si>
  <si>
    <t>155193KU</t>
  </si>
  <si>
    <t>TC2 Hydrojet Strainer</t>
  </si>
  <si>
    <t>155195KU</t>
  </si>
  <si>
    <t>TC2 Turbine OH Cart</t>
  </si>
  <si>
    <t>155198</t>
  </si>
  <si>
    <t>PR Tyrone-Adams</t>
  </si>
  <si>
    <t>155206</t>
  </si>
  <si>
    <t>PR Rosine-Leitchfield</t>
  </si>
  <si>
    <t>155214</t>
  </si>
  <si>
    <t>RFN-Hardinsburg Fence</t>
  </si>
  <si>
    <t>155230</t>
  </si>
  <si>
    <t>FOR-Rpl GRS 728 Line Switch</t>
  </si>
  <si>
    <t>155233</t>
  </si>
  <si>
    <t>AMS MAM System KU Meter</t>
  </si>
  <si>
    <t>155248</t>
  </si>
  <si>
    <t>BRCT 6&amp;7 Spare Field Breaker</t>
  </si>
  <si>
    <t>155249</t>
  </si>
  <si>
    <t>FOR Carntown Bushing Rpl-KU</t>
  </si>
  <si>
    <t>155252</t>
  </si>
  <si>
    <t>CS Monitors 2017 KU</t>
  </si>
  <si>
    <t>155256</t>
  </si>
  <si>
    <t>BR Fire Pump Recirc Piping</t>
  </si>
  <si>
    <t>155257</t>
  </si>
  <si>
    <t>GH 1E Boom Conveyor Belt Rpl17</t>
  </si>
  <si>
    <t>155258</t>
  </si>
  <si>
    <t>GH2 Burner Replacement 17</t>
  </si>
  <si>
    <t>155260KU</t>
  </si>
  <si>
    <t>CommOps Vehicle 2017</t>
  </si>
  <si>
    <t>155294</t>
  </si>
  <si>
    <t>GH 1-1 BFPT Bucket Replacement</t>
  </si>
  <si>
    <t>155295</t>
  </si>
  <si>
    <t>GH 1-2 BFPT Bucket Replacement</t>
  </si>
  <si>
    <t>155298</t>
  </si>
  <si>
    <t>WIDE FORMAT PRINTER KU</t>
  </si>
  <si>
    <t>155300KU</t>
  </si>
  <si>
    <t>GS SL Mercury Anlyzers '17 KU</t>
  </si>
  <si>
    <t>155304</t>
  </si>
  <si>
    <t>2017 URD Replace LEXOC</t>
  </si>
  <si>
    <t>155378KU</t>
  </si>
  <si>
    <t>GS GenEng CR7 RO KU</t>
  </si>
  <si>
    <t>155380</t>
  </si>
  <si>
    <t>Environmental Aff Equip Truck</t>
  </si>
  <si>
    <t>155390</t>
  </si>
  <si>
    <t>Maysville Tap Line 2017</t>
  </si>
  <si>
    <t>155392</t>
  </si>
  <si>
    <t>Pineville CEMI 2017</t>
  </si>
  <si>
    <t>155424</t>
  </si>
  <si>
    <t>INSTALL LADDER - GREEN BO</t>
  </si>
  <si>
    <t>155425</t>
  </si>
  <si>
    <t>GREENVILLE SR EXTERIOR DOORS</t>
  </si>
  <si>
    <t>155426</t>
  </si>
  <si>
    <t>FOR-Rpl Trans Pmp Mtr-KU</t>
  </si>
  <si>
    <t>155434KU</t>
  </si>
  <si>
    <t>TC F1 COAL CRUSHER MTR RWD</t>
  </si>
  <si>
    <t>155438</t>
  </si>
  <si>
    <t>BR Ofc Dom Water Piping Repl</t>
  </si>
  <si>
    <t>155467</t>
  </si>
  <si>
    <t>Clinch Valley SCADA</t>
  </si>
  <si>
    <t>155473</t>
  </si>
  <si>
    <t>BR Toe Drain Pump Repl</t>
  </si>
  <si>
    <t>155474</t>
  </si>
  <si>
    <t>Pride Distribution Work</t>
  </si>
  <si>
    <t>155503</t>
  </si>
  <si>
    <t>PR Scott Co-Penn</t>
  </si>
  <si>
    <t>155515</t>
  </si>
  <si>
    <t>NORTON PARKING LOT DRAIN REPL</t>
  </si>
  <si>
    <t>155518</t>
  </si>
  <si>
    <t>TC CCR New Const Proces Pd KU</t>
  </si>
  <si>
    <t>155546</t>
  </si>
  <si>
    <t>BR LF ALL PHASE EVALUATION</t>
  </si>
  <si>
    <t>155548</t>
  </si>
  <si>
    <t>GH 2-1 CWP Overhaul 17</t>
  </si>
  <si>
    <t>155557</t>
  </si>
  <si>
    <t>Air Monitoring Storage-KU17</t>
  </si>
  <si>
    <t>155581</t>
  </si>
  <si>
    <t>MS WARM-UP BOARD 2017 KU</t>
  </si>
  <si>
    <t>155610</t>
  </si>
  <si>
    <t>GH Emergency Response TeamBldg</t>
  </si>
  <si>
    <t>155693</t>
  </si>
  <si>
    <t>Shelbyville CEMI 2017</t>
  </si>
  <si>
    <t>155694KU</t>
  </si>
  <si>
    <t>TC LAB UTILITY VEHICLE</t>
  </si>
  <si>
    <t>155702</t>
  </si>
  <si>
    <t>LOUDON AVE SPLIT UNIT HVAC</t>
  </si>
  <si>
    <t>155704</t>
  </si>
  <si>
    <t>POR CCVT and Wave Traps-KU</t>
  </si>
  <si>
    <t>155707</t>
  </si>
  <si>
    <t>FTR-GRS 138/69kV Xfmr</t>
  </si>
  <si>
    <t>155708</t>
  </si>
  <si>
    <t>PR Arnold-Evarts</t>
  </si>
  <si>
    <t>155715</t>
  </si>
  <si>
    <t>Dow Corning Relocation</t>
  </si>
  <si>
    <t>155728</t>
  </si>
  <si>
    <t>PBU Corydon 012-614</t>
  </si>
  <si>
    <t>155731</t>
  </si>
  <si>
    <t>E-TOWN SR RESTROOM RENO</t>
  </si>
  <si>
    <t>155740</t>
  </si>
  <si>
    <t>GH Property Acquisition 17</t>
  </si>
  <si>
    <t>155741</t>
  </si>
  <si>
    <t>Indian Hill Control House</t>
  </si>
  <si>
    <t>155747</t>
  </si>
  <si>
    <t>GH2 Diesel Generator Repl</t>
  </si>
  <si>
    <t>155748</t>
  </si>
  <si>
    <t>Ebenezer Circuit Work</t>
  </si>
  <si>
    <t>155750</t>
  </si>
  <si>
    <t>Elizabethtown Forklift-KU17</t>
  </si>
  <si>
    <t>155751</t>
  </si>
  <si>
    <t>Industrial Fan Midway-KU17</t>
  </si>
  <si>
    <t>155752</t>
  </si>
  <si>
    <t>Utility Vehicle Pineville-KU17</t>
  </si>
  <si>
    <t>155753</t>
  </si>
  <si>
    <t>Utility Vehicle Danville-KU17</t>
  </si>
  <si>
    <t>155754</t>
  </si>
  <si>
    <t>UtilityVehicle Earlington-KU17</t>
  </si>
  <si>
    <t>155759 KU</t>
  </si>
  <si>
    <t>CR7 HEPA Filter Replacement KU</t>
  </si>
  <si>
    <t>155807</t>
  </si>
  <si>
    <t>Clay 1407 &amp; 1408 Reconductor</t>
  </si>
  <si>
    <t>155808</t>
  </si>
  <si>
    <t>GH Gas Bottle Storage Cage17</t>
  </si>
  <si>
    <t>155811</t>
  </si>
  <si>
    <t>GH 3M Conveyor Belt Repl 17</t>
  </si>
  <si>
    <t>155812</t>
  </si>
  <si>
    <t>Hartford URD</t>
  </si>
  <si>
    <t>155814</t>
  </si>
  <si>
    <t>GH Bed Mill Replacement</t>
  </si>
  <si>
    <t>155819</t>
  </si>
  <si>
    <t>GH Machine Bit Sharpener</t>
  </si>
  <si>
    <t>155820</t>
  </si>
  <si>
    <t>GH 2J Conveyor Belt Repl 17</t>
  </si>
  <si>
    <t>155821 KU</t>
  </si>
  <si>
    <t>CR7 CCI Valve Outage Work KU</t>
  </si>
  <si>
    <t>155838</t>
  </si>
  <si>
    <t>GH2 BCWP Seal Inject Strnr Rpl</t>
  </si>
  <si>
    <t>155840</t>
  </si>
  <si>
    <t>BR2 Spare Cool Tower Gear Box</t>
  </si>
  <si>
    <t>155841</t>
  </si>
  <si>
    <t>BR CY "J" Conv Gear Box</t>
  </si>
  <si>
    <t>155842</t>
  </si>
  <si>
    <t>GH 3/4 Service Bldg Roof Repl</t>
  </si>
  <si>
    <t>155843</t>
  </si>
  <si>
    <t>GH CY Crusher House Roof Repl</t>
  </si>
  <si>
    <t>155844</t>
  </si>
  <si>
    <t>GH CY Sample Hse Roof Repl</t>
  </si>
  <si>
    <t>155845</t>
  </si>
  <si>
    <t>GH CY Ops Office Bldg Roof Rpl</t>
  </si>
  <si>
    <t>155846</t>
  </si>
  <si>
    <t>GH Gypsum Testing Equipment 17</t>
  </si>
  <si>
    <t>155847</t>
  </si>
  <si>
    <t>GH 1B Conveyor Repl 17</t>
  </si>
  <si>
    <t>155848KU</t>
  </si>
  <si>
    <t>GS CDM TRIPWIRE TC KU</t>
  </si>
  <si>
    <t>155849</t>
  </si>
  <si>
    <t>GH DTLS MAINT ACCESS</t>
  </si>
  <si>
    <t>155851KU</t>
  </si>
  <si>
    <t>GS CDM TRIPWIRE TC CTKU</t>
  </si>
  <si>
    <t>155853</t>
  </si>
  <si>
    <t>BR DCS PAV Server</t>
  </si>
  <si>
    <t>155854</t>
  </si>
  <si>
    <t>PGG-Finchville Ground Grid</t>
  </si>
  <si>
    <t>155858</t>
  </si>
  <si>
    <t>GH 3-2 Mill Motor Rebuild</t>
  </si>
  <si>
    <t>155863</t>
  </si>
  <si>
    <t>NORTON SRV TECH REMODEL</t>
  </si>
  <si>
    <t>155871</t>
  </si>
  <si>
    <t>TL UTV-Elizabethtown</t>
  </si>
  <si>
    <t>155875</t>
  </si>
  <si>
    <t>PBU Ghent 165 Substation</t>
  </si>
  <si>
    <t>155879KU</t>
  </si>
  <si>
    <t>TC2 PJFF COMPRESSOR REPL</t>
  </si>
  <si>
    <t>155885</t>
  </si>
  <si>
    <t>KU BRANDING</t>
  </si>
  <si>
    <t>155886</t>
  </si>
  <si>
    <t>Maysville Trans Line Clear</t>
  </si>
  <si>
    <t>155888</t>
  </si>
  <si>
    <t>CAMPBELLSVILLE SR WATER LINE</t>
  </si>
  <si>
    <t>155889</t>
  </si>
  <si>
    <t>Spare 10 MVA LTC Transformer</t>
  </si>
  <si>
    <t>155890</t>
  </si>
  <si>
    <t>Purchase RMT-1 LTC</t>
  </si>
  <si>
    <t>155891</t>
  </si>
  <si>
    <t>Millersburg Sub 5 MVA non-LTC</t>
  </si>
  <si>
    <t>155892</t>
  </si>
  <si>
    <t>CARROLLTON BO DRAWER REPL</t>
  </si>
  <si>
    <t>155899</t>
  </si>
  <si>
    <t>MS 2017 Earlington Test Sets</t>
  </si>
  <si>
    <t>155902KU</t>
  </si>
  <si>
    <t>BOC SUPPLY CHAIN FLOORING KU</t>
  </si>
  <si>
    <t>155907</t>
  </si>
  <si>
    <t>Emissions Tst Trailer&amp;Equi-KU</t>
  </si>
  <si>
    <t>155908KU</t>
  </si>
  <si>
    <t>BOC DATA CENTER FLOORING KU</t>
  </si>
  <si>
    <t>155911KU</t>
  </si>
  <si>
    <t>BOC DIRECTORS FLOORING KU</t>
  </si>
  <si>
    <t>155923</t>
  </si>
  <si>
    <t>BRCT5 Inlet Coils Repl KU</t>
  </si>
  <si>
    <t>155924</t>
  </si>
  <si>
    <t>GH3 Precip Level Indication</t>
  </si>
  <si>
    <t>155927</t>
  </si>
  <si>
    <t>BRCT10 Inlet Coils Repl</t>
  </si>
  <si>
    <t>155928</t>
  </si>
  <si>
    <t>GH 1L1 Conveyor Repl 17</t>
  </si>
  <si>
    <t>155929</t>
  </si>
  <si>
    <t>GH 8G Conveyor Repl 17</t>
  </si>
  <si>
    <t>155944</t>
  </si>
  <si>
    <t>Somerset Trans Underbuild</t>
  </si>
  <si>
    <t>155946</t>
  </si>
  <si>
    <t>BR3-1 BFP Deluge Valve Repl</t>
  </si>
  <si>
    <t>155952</t>
  </si>
  <si>
    <t>PBR-Paducah So 69kV Brk</t>
  </si>
  <si>
    <t>155953</t>
  </si>
  <si>
    <t>SPIR Kentucky Dam-Princeton</t>
  </si>
  <si>
    <t>155954KU</t>
  </si>
  <si>
    <t>GS GenEng Videoscope KU</t>
  </si>
  <si>
    <t>155958KU</t>
  </si>
  <si>
    <t>GS SL Oil and Grs Anlyzer KU</t>
  </si>
  <si>
    <t>155961</t>
  </si>
  <si>
    <t>EARLINGTON BO ROOF REPL</t>
  </si>
  <si>
    <t>155967</t>
  </si>
  <si>
    <t>2017 PE VEHICLES KU</t>
  </si>
  <si>
    <t>155971</t>
  </si>
  <si>
    <t>OATI Meter Read Module-KU</t>
  </si>
  <si>
    <t>155987KU</t>
  </si>
  <si>
    <t>GS SL Security Intercom</t>
  </si>
  <si>
    <t>155996</t>
  </si>
  <si>
    <t>GH L2 Conveyor Repl 17</t>
  </si>
  <si>
    <t>155997</t>
  </si>
  <si>
    <t>GH 1F Conveyor Repl 17</t>
  </si>
  <si>
    <t>155998</t>
  </si>
  <si>
    <t>GH 1A Conveyor Repl 17</t>
  </si>
  <si>
    <t>155GH</t>
  </si>
  <si>
    <t>GH1 Mercems A/C Repl</t>
  </si>
  <si>
    <t>156006</t>
  </si>
  <si>
    <t>GH CCR Well Water Extension</t>
  </si>
  <si>
    <t>156007</t>
  </si>
  <si>
    <t>GH 3&amp;4 Spare Ash Sluice Pmp 17</t>
  </si>
  <si>
    <t>156008</t>
  </si>
  <si>
    <t>GH1 FGD Elevator Drive Repl</t>
  </si>
  <si>
    <t>156009</t>
  </si>
  <si>
    <t>GH EH Fluid ECR Skid</t>
  </si>
  <si>
    <t>156011</t>
  </si>
  <si>
    <t>LONDON BO ROOF REPL - 2017</t>
  </si>
  <si>
    <t>156014KU</t>
  </si>
  <si>
    <t>TC2 SDRS SUMP PUMP</t>
  </si>
  <si>
    <t>156016</t>
  </si>
  <si>
    <t>BR HP Heater Head Lift Device</t>
  </si>
  <si>
    <t>156017</t>
  </si>
  <si>
    <t>BR Slurry Feed Pump Repl</t>
  </si>
  <si>
    <t>156018</t>
  </si>
  <si>
    <t>PINEVILLE TELECOM RENO</t>
  </si>
  <si>
    <t>156022</t>
  </si>
  <si>
    <t>LONDON BO REAR PARKING LOT</t>
  </si>
  <si>
    <t>156023</t>
  </si>
  <si>
    <t>EARLINGTON CONTAINMENT PAD</t>
  </si>
  <si>
    <t>156027 KU</t>
  </si>
  <si>
    <t>ST L-O BLADES KU</t>
  </si>
  <si>
    <t>156030</t>
  </si>
  <si>
    <t>SHELBYVILLE SR PAVING</t>
  </si>
  <si>
    <t>156038</t>
  </si>
  <si>
    <t>GH3 FGD Turret Exp Joint Repl</t>
  </si>
  <si>
    <t>156039</t>
  </si>
  <si>
    <t>Industrial Fan Pineville-KU17</t>
  </si>
  <si>
    <t>156041</t>
  </si>
  <si>
    <t>Industrial Fan Danville-KU17</t>
  </si>
  <si>
    <t>156045</t>
  </si>
  <si>
    <t>Norton CEMI 2017</t>
  </si>
  <si>
    <t>156052KU</t>
  </si>
  <si>
    <t>LGE CENTER FURNITURE KU</t>
  </si>
  <si>
    <t>156060KU</t>
  </si>
  <si>
    <t>GS GenEng Electric Test Set KU</t>
  </si>
  <si>
    <t>156064</t>
  </si>
  <si>
    <t>GH CY Transfer Hse 4 Dust Col</t>
  </si>
  <si>
    <t>156068</t>
  </si>
  <si>
    <t>GH3 FGD Agitator Shafts Repl</t>
  </si>
  <si>
    <t>156069</t>
  </si>
  <si>
    <t>DANVILLE SR FENCING 2017</t>
  </si>
  <si>
    <t>156070</t>
  </si>
  <si>
    <t>PENNINGTON GAP PURCHASE</t>
  </si>
  <si>
    <t>156075</t>
  </si>
  <si>
    <t>BARLOW SR RESTROOM REMODEL</t>
  </si>
  <si>
    <t>156076</t>
  </si>
  <si>
    <t>ENCLOSE TRUCK BAYS - DAWSON</t>
  </si>
  <si>
    <t>156079</t>
  </si>
  <si>
    <t>GH Equipment Storage Building</t>
  </si>
  <si>
    <t>156091</t>
  </si>
  <si>
    <t>GH Personnel Carrier - Environ</t>
  </si>
  <si>
    <t>156095</t>
  </si>
  <si>
    <t>BR3 Cool Twr Vibration Monitor</t>
  </si>
  <si>
    <t>156099</t>
  </si>
  <si>
    <t>Trans Subs Test Equip KU</t>
  </si>
  <si>
    <t>156108 KU</t>
  </si>
  <si>
    <t>CCCW Motor Rewind KU</t>
  </si>
  <si>
    <t>156120KU</t>
  </si>
  <si>
    <t>TC TURBINE OIL CONDITION UNIT</t>
  </si>
  <si>
    <t>156126</t>
  </si>
  <si>
    <t>GH Front End Loader 2017</t>
  </si>
  <si>
    <t>156129</t>
  </si>
  <si>
    <t>Calloway Sub Regulators</t>
  </si>
  <si>
    <t>156132</t>
  </si>
  <si>
    <t>GH Warehouse Lighting Upgrade</t>
  </si>
  <si>
    <t>156133</t>
  </si>
  <si>
    <t>GH 3&amp;4 Elec Equip Rm Light Upg</t>
  </si>
  <si>
    <t>156135</t>
  </si>
  <si>
    <t>Maysville Trailers 2017</t>
  </si>
  <si>
    <t>156146KU</t>
  </si>
  <si>
    <t>TC AMMONIA LINE BARRICADE</t>
  </si>
  <si>
    <t>156148KU</t>
  </si>
  <si>
    <t>TC2 COAL FLOW ANALYZE PHII</t>
  </si>
  <si>
    <t>156150KU</t>
  </si>
  <si>
    <t>TC OIL STORAGE BUILDING</t>
  </si>
  <si>
    <t>156169</t>
  </si>
  <si>
    <t>Paris Property Purchase</t>
  </si>
  <si>
    <t>156176</t>
  </si>
  <si>
    <t>BRCT TN Gas PL Overpres Prot</t>
  </si>
  <si>
    <t>156177</t>
  </si>
  <si>
    <t>Morganfield 2017 Dump Trailer</t>
  </si>
  <si>
    <t>156178</t>
  </si>
  <si>
    <t>JLG Lift and Trailer</t>
  </si>
  <si>
    <t>156179</t>
  </si>
  <si>
    <t>GH 3-6 Mill Motor Rotor Repl</t>
  </si>
  <si>
    <t>156180</t>
  </si>
  <si>
    <t>GH2 PA Fan Inlet Silencers Rpl</t>
  </si>
  <si>
    <t>156181 KU</t>
  </si>
  <si>
    <t>PR13 H2 Purity Meter KU</t>
  </si>
  <si>
    <t>156193</t>
  </si>
  <si>
    <t>GH E/I Shop Person Carrier Rpl</t>
  </si>
  <si>
    <t>156197</t>
  </si>
  <si>
    <t>RFN-Lancaster Sw Fence Rpl</t>
  </si>
  <si>
    <t>156199</t>
  </si>
  <si>
    <t>GH 3&amp;4 Coal ConvyrRm Light Upg</t>
  </si>
  <si>
    <t>156203</t>
  </si>
  <si>
    <t>GH Solar Pwrd Radar Speed Sign</t>
  </si>
  <si>
    <t>156262</t>
  </si>
  <si>
    <t>GH Storm Water Pipe Replace</t>
  </si>
  <si>
    <t>156263</t>
  </si>
  <si>
    <t>ROR-Spare 138kV 120MVA Xfmr</t>
  </si>
  <si>
    <t>156271</t>
  </si>
  <si>
    <t>214 ITRON Meters from LG&amp;E</t>
  </si>
  <si>
    <t>156303</t>
  </si>
  <si>
    <t>GH Inspection Drone 17</t>
  </si>
  <si>
    <t>156304</t>
  </si>
  <si>
    <t>GH Self Contain Breath App Rpl</t>
  </si>
  <si>
    <t>156306</t>
  </si>
  <si>
    <t>Knuckle Boom Vehicle Lex</t>
  </si>
  <si>
    <t>156316</t>
  </si>
  <si>
    <t>GH MH102Z CCR ConvBelt Repl</t>
  </si>
  <si>
    <t>157066</t>
  </si>
  <si>
    <t>DSP Pepper Pike Sub Land</t>
  </si>
  <si>
    <t>158KU15</t>
  </si>
  <si>
    <t>FIM Replacement-KU15</t>
  </si>
  <si>
    <t>158KU16</t>
  </si>
  <si>
    <t>Tech Training Dashboards-KU16</t>
  </si>
  <si>
    <t>159KU16</t>
  </si>
  <si>
    <t>Cascade Impl Gen Relays-KU16</t>
  </si>
  <si>
    <t>15GH</t>
  </si>
  <si>
    <t>GH 2/3 CEM Shelter HVAC Repl</t>
  </si>
  <si>
    <t>161001KU</t>
  </si>
  <si>
    <t>TC2 KU TURBINE PREP COUPLING</t>
  </si>
  <si>
    <t>163KU16</t>
  </si>
  <si>
    <t>Plant Mobile-Ghent-KU16</t>
  </si>
  <si>
    <t>164GH</t>
  </si>
  <si>
    <t>GH1-2 LPSW TWS REBUILD18</t>
  </si>
  <si>
    <t>165KU16</t>
  </si>
  <si>
    <t>Non-SCADA Load Data-KU16</t>
  </si>
  <si>
    <t>178KU15</t>
  </si>
  <si>
    <t>Upgrade Quest Server-KU15</t>
  </si>
  <si>
    <t>17GH</t>
  </si>
  <si>
    <t>GH 2/3 Mercems A/C Repl</t>
  </si>
  <si>
    <t>194GH</t>
  </si>
  <si>
    <t>GH3 Cooling Tower ComplRebuild</t>
  </si>
  <si>
    <t>202KU15</t>
  </si>
  <si>
    <t>Trans OATT Billing Tool-KU15</t>
  </si>
  <si>
    <t>203KU16</t>
  </si>
  <si>
    <t>PS 9.2 Upgrade-KU16</t>
  </si>
  <si>
    <t>204KU16</t>
  </si>
  <si>
    <t>SAP CRM/ECC Upgr-KU16</t>
  </si>
  <si>
    <t>207GH</t>
  </si>
  <si>
    <t>GH3 Mercems A/C Repl</t>
  </si>
  <si>
    <t>237GH</t>
  </si>
  <si>
    <t>GH4 Mercems A/C Repl</t>
  </si>
  <si>
    <t>239GH</t>
  </si>
  <si>
    <t>GH4 StckFlw&amp;Particulte MntrRpl</t>
  </si>
  <si>
    <t>262KU14</t>
  </si>
  <si>
    <t>Redact-It Implement-KU14</t>
  </si>
  <si>
    <t>400KU15</t>
  </si>
  <si>
    <t>OTN Core Rings Y1/2 LEX-KU15</t>
  </si>
  <si>
    <t>719KU15</t>
  </si>
  <si>
    <t>CTS Upload Automation-KU15</t>
  </si>
  <si>
    <t>719KU16</t>
  </si>
  <si>
    <t>PI Alarm Mgmt-KU16</t>
  </si>
  <si>
    <t>720KU16</t>
  </si>
  <si>
    <t>Mobile Dispatch Map-KU16</t>
  </si>
  <si>
    <t>721KU16</t>
  </si>
  <si>
    <t>Superna Eyeglass Lic-KU16</t>
  </si>
  <si>
    <t>724KU16</t>
  </si>
  <si>
    <t>PI Lic for Access Perm-KU16</t>
  </si>
  <si>
    <t>725KU16</t>
  </si>
  <si>
    <t>Veg Mgmt ROW Layer Dev-KU16</t>
  </si>
  <si>
    <t>726KU16</t>
  </si>
  <si>
    <t>DACS Software Upgrade-KU16</t>
  </si>
  <si>
    <t>729KU16</t>
  </si>
  <si>
    <t>Solar Share Program-KU16</t>
  </si>
  <si>
    <t>730KU16</t>
  </si>
  <si>
    <t>ABB Post Impl Enhance-KU16</t>
  </si>
  <si>
    <t>734KU16</t>
  </si>
  <si>
    <t>Cust Serv Training Tools-KU16</t>
  </si>
  <si>
    <t>736KU16</t>
  </si>
  <si>
    <t>Brown/Dix Campus Sonet-KU16</t>
  </si>
  <si>
    <t>737KU16</t>
  </si>
  <si>
    <t>BI SQL Upgrade-KU16</t>
  </si>
  <si>
    <t>740KU16</t>
  </si>
  <si>
    <t>Field Smart View Enhance-KU16</t>
  </si>
  <si>
    <t>741KU16</t>
  </si>
  <si>
    <t>Bluecoat Proxy Security-KU16</t>
  </si>
  <si>
    <t>742KU16</t>
  </si>
  <si>
    <t>Insight CM Expansion-KU16</t>
  </si>
  <si>
    <t>743KU16</t>
  </si>
  <si>
    <t>PMO Plotters-KU16</t>
  </si>
  <si>
    <t>744KU16</t>
  </si>
  <si>
    <t>Reader Boards-KU16</t>
  </si>
  <si>
    <t>747KU16</t>
  </si>
  <si>
    <t>TRAC Enhancements-KU16</t>
  </si>
  <si>
    <t>750KU16</t>
  </si>
  <si>
    <t>AMS SAP Hardware-KU16</t>
  </si>
  <si>
    <t>753KU16</t>
  </si>
  <si>
    <t>GPS Gate Licenses-KU16</t>
  </si>
  <si>
    <t>CCAPR156</t>
  </si>
  <si>
    <t>Capital CAP/REG/RECL - 011560</t>
  </si>
  <si>
    <t>CCAPR216</t>
  </si>
  <si>
    <t>Capital CAP/REG/RECl - 012160</t>
  </si>
  <si>
    <t>CCAPR236</t>
  </si>
  <si>
    <t>Capital CAP/REG/RECL - 012360</t>
  </si>
  <si>
    <t>CCAPR246</t>
  </si>
  <si>
    <t>Capital CAP/REG/RECL - 012460</t>
  </si>
  <si>
    <t>CCAPR256</t>
  </si>
  <si>
    <t>Capital CAP/REG/RECL - 012560</t>
  </si>
  <si>
    <t>CCAPR315</t>
  </si>
  <si>
    <t>Capital CAP/REG/RECL - 013150</t>
  </si>
  <si>
    <t>CCAPR366</t>
  </si>
  <si>
    <t>Capital CAP/REG/RECL - 013660</t>
  </si>
  <si>
    <t>CCAPR416</t>
  </si>
  <si>
    <t>Capital CAP/REG/RECL - 014160</t>
  </si>
  <si>
    <t>CCAPR426</t>
  </si>
  <si>
    <t>Capital CAP/REG/RECL - 014260</t>
  </si>
  <si>
    <t>CCAPR766</t>
  </si>
  <si>
    <t>Capital CAP/REG/RECL - 017660</t>
  </si>
  <si>
    <t>CEMTR582</t>
  </si>
  <si>
    <t>KU Electric Meters - 015820</t>
  </si>
  <si>
    <t>CKM030117</t>
  </si>
  <si>
    <t>KU MAJOR STORM CAPITAL 030117</t>
  </si>
  <si>
    <t>CKM070616</t>
  </si>
  <si>
    <t>KU Major Storm Capital 070616</t>
  </si>
  <si>
    <t>CKM070816</t>
  </si>
  <si>
    <t>KU Major Storm Capital 070816</t>
  </si>
  <si>
    <t>CKM072217</t>
  </si>
  <si>
    <t>CKM52717</t>
  </si>
  <si>
    <t>KU MAJOR STORM CAPITAL 5.27.17</t>
  </si>
  <si>
    <t>CKYTCR426</t>
  </si>
  <si>
    <t>KYTC Reimb London</t>
  </si>
  <si>
    <t>CNBCD156O</t>
  </si>
  <si>
    <t>NB Comm OH - 011560</t>
  </si>
  <si>
    <t>CNBCD156U</t>
  </si>
  <si>
    <t>NB Comm UG - 011560</t>
  </si>
  <si>
    <t>CNBCD216O</t>
  </si>
  <si>
    <t>NB Comm OH - 012160</t>
  </si>
  <si>
    <t>CNBCD216U</t>
  </si>
  <si>
    <t>NB Comm UG - 012160</t>
  </si>
  <si>
    <t>CNBCD236O</t>
  </si>
  <si>
    <t>NB Comm OH - 012360</t>
  </si>
  <si>
    <t>CNBCD236U</t>
  </si>
  <si>
    <t>NB Comm UG - 012360</t>
  </si>
  <si>
    <t>CNBCD246O</t>
  </si>
  <si>
    <t>NB Comm OH - 012460</t>
  </si>
  <si>
    <t>CNBCD246U</t>
  </si>
  <si>
    <t>NB Comm UG - 012460</t>
  </si>
  <si>
    <t>CNBCD256O</t>
  </si>
  <si>
    <t>NB Comm OH - 012560</t>
  </si>
  <si>
    <t>CNBCD256U</t>
  </si>
  <si>
    <t>NB Comm UG - 012560</t>
  </si>
  <si>
    <t>CNBCD315O</t>
  </si>
  <si>
    <t>NB Comm OH - 013150</t>
  </si>
  <si>
    <t>CNBCD315U</t>
  </si>
  <si>
    <t>NB Comm UG - 013150</t>
  </si>
  <si>
    <t>CNBCD366O</t>
  </si>
  <si>
    <t>NB Comm OH - 013660</t>
  </si>
  <si>
    <t>CNBCD366U</t>
  </si>
  <si>
    <t>NB Comm UG - 013660</t>
  </si>
  <si>
    <t>CNBCD416O</t>
  </si>
  <si>
    <t>NB Comm OH - 014160</t>
  </si>
  <si>
    <t>CNBCD416U</t>
  </si>
  <si>
    <t>NB Comm UG - 014160</t>
  </si>
  <si>
    <t>CNBCD426O</t>
  </si>
  <si>
    <t>NB Comm OH - 014260</t>
  </si>
  <si>
    <t>CNBCD426U</t>
  </si>
  <si>
    <t>NB Comm UG - 014260</t>
  </si>
  <si>
    <t>CNBCD766O</t>
  </si>
  <si>
    <t>NB Comm OH - 017660</t>
  </si>
  <si>
    <t>CNBCD766U</t>
  </si>
  <si>
    <t>NB Comm UG - 017660</t>
  </si>
  <si>
    <t>CNBRD156O</t>
  </si>
  <si>
    <t>NB Resid OH - 011560</t>
  </si>
  <si>
    <t>CNBRD156U</t>
  </si>
  <si>
    <t>NB Resid UG - 011560</t>
  </si>
  <si>
    <t>CNBRD216O</t>
  </si>
  <si>
    <t>NB Resid OH - 012160</t>
  </si>
  <si>
    <t>CNBRD216U</t>
  </si>
  <si>
    <t>NB Resid UG - 012160</t>
  </si>
  <si>
    <t>CNBRD236O</t>
  </si>
  <si>
    <t>NB Resid OH - 012360</t>
  </si>
  <si>
    <t>CNBRD236U</t>
  </si>
  <si>
    <t>NB Resid UG - 012360</t>
  </si>
  <si>
    <t>CNBRD246O</t>
  </si>
  <si>
    <t>NB Resid OH - 012460</t>
  </si>
  <si>
    <t>CNBRD246U</t>
  </si>
  <si>
    <t>NB Resid UG - 012460</t>
  </si>
  <si>
    <t>CNBRD256O</t>
  </si>
  <si>
    <t>NB Resid OH - 012560</t>
  </si>
  <si>
    <t>CNBRD256U</t>
  </si>
  <si>
    <t>NB Resid UG - 012560</t>
  </si>
  <si>
    <t>CNBRD315O</t>
  </si>
  <si>
    <t>NB Resid OH - 013150</t>
  </si>
  <si>
    <t>CNBRD315U</t>
  </si>
  <si>
    <t>NB Resid UG - 013150</t>
  </si>
  <si>
    <t>CNBRD366O</t>
  </si>
  <si>
    <t>NB Resid OH - 013660</t>
  </si>
  <si>
    <t>CNBRD366U</t>
  </si>
  <si>
    <t>NB Resid UG - 013660</t>
  </si>
  <si>
    <t>CNBRD416O</t>
  </si>
  <si>
    <t>NB Resid OH - 014160</t>
  </si>
  <si>
    <t>CNBRD416U</t>
  </si>
  <si>
    <t>NB Resid UG - 014160</t>
  </si>
  <si>
    <t>CNBRD426O</t>
  </si>
  <si>
    <t>NB Resid OH - 014260</t>
  </si>
  <si>
    <t>CNBRD426U</t>
  </si>
  <si>
    <t>NB Resid UG - 014260</t>
  </si>
  <si>
    <t>CNBRD766O</t>
  </si>
  <si>
    <t>NB Resid OH - 017660</t>
  </si>
  <si>
    <t>CNBRD766U</t>
  </si>
  <si>
    <t>NB Resid UG - 017660</t>
  </si>
  <si>
    <t>CNBSV156O</t>
  </si>
  <si>
    <t>NB Elect Serv OH - 011560</t>
  </si>
  <si>
    <t>CNBSV156U</t>
  </si>
  <si>
    <t>NB Elect Serv UG - 011560</t>
  </si>
  <si>
    <t>CNBSV216O</t>
  </si>
  <si>
    <t>NB Elect Serv OH - 012160</t>
  </si>
  <si>
    <t>CNBSV216U</t>
  </si>
  <si>
    <t>NB Elect Serv UG - 012160</t>
  </si>
  <si>
    <t>CNBSV236O</t>
  </si>
  <si>
    <t>NB Elect Serv OH - 012360</t>
  </si>
  <si>
    <t>CNBSV236U</t>
  </si>
  <si>
    <t>NB Elect Serv UG - 012360</t>
  </si>
  <si>
    <t>CNBSV246O</t>
  </si>
  <si>
    <t>NB Elect Serv OH - 012460</t>
  </si>
  <si>
    <t>CNBSV246U</t>
  </si>
  <si>
    <t>NB Elect Serv UG - 012460</t>
  </si>
  <si>
    <t>CNBSV256O</t>
  </si>
  <si>
    <t>NB Elect Serv OH - 012560</t>
  </si>
  <si>
    <t>CNBSV256U</t>
  </si>
  <si>
    <t>NB Elect Serv UG - 012560</t>
  </si>
  <si>
    <t>CNBSV315O</t>
  </si>
  <si>
    <t>NB Elect Serv OH - 013150</t>
  </si>
  <si>
    <t>CNBSV315U</t>
  </si>
  <si>
    <t>NB Elect Serv UG - 013150</t>
  </si>
  <si>
    <t>CNBSV366O</t>
  </si>
  <si>
    <t>NB Elect Serv OH - 013660</t>
  </si>
  <si>
    <t>CNBSV366U</t>
  </si>
  <si>
    <t>NB Elect Serv UG - 013660</t>
  </si>
  <si>
    <t>CNBSV416O</t>
  </si>
  <si>
    <t>NB Elect Serv OH - 014160</t>
  </si>
  <si>
    <t>CNBSV416U</t>
  </si>
  <si>
    <t>NB Elect Serv UG - 014160</t>
  </si>
  <si>
    <t>CNBSV426O</t>
  </si>
  <si>
    <t>NB Elect Serv OH - 014260</t>
  </si>
  <si>
    <t>CNBSV426U</t>
  </si>
  <si>
    <t>NB Elect Serv UG - 014260</t>
  </si>
  <si>
    <t>CNBSV766O</t>
  </si>
  <si>
    <t>NB Elect Serv OH - 017660</t>
  </si>
  <si>
    <t>CNBSV766U</t>
  </si>
  <si>
    <t>NB Elect Serv UG - 017660</t>
  </si>
  <si>
    <t>CPBWK156</t>
  </si>
  <si>
    <t>El Public Works - 011560</t>
  </si>
  <si>
    <t>CPBWK216</t>
  </si>
  <si>
    <t>El Public Works - 012160</t>
  </si>
  <si>
    <t>CPBWK236</t>
  </si>
  <si>
    <t>El Public Works - 012360</t>
  </si>
  <si>
    <t>CPBWK246</t>
  </si>
  <si>
    <t>El Public Works - 012460</t>
  </si>
  <si>
    <t>CPBWK256</t>
  </si>
  <si>
    <t>El Public Works - 012560</t>
  </si>
  <si>
    <t>CPBWK315</t>
  </si>
  <si>
    <t>El Public Works - 013150</t>
  </si>
  <si>
    <t>CPBWK366</t>
  </si>
  <si>
    <t>El Public Works - 013660</t>
  </si>
  <si>
    <t>CPBWK416</t>
  </si>
  <si>
    <t>El Public Works - 014160</t>
  </si>
  <si>
    <t>CPBWK426</t>
  </si>
  <si>
    <t>El Public Works - 014260</t>
  </si>
  <si>
    <t>CPOL216</t>
  </si>
  <si>
    <t>NB Outdoor Lights - 012160</t>
  </si>
  <si>
    <t>CPOL246</t>
  </si>
  <si>
    <t>NB Outdoor Lights - 012460</t>
  </si>
  <si>
    <t>CRCST156</t>
  </si>
  <si>
    <t>Cust Requested - 011560</t>
  </si>
  <si>
    <t>CRCST216</t>
  </si>
  <si>
    <t>Cust Requested - 012160</t>
  </si>
  <si>
    <t>CRCST236</t>
  </si>
  <si>
    <t>Cust Requested - 012360</t>
  </si>
  <si>
    <t>CRCST246</t>
  </si>
  <si>
    <t>Cust Requested - 012460</t>
  </si>
  <si>
    <t>CRCST256</t>
  </si>
  <si>
    <t>Cust Requested - 012560</t>
  </si>
  <si>
    <t>CRCST315</t>
  </si>
  <si>
    <t>Cust Requested - 013150</t>
  </si>
  <si>
    <t>CRCST366</t>
  </si>
  <si>
    <t>Cust Requested - 013660</t>
  </si>
  <si>
    <t>CRCST416</t>
  </si>
  <si>
    <t>Cust Requested - 014160</t>
  </si>
  <si>
    <t>CRCST426</t>
  </si>
  <si>
    <t>Cust Requested - 014260</t>
  </si>
  <si>
    <t>CRCST766</t>
  </si>
  <si>
    <t>Cust Requested - 017660</t>
  </si>
  <si>
    <t>CRDD156O</t>
  </si>
  <si>
    <t>Capital Rep Def OH - 011560</t>
  </si>
  <si>
    <t>CRDD156U</t>
  </si>
  <si>
    <t>Capital Rep Def UG - 011560</t>
  </si>
  <si>
    <t>CRDD216O</t>
  </si>
  <si>
    <t>Capital Rep Def OH - 012160</t>
  </si>
  <si>
    <t>CRDD216U</t>
  </si>
  <si>
    <t>Capital Rep Def UG - 012160</t>
  </si>
  <si>
    <t>CRDD236O</t>
  </si>
  <si>
    <t>Capital Rep Def OH - 012360</t>
  </si>
  <si>
    <t>CRDD236U</t>
  </si>
  <si>
    <t>Capital Rep Def UG - 012360</t>
  </si>
  <si>
    <t>CRDD246O</t>
  </si>
  <si>
    <t>Capital Rep Def OH - 012460</t>
  </si>
  <si>
    <t>CRDD246U</t>
  </si>
  <si>
    <t>Capital Rep Def UG - 012460</t>
  </si>
  <si>
    <t>CRDD256O</t>
  </si>
  <si>
    <t>Capital Rep Def OH - 012560</t>
  </si>
  <si>
    <t>CRDD256U</t>
  </si>
  <si>
    <t>Capital Rep Def UG - 012560</t>
  </si>
  <si>
    <t>CRDD315O</t>
  </si>
  <si>
    <t>Capital Rep Def OH - 013150</t>
  </si>
  <si>
    <t>CRDD315U</t>
  </si>
  <si>
    <t>Capital Rep Def UG - 013150</t>
  </si>
  <si>
    <t>CRDD366O</t>
  </si>
  <si>
    <t>Capital Rep Def OH - 013660</t>
  </si>
  <si>
    <t>CRDD366U</t>
  </si>
  <si>
    <t>Capital Rep Def UG - 013660</t>
  </si>
  <si>
    <t>CRDD416O</t>
  </si>
  <si>
    <t>Capital Rep Def OH - 014160</t>
  </si>
  <si>
    <t>CRDD416U</t>
  </si>
  <si>
    <t>Capital Rep Def UG - 014160</t>
  </si>
  <si>
    <t>CRDD426O</t>
  </si>
  <si>
    <t>Capital Rep Def OH - 014260</t>
  </si>
  <si>
    <t>CRDD426U</t>
  </si>
  <si>
    <t>Capital Rep Def UG - 014260</t>
  </si>
  <si>
    <t>CRDD766O</t>
  </si>
  <si>
    <t>Capital Rep Def OH - 017660</t>
  </si>
  <si>
    <t>CRDD766U</t>
  </si>
  <si>
    <t>Capital Rep Def UG - 017660</t>
  </si>
  <si>
    <t>CRELD156</t>
  </si>
  <si>
    <t>Capital Reliability - 011560</t>
  </si>
  <si>
    <t>CRELD216</t>
  </si>
  <si>
    <t>Capital Reliability - 012160</t>
  </si>
  <si>
    <t>CRELD236</t>
  </si>
  <si>
    <t>Capital Reliability - 012360</t>
  </si>
  <si>
    <t>CRELD246</t>
  </si>
  <si>
    <t>Capital Reliability - 012460</t>
  </si>
  <si>
    <t>CRELD256</t>
  </si>
  <si>
    <t>Capital Reliability - 012560</t>
  </si>
  <si>
    <t>CRELD315</t>
  </si>
  <si>
    <t>Capital Reliability - 013150</t>
  </si>
  <si>
    <t>CRELD366</t>
  </si>
  <si>
    <t>Capital Reliability - 013660</t>
  </si>
  <si>
    <t>CRELD416</t>
  </si>
  <si>
    <t>Capital Reliability - 014160</t>
  </si>
  <si>
    <t>CRELD426</t>
  </si>
  <si>
    <t>Capital Reliability - 014260</t>
  </si>
  <si>
    <t>CRELD766</t>
  </si>
  <si>
    <t>Capital Reliability - 017660</t>
  </si>
  <si>
    <t>CRPOL156</t>
  </si>
  <si>
    <t>Repair Outdoor Lights - 011560</t>
  </si>
  <si>
    <t>CRPOL216</t>
  </si>
  <si>
    <t>Repair Outdoor Lights - 012160</t>
  </si>
  <si>
    <t>CRPOL236</t>
  </si>
  <si>
    <t>Repair Outdoor Lights - 012360</t>
  </si>
  <si>
    <t>CRPOL246</t>
  </si>
  <si>
    <t>Repair Outdoor Lights - 012460</t>
  </si>
  <si>
    <t>CRPOL315</t>
  </si>
  <si>
    <t>Repair Outdoor Lights - 013150</t>
  </si>
  <si>
    <t>CRPOL416</t>
  </si>
  <si>
    <t>Repair Outdoor Lights - 014160</t>
  </si>
  <si>
    <t>CRPOL766</t>
  </si>
  <si>
    <t>Repair Outdoor Lights - 017660</t>
  </si>
  <si>
    <t>CRPOLE156</t>
  </si>
  <si>
    <t>Pole Repair/Replace - 011560</t>
  </si>
  <si>
    <t>CRPOLE216</t>
  </si>
  <si>
    <t>Pole Repair/Replace - 012160</t>
  </si>
  <si>
    <t>CRPOLE236</t>
  </si>
  <si>
    <t>Pole Repair/Replace - 012360</t>
  </si>
  <si>
    <t>CRPOLE246</t>
  </si>
  <si>
    <t>Pole Repair/Replace - 012460</t>
  </si>
  <si>
    <t>CRPOLE256</t>
  </si>
  <si>
    <t>Pole Repair/Replace - 012560</t>
  </si>
  <si>
    <t>CRPOLE315</t>
  </si>
  <si>
    <t>Pole Repair/Replace - 013150</t>
  </si>
  <si>
    <t>CRPOLE366</t>
  </si>
  <si>
    <t>Pole Repair/Replace - 013660</t>
  </si>
  <si>
    <t>CRPOLE416</t>
  </si>
  <si>
    <t>Pole Repair/Replace - 014160</t>
  </si>
  <si>
    <t>CRPOLE426</t>
  </si>
  <si>
    <t>Pole Repair/Replace - 014260</t>
  </si>
  <si>
    <t>CRPOLE766</t>
  </si>
  <si>
    <t>Pole Repair/Replace - 017660</t>
  </si>
  <si>
    <t>CRSTLT156</t>
  </si>
  <si>
    <t>Repair Street Lights - 011560</t>
  </si>
  <si>
    <t>CRSTLT216</t>
  </si>
  <si>
    <t>Repair Street Lights - 012160</t>
  </si>
  <si>
    <t>CRSTLT236</t>
  </si>
  <si>
    <t>Repair Street Lights - 012360</t>
  </si>
  <si>
    <t>CRSTLT246</t>
  </si>
  <si>
    <t>Repair Street Lights - 012460</t>
  </si>
  <si>
    <t>CRSTLT256</t>
  </si>
  <si>
    <t>Repair Street Lights - 012560</t>
  </si>
  <si>
    <t>CRSTLT315</t>
  </si>
  <si>
    <t>Repair Street Lights - 013150</t>
  </si>
  <si>
    <t>CRSTLT366</t>
  </si>
  <si>
    <t>Repair Street Lights - 013660</t>
  </si>
  <si>
    <t>CRSTLT416</t>
  </si>
  <si>
    <t>Repair Street Lights - 014160</t>
  </si>
  <si>
    <t>CRSTLT426</t>
  </si>
  <si>
    <t>Repair Street Lights - 014260</t>
  </si>
  <si>
    <t>CRSTLT766</t>
  </si>
  <si>
    <t>Repair Street Lights - 017660</t>
  </si>
  <si>
    <t>CSTLT156</t>
  </si>
  <si>
    <t>NB Street Lights - 011560</t>
  </si>
  <si>
    <t>CSTLT216</t>
  </si>
  <si>
    <t>NB Street Lights - 012160</t>
  </si>
  <si>
    <t>CSTLT236</t>
  </si>
  <si>
    <t>NB Street Lights - 012360</t>
  </si>
  <si>
    <t>CSTLT246</t>
  </si>
  <si>
    <t>NB Street Lights - 012460</t>
  </si>
  <si>
    <t>CSTLT256</t>
  </si>
  <si>
    <t>NB Street Lights - 012560</t>
  </si>
  <si>
    <t>CSTLT315</t>
  </si>
  <si>
    <t>NB Street Lights - 013150</t>
  </si>
  <si>
    <t>CSTLT366</t>
  </si>
  <si>
    <t>NB Street Lights - 013660</t>
  </si>
  <si>
    <t>CSTLT416</t>
  </si>
  <si>
    <t>NB Street Lights - 014160</t>
  </si>
  <si>
    <t>CSTLT426</t>
  </si>
  <si>
    <t>NB Street Lights - 014260</t>
  </si>
  <si>
    <t>CSTLT766</t>
  </si>
  <si>
    <t>NB Street Lights - 017660</t>
  </si>
  <si>
    <t>CSTRM156</t>
  </si>
  <si>
    <t>Cap Minor Storms - 011560</t>
  </si>
  <si>
    <t>CSTRM216</t>
  </si>
  <si>
    <t>Cap Minor Storms - 012160</t>
  </si>
  <si>
    <t>CSTRM236</t>
  </si>
  <si>
    <t>Cap Minor Storms - 012360</t>
  </si>
  <si>
    <t>CSTRM246</t>
  </si>
  <si>
    <t>Cap Minor Storms - 012460</t>
  </si>
  <si>
    <t>CSTRM256</t>
  </si>
  <si>
    <t>Cap Minor Storms - 012560</t>
  </si>
  <si>
    <t>CSTRM315</t>
  </si>
  <si>
    <t>Cap Minor Storms - 013150</t>
  </si>
  <si>
    <t>CSTRM366</t>
  </si>
  <si>
    <t>Cap Minor Storms - 013660</t>
  </si>
  <si>
    <t>CSTRM416</t>
  </si>
  <si>
    <t>Cap Minor Storms - 014160</t>
  </si>
  <si>
    <t>CSTRM426</t>
  </si>
  <si>
    <t>Cap Minor Storms - 014260</t>
  </si>
  <si>
    <t>CSTRM766</t>
  </si>
  <si>
    <t>Cap Minor Storms - 017660</t>
  </si>
  <si>
    <t>CSYSEN156</t>
  </si>
  <si>
    <t>Sys Enh - 011560</t>
  </si>
  <si>
    <t>CSYSEN216</t>
  </si>
  <si>
    <t>Sys Enh - 012160</t>
  </si>
  <si>
    <t>CSYSEN236</t>
  </si>
  <si>
    <t>Sys Enh - 012360</t>
  </si>
  <si>
    <t>CSYSEN246</t>
  </si>
  <si>
    <t>Sys Enh - 012460</t>
  </si>
  <si>
    <t>CSYSEN256</t>
  </si>
  <si>
    <t>Sys Enh - 012560</t>
  </si>
  <si>
    <t>CSYSEN315</t>
  </si>
  <si>
    <t>Sys Enh - 013150</t>
  </si>
  <si>
    <t>CSYSEN366</t>
  </si>
  <si>
    <t>Sys Enh - 013660</t>
  </si>
  <si>
    <t>CSYSEN416</t>
  </si>
  <si>
    <t>Sys Enh - 014160</t>
  </si>
  <si>
    <t>CSYSEN426</t>
  </si>
  <si>
    <t>Sys Enh - 014260</t>
  </si>
  <si>
    <t>CSYSEN766</t>
  </si>
  <si>
    <t>Sys Enh - 017660</t>
  </si>
  <si>
    <t>CTBRD156O</t>
  </si>
  <si>
    <t>Cap Trouble Orders OH - 011560</t>
  </si>
  <si>
    <t>CTBRD156U</t>
  </si>
  <si>
    <t>Cap Trouble Orders UG - 011560</t>
  </si>
  <si>
    <t>CTBRD216O</t>
  </si>
  <si>
    <t>Cap Trouble Orders OH - 012160</t>
  </si>
  <si>
    <t>CTBRD216U</t>
  </si>
  <si>
    <t>Cap Trouble Orders UG - 012160</t>
  </si>
  <si>
    <t>CTBRD236O</t>
  </si>
  <si>
    <t>Cap Trouble Orders OH - 012360</t>
  </si>
  <si>
    <t>CTBRD236U</t>
  </si>
  <si>
    <t>Cap Trouble Orders UG - 012360</t>
  </si>
  <si>
    <t>CTBRD246O</t>
  </si>
  <si>
    <t>Cap Trouble Orders OH - 012460</t>
  </si>
  <si>
    <t>CTBRD246U</t>
  </si>
  <si>
    <t>Cap Trouble Orders UG - 012460</t>
  </si>
  <si>
    <t>CTBRD256O</t>
  </si>
  <si>
    <t>Cap Trouble Orders OH - 012560</t>
  </si>
  <si>
    <t>CTBRD315O</t>
  </si>
  <si>
    <t>Cap Trouble Orders OH - 013150</t>
  </si>
  <si>
    <t>CTBRD315U</t>
  </si>
  <si>
    <t>Cap Trouble Orders UG - 013150</t>
  </si>
  <si>
    <t>CTBRD366O</t>
  </si>
  <si>
    <t>Cap Trouble Orders OH - 013660</t>
  </si>
  <si>
    <t>CTBRD366U</t>
  </si>
  <si>
    <t>Cap Trouble Orders UG - 013660</t>
  </si>
  <si>
    <t>CTBRD416O</t>
  </si>
  <si>
    <t>Cap Trouble Orders OH - 014160</t>
  </si>
  <si>
    <t>CTBRD416U</t>
  </si>
  <si>
    <t>Cap Trouble Order UG - 014160</t>
  </si>
  <si>
    <t>CTBRD426O</t>
  </si>
  <si>
    <t>Cap Trouble Orders OH - 014260</t>
  </si>
  <si>
    <t>CTBRD426U</t>
  </si>
  <si>
    <t>Cap Trouble Orders UG - 014260</t>
  </si>
  <si>
    <t>CTBRD766O</t>
  </si>
  <si>
    <t>Cap Trouble Orders OH - 017660</t>
  </si>
  <si>
    <t>CTPD156</t>
  </si>
  <si>
    <t>Capital Thrd Party - 011560</t>
  </si>
  <si>
    <t>CTPD216</t>
  </si>
  <si>
    <t>Capital Thrd Party - 012160</t>
  </si>
  <si>
    <t>CTPD236</t>
  </si>
  <si>
    <t>Capital Thrd Party - 012360</t>
  </si>
  <si>
    <t>CTPD246</t>
  </si>
  <si>
    <t>Capital Thrd Party - 012460</t>
  </si>
  <si>
    <t>CTPD256</t>
  </si>
  <si>
    <t>Capital Thrd Party - 012560</t>
  </si>
  <si>
    <t>CTPD315</t>
  </si>
  <si>
    <t>Capital Thrd Party - 013150</t>
  </si>
  <si>
    <t>CTPD366</t>
  </si>
  <si>
    <t>Capital Thrd Party - 013660</t>
  </si>
  <si>
    <t>CTPD416</t>
  </si>
  <si>
    <t>Capital Thrd Party - 014160</t>
  </si>
  <si>
    <t>CTPD426</t>
  </si>
  <si>
    <t>Capital Thrd Party - 014260</t>
  </si>
  <si>
    <t>CTPD766</t>
  </si>
  <si>
    <t>Capital Thrd Party - 017660</t>
  </si>
  <si>
    <t>CXFRM156</t>
  </si>
  <si>
    <t>NB Transformers - 011560</t>
  </si>
  <si>
    <t>CXFRM216</t>
  </si>
  <si>
    <t>NB Transformers - 012160</t>
  </si>
  <si>
    <t>CXFRM236</t>
  </si>
  <si>
    <t>NB Transformers - 012360</t>
  </si>
  <si>
    <t>CXFRM246</t>
  </si>
  <si>
    <t>NB Transformers - 012460</t>
  </si>
  <si>
    <t>CXFRM256</t>
  </si>
  <si>
    <t>NB Transformers - 012560</t>
  </si>
  <si>
    <t>CXFRM301</t>
  </si>
  <si>
    <t>KU Line Transformers</t>
  </si>
  <si>
    <t>CXFRM315</t>
  </si>
  <si>
    <t>NB Transformers - 013150</t>
  </si>
  <si>
    <t>CXFRM366</t>
  </si>
  <si>
    <t>NB Transformers - 013660</t>
  </si>
  <si>
    <t>CXFRM416</t>
  </si>
  <si>
    <t>NB Transformers - 014160</t>
  </si>
  <si>
    <t>CXFRM426</t>
  </si>
  <si>
    <t>NB Transformers - 014260</t>
  </si>
  <si>
    <t>CXFRM766</t>
  </si>
  <si>
    <t>NB Transformers - 017660</t>
  </si>
  <si>
    <t>FAC00000K</t>
  </si>
  <si>
    <t>SIMP NEW PARKING KU</t>
  </si>
  <si>
    <t>IT0001K</t>
  </si>
  <si>
    <t>ABB Upgrade-KU17</t>
  </si>
  <si>
    <t>IT0002K</t>
  </si>
  <si>
    <t>Access Switch Rotation-KU17</t>
  </si>
  <si>
    <t>IT0004K</t>
  </si>
  <si>
    <t>Analog Sunset-KU17</t>
  </si>
  <si>
    <t>IT0006K</t>
  </si>
  <si>
    <t>Aspect Workfor Sched App-KU17</t>
  </si>
  <si>
    <t>IT0007K</t>
  </si>
  <si>
    <t>Backup Cap Exp-KU17</t>
  </si>
  <si>
    <t>IT0008K</t>
  </si>
  <si>
    <t>Bulk Power &amp; Env Sys-KU17</t>
  </si>
  <si>
    <t>IT0008KU</t>
  </si>
  <si>
    <t>Bulk Power Env Sys-KU Direct</t>
  </si>
  <si>
    <t>IT0009K</t>
  </si>
  <si>
    <t>Cabling for Server Conn-KU17</t>
  </si>
  <si>
    <t>IT0010K</t>
  </si>
  <si>
    <t>Call Recording Minor Upg-KU17</t>
  </si>
  <si>
    <t>IT0012K</t>
  </si>
  <si>
    <t>Centrify Licensing-KU17</t>
  </si>
  <si>
    <t>IT0013K</t>
  </si>
  <si>
    <t>CERUS IV-KU17</t>
  </si>
  <si>
    <t>IT0015K</t>
  </si>
  <si>
    <t>CIP Compliance Tools Yr7-KU17</t>
  </si>
  <si>
    <t>IT0017K</t>
  </si>
  <si>
    <t>Commun Solar Implem-KU17-18</t>
  </si>
  <si>
    <t>IT0018K</t>
  </si>
  <si>
    <t>CIP Compliance Infr Yr7-KU17</t>
  </si>
  <si>
    <t>IT0019K</t>
  </si>
  <si>
    <t>Computer HW for LOB's-KU17</t>
  </si>
  <si>
    <t>IT0020K</t>
  </si>
  <si>
    <t>Core Network Infrast-KU17</t>
  </si>
  <si>
    <t>IT0021K</t>
  </si>
  <si>
    <t>Corp Web Redesign Upgr-KU17</t>
  </si>
  <si>
    <t>IT0026K</t>
  </si>
  <si>
    <t>Data Protection-KU17-18</t>
  </si>
  <si>
    <t>IT0027K</t>
  </si>
  <si>
    <t>Domain Cntrls ICCP-KU17</t>
  </si>
  <si>
    <t>IT0030K</t>
  </si>
  <si>
    <t>EMS CIP-KU17</t>
  </si>
  <si>
    <t>IT0033K</t>
  </si>
  <si>
    <t>Enterprise Strg Sys Refr-KU17</t>
  </si>
  <si>
    <t>IT0035K</t>
  </si>
  <si>
    <t>FieldNet SoftwareUpgr-KU17</t>
  </si>
  <si>
    <t>IT0042K</t>
  </si>
  <si>
    <t>GIS BI Reporting-KU17</t>
  </si>
  <si>
    <t>IT0044K</t>
  </si>
  <si>
    <t>Impedance App-KU17</t>
  </si>
  <si>
    <t>IT0045K</t>
  </si>
  <si>
    <t>Intrusion Prevention-KU17-18</t>
  </si>
  <si>
    <t>IT0048K</t>
  </si>
  <si>
    <t>IT Security CIP Lab Enhn-KU17</t>
  </si>
  <si>
    <t>IT0049K</t>
  </si>
  <si>
    <t>KU MW Tower Repl Badger-KU17</t>
  </si>
  <si>
    <t>IT0051K</t>
  </si>
  <si>
    <t>Louisville Elect Upgrds-KU17</t>
  </si>
  <si>
    <t>IT0052K</t>
  </si>
  <si>
    <t>Louisville Racks/Furn-KU17</t>
  </si>
  <si>
    <t>IT0054K</t>
  </si>
  <si>
    <t>Microsoft EA-KU17</t>
  </si>
  <si>
    <t>IT0055K</t>
  </si>
  <si>
    <t>Microsoft Lic True-up-KU17</t>
  </si>
  <si>
    <t>IT0057K</t>
  </si>
  <si>
    <t>Mob 5500 Netscale HW Ref-KU16</t>
  </si>
  <si>
    <t>IT0061K</t>
  </si>
  <si>
    <t>Mobile Radio-KU17</t>
  </si>
  <si>
    <t>IT0062K</t>
  </si>
  <si>
    <t>Monitor Replacement-KU17</t>
  </si>
  <si>
    <t>IT0064K</t>
  </si>
  <si>
    <t>Multi-Func Devices Refr-KU17</t>
  </si>
  <si>
    <t>IT0065K</t>
  </si>
  <si>
    <t>NAS Capacity Expansion-KU17</t>
  </si>
  <si>
    <t>IT0066K</t>
  </si>
  <si>
    <t>NEC MW Rad Encrypt Card-KU17</t>
  </si>
  <si>
    <t>IT0067K</t>
  </si>
  <si>
    <t>Network Access Dev-KU17</t>
  </si>
  <si>
    <t>IT0067KU</t>
  </si>
  <si>
    <t>Network Access Dev-KU17 Direc</t>
  </si>
  <si>
    <t>IT0068K</t>
  </si>
  <si>
    <t>Network Acc Gatwy-KU17</t>
  </si>
  <si>
    <t>IT0069K</t>
  </si>
  <si>
    <t>Network Management-KU17</t>
  </si>
  <si>
    <t>IT0070K</t>
  </si>
  <si>
    <t>Network Mgmt Tech Ref-KU17</t>
  </si>
  <si>
    <t>IT0071K</t>
  </si>
  <si>
    <t>Network Test Equip-KU17</t>
  </si>
  <si>
    <t>IT0075K</t>
  </si>
  <si>
    <t>OpenText Transmission-KU17-18</t>
  </si>
  <si>
    <t>IT0077K</t>
  </si>
  <si>
    <t>Oracle NMS Upgrade-KU17</t>
  </si>
  <si>
    <t>IT0078K</t>
  </si>
  <si>
    <t>OTN DWDM Repl (Encrypt)-KU17</t>
  </si>
  <si>
    <t>IT0079K</t>
  </si>
  <si>
    <t>Outside Cable Plant-KU17</t>
  </si>
  <si>
    <t>IT0083K</t>
  </si>
  <si>
    <t>Primavera to PowerPlan-KU17</t>
  </si>
  <si>
    <t>IT0084K</t>
  </si>
  <si>
    <t>Purch/Rebuild Radio Site-KU17</t>
  </si>
  <si>
    <t>IT0086K</t>
  </si>
  <si>
    <t>Repl Oper Workstations-KU17</t>
  </si>
  <si>
    <t>IT0087K</t>
  </si>
  <si>
    <t>Repl RDUs at BOC-KU17</t>
  </si>
  <si>
    <t>IT0089K</t>
  </si>
  <si>
    <t>Rev Collections Impl-KU17</t>
  </si>
  <si>
    <t>IT0090K</t>
  </si>
  <si>
    <t>Rplce EMS Workstations-KU17</t>
  </si>
  <si>
    <t>IT0092K</t>
  </si>
  <si>
    <t>Sec Infra Enhance-KU17</t>
  </si>
  <si>
    <t>IT0093K</t>
  </si>
  <si>
    <t>Server Capacity Exp-KU17</t>
  </si>
  <si>
    <t>IT0094K</t>
  </si>
  <si>
    <t>Server Hardware Refr-KU17</t>
  </si>
  <si>
    <t>IT0096K</t>
  </si>
  <si>
    <t>LogRhythm (CIP)-KU17</t>
  </si>
  <si>
    <t>IT0097K</t>
  </si>
  <si>
    <t>LogRhythm (Corp)-KU17</t>
  </si>
  <si>
    <t>IT0098K</t>
  </si>
  <si>
    <t>Simpsonville Elect Upgr-KU17</t>
  </si>
  <si>
    <t>IT0099K</t>
  </si>
  <si>
    <t>Simpsonville Furn/Racks-KU17</t>
  </si>
  <si>
    <t>IT0100K</t>
  </si>
  <si>
    <t>Site Security Improve-KU17</t>
  </si>
  <si>
    <t>IT0101K</t>
  </si>
  <si>
    <t>Smallworld GIS Upgr-KU17-19</t>
  </si>
  <si>
    <t>IT0103K</t>
  </si>
  <si>
    <t>Sys Lab software replace-KU16</t>
  </si>
  <si>
    <t>IT0104K</t>
  </si>
  <si>
    <t>Sys Mgmt-SCOM-KU17</t>
  </si>
  <si>
    <t>IT0105K</t>
  </si>
  <si>
    <t>Tech Refesh desk/lap-KU17</t>
  </si>
  <si>
    <t>IT0106K</t>
  </si>
  <si>
    <t>Telecom Shelter Renov-KU17</t>
  </si>
  <si>
    <t>IT0108K</t>
  </si>
  <si>
    <t>TOA Phase 4-KU17</t>
  </si>
  <si>
    <t>IT0110K</t>
  </si>
  <si>
    <t>Trans Cascade-Oracle-KU17</t>
  </si>
  <si>
    <t>IT0111K</t>
  </si>
  <si>
    <t>Trans Vegetation Mgt-KU17-18</t>
  </si>
  <si>
    <t>IT0112K</t>
  </si>
  <si>
    <t>Trans Map Land Use-KU17</t>
  </si>
  <si>
    <t>IT0114K</t>
  </si>
  <si>
    <t>TRMS Upgrade-KU17</t>
  </si>
  <si>
    <t>IT0115K</t>
  </si>
  <si>
    <t>TRODS-KU17</t>
  </si>
  <si>
    <t>IT0118K</t>
  </si>
  <si>
    <t>UC&amp;C/CUCM Upgrades-KU17</t>
  </si>
  <si>
    <t>IT0119K</t>
  </si>
  <si>
    <t>Upgrade Vmware Infra-KU17</t>
  </si>
  <si>
    <t>IT0120K</t>
  </si>
  <si>
    <t>Upgrade EMS HW-KU17</t>
  </si>
  <si>
    <t>IT0121K</t>
  </si>
  <si>
    <t>Phone Expansion-KU17</t>
  </si>
  <si>
    <t>IT0122K</t>
  </si>
  <si>
    <t>Windows 10 Upgrade-KU17</t>
  </si>
  <si>
    <t>IT0123K</t>
  </si>
  <si>
    <t>Wireless Buildout-KU17</t>
  </si>
  <si>
    <t>IT0128K</t>
  </si>
  <si>
    <t>App Security Enhance-KU17</t>
  </si>
  <si>
    <t>IT0130CG</t>
  </si>
  <si>
    <t>Stone Rd Telec Stor Expan-KU17</t>
  </si>
  <si>
    <t>IT0131KU</t>
  </si>
  <si>
    <t>SAP Regression Test Auto- KU17</t>
  </si>
  <si>
    <t>IT0132K</t>
  </si>
  <si>
    <t>EMS Channel Cap Expan-KU17</t>
  </si>
  <si>
    <t>IT0133K</t>
  </si>
  <si>
    <t>CA API Mgmt Gateways-KU17</t>
  </si>
  <si>
    <t>IT0134K</t>
  </si>
  <si>
    <t>CTS 5 Min Enhance Proj-KU17</t>
  </si>
  <si>
    <t>IT0135K</t>
  </si>
  <si>
    <t>Strategic Sourcing-KU17</t>
  </si>
  <si>
    <t>IT0136K</t>
  </si>
  <si>
    <t>Electric Modeling Softw-KU17</t>
  </si>
  <si>
    <t>IT0137K</t>
  </si>
  <si>
    <t>nMkt MISO Glob Prm Upgd-KU17</t>
  </si>
  <si>
    <t>IT0138K</t>
  </si>
  <si>
    <t>HP Apl Lifecy Mgmt Upgrd-KU17</t>
  </si>
  <si>
    <t>IT0139K</t>
  </si>
  <si>
    <t>Main Scheduling Tool-KU17</t>
  </si>
  <si>
    <t>IT0140K</t>
  </si>
  <si>
    <t>Citrix WAF Implem-KU17</t>
  </si>
  <si>
    <t>IT0142K</t>
  </si>
  <si>
    <t>Oracle NMS Enhance-KU17</t>
  </si>
  <si>
    <t>IT0143K</t>
  </si>
  <si>
    <t>Aspect Perf Mgmt Module-KU17</t>
  </si>
  <si>
    <t>IT0144K</t>
  </si>
  <si>
    <t>Avaya Call Back Lic-KU17</t>
  </si>
  <si>
    <t>IT0145K</t>
  </si>
  <si>
    <t>Monitor Proj Mgmt Packs-KU17</t>
  </si>
  <si>
    <t>IT0146K</t>
  </si>
  <si>
    <t>RecoverPoint Refresh-KU17</t>
  </si>
  <si>
    <t>IT0147K</t>
  </si>
  <si>
    <t>CoreLogic Parcel GIS-KU17</t>
  </si>
  <si>
    <t>IT0148K</t>
  </si>
  <si>
    <t>Antivirus Replacement-KU17</t>
  </si>
  <si>
    <t>IT0149CG</t>
  </si>
  <si>
    <t>KU MW Tower (Green River)</t>
  </si>
  <si>
    <t>IT0150CG</t>
  </si>
  <si>
    <t>Ghent Stack Reflector-KU17</t>
  </si>
  <si>
    <t>IT0151K</t>
  </si>
  <si>
    <t>PS Benefits Enhancements-KU17</t>
  </si>
  <si>
    <t>IT0153K</t>
  </si>
  <si>
    <t>MR Hardware-KU17</t>
  </si>
  <si>
    <t>IT0154K</t>
  </si>
  <si>
    <t>PE Sharepoint App-KU17</t>
  </si>
  <si>
    <t>IT0155K</t>
  </si>
  <si>
    <t>Cust Serv Rept&amp;Analytics-KU17</t>
  </si>
  <si>
    <t>IT0162K</t>
  </si>
  <si>
    <t>Well Shadow-KU17</t>
  </si>
  <si>
    <t>IT0163K</t>
  </si>
  <si>
    <t>My Account - Respnsv Des-KU17</t>
  </si>
  <si>
    <t>IT0164K</t>
  </si>
  <si>
    <t>Telephony Enhancements-KU17</t>
  </si>
  <si>
    <t>IT0165K</t>
  </si>
  <si>
    <t>Trans Lines Map-Enhance-KU17</t>
  </si>
  <si>
    <t>IT0166K</t>
  </si>
  <si>
    <t>EMS Telecom Spare System-KU17</t>
  </si>
  <si>
    <t>IT0168K</t>
  </si>
  <si>
    <t>Hyper-Converged Infras-KU17</t>
  </si>
  <si>
    <t>IT0169K</t>
  </si>
  <si>
    <t>iPad Refresh Project-KU17</t>
  </si>
  <si>
    <t>IT0170K</t>
  </si>
  <si>
    <t>Sec Metrics Automation-KU17</t>
  </si>
  <si>
    <t>IT0171K</t>
  </si>
  <si>
    <t>LOB Quest Initiatives-KU17</t>
  </si>
  <si>
    <t>IT0172K</t>
  </si>
  <si>
    <t>Dist Automation FSV Enh-KU17</t>
  </si>
  <si>
    <t>IT0173K</t>
  </si>
  <si>
    <t>Wirless Cont Tech Rfrsh-KU17</t>
  </si>
  <si>
    <t>IT0174K</t>
  </si>
  <si>
    <t>Wireless Access Points-KU17</t>
  </si>
  <si>
    <t>IT0175K</t>
  </si>
  <si>
    <t>Nexus Chassis DataNtwrks-KU17</t>
  </si>
  <si>
    <t>IT0176K</t>
  </si>
  <si>
    <t>Modules Core Switches-KU17</t>
  </si>
  <si>
    <t>IT0177K</t>
  </si>
  <si>
    <t>Logical Access-KU17</t>
  </si>
  <si>
    <t>IT0178K</t>
  </si>
  <si>
    <t>InSITE Lic- Inspect mods-KU17</t>
  </si>
  <si>
    <t>IT0179K</t>
  </si>
  <si>
    <t>MATLAB Toolboxes-KU17</t>
  </si>
  <si>
    <t>IT0180K</t>
  </si>
  <si>
    <t>Oracle iProcurement Lic-KU17</t>
  </si>
  <si>
    <t>IT0181K</t>
  </si>
  <si>
    <t>AGENT-KU17</t>
  </si>
  <si>
    <t>IT0182K</t>
  </si>
  <si>
    <t>Dist Cust Status Portal-KU17</t>
  </si>
  <si>
    <t>IT0184K</t>
  </si>
  <si>
    <t>ER Studio-KU17</t>
  </si>
  <si>
    <t>IT0185K</t>
  </si>
  <si>
    <t>MFD Grwth Refr 16-KU</t>
  </si>
  <si>
    <t>IT0186K</t>
  </si>
  <si>
    <t>Data Center Firewalls-KU</t>
  </si>
  <si>
    <t>IT0187K</t>
  </si>
  <si>
    <t>SAP Licenses-KU17</t>
  </si>
  <si>
    <t>IT0224K</t>
  </si>
  <si>
    <t>Exchange 2016 Upgrade-KU17</t>
  </si>
  <si>
    <t>IT0237K</t>
  </si>
  <si>
    <t>KU Tower RepL Bch Grove-KU17</t>
  </si>
  <si>
    <t>IT0269K</t>
  </si>
  <si>
    <t>Rev Collec (Transcentra)-KU17</t>
  </si>
  <si>
    <t>IT0300K</t>
  </si>
  <si>
    <t>WMS Upgrade-KU18-19</t>
  </si>
  <si>
    <t>IT0312K</t>
  </si>
  <si>
    <t>CyberArk Password Vault-KU18</t>
  </si>
  <si>
    <t>IT0316K</t>
  </si>
  <si>
    <t>PI Upgrade-KU18</t>
  </si>
  <si>
    <t>IT0341K</t>
  </si>
  <si>
    <t>FieldSmart View Replace-KU18</t>
  </si>
  <si>
    <t>IT0346K</t>
  </si>
  <si>
    <t>Cherwell Implementation-KU18</t>
  </si>
  <si>
    <t>K5-2012</t>
  </si>
  <si>
    <t>RELOCATION T-LINES KU 2012</t>
  </si>
  <si>
    <t>K5-2015</t>
  </si>
  <si>
    <t>Relocations Trans Lines KU</t>
  </si>
  <si>
    <t>K5-2016</t>
  </si>
  <si>
    <t>Relocations T Lines KU-</t>
  </si>
  <si>
    <t>K8-2015</t>
  </si>
  <si>
    <t>STORM DAMAGE T-LINE KU 2015</t>
  </si>
  <si>
    <t>K8-2017</t>
  </si>
  <si>
    <t>Storm Damage T-Line KU 2017</t>
  </si>
  <si>
    <t>K9-2014</t>
  </si>
  <si>
    <t>PRIORITY REPL T-LINES-KU 2014</t>
  </si>
  <si>
    <t>K9-2015</t>
  </si>
  <si>
    <t>PRIORITY REPL T-LINES KU 2015</t>
  </si>
  <si>
    <t>K9-2016</t>
  </si>
  <si>
    <t>PRIORITY REPL T-LINES KU 2016</t>
  </si>
  <si>
    <t>K9-2017</t>
  </si>
  <si>
    <t>Priority Repl T-Lines KU</t>
  </si>
  <si>
    <t>KARM-2016</t>
  </si>
  <si>
    <t>Priority Repl X-Arms KU 2016</t>
  </si>
  <si>
    <t>KARM-2017</t>
  </si>
  <si>
    <t>Priority Repl X-Arms KU 2017</t>
  </si>
  <si>
    <t>KARREST17</t>
  </si>
  <si>
    <t>KU Arrester Replacements 2017</t>
  </si>
  <si>
    <t>KBRFAIL16</t>
  </si>
  <si>
    <t>KU-Brkr Fail-2016</t>
  </si>
  <si>
    <t>KINS-2017</t>
  </si>
  <si>
    <t>Priority Repl Insltrs KU 2017</t>
  </si>
  <si>
    <t>KOTFAIL16</t>
  </si>
  <si>
    <t>KU-OtherFail-2016</t>
  </si>
  <si>
    <t>KOTFAIL17</t>
  </si>
  <si>
    <t>KU-OtherFail-2017</t>
  </si>
  <si>
    <t>KOTH-2016</t>
  </si>
  <si>
    <t>Priority Repl Other KU 2016</t>
  </si>
  <si>
    <t>KOTH-2017</t>
  </si>
  <si>
    <t>Priority Repl Other KU 2017</t>
  </si>
  <si>
    <t>K-OTHER15</t>
  </si>
  <si>
    <t>KU-Other-2015</t>
  </si>
  <si>
    <t>KOTPR14</t>
  </si>
  <si>
    <t>KU Other Prot Blank 2014</t>
  </si>
  <si>
    <t>KOTPR16</t>
  </si>
  <si>
    <t>KU Other Prot Blanket 2016</t>
  </si>
  <si>
    <t>KOTPR17</t>
  </si>
  <si>
    <t>KU Other Prot Blanket 2017</t>
  </si>
  <si>
    <t>KRELAY-14</t>
  </si>
  <si>
    <t>Relay Replacements-KU-2014</t>
  </si>
  <si>
    <t>KRELAY-15</t>
  </si>
  <si>
    <t>Relay Replacements-KU-2015</t>
  </si>
  <si>
    <t>KRELAY-17</t>
  </si>
  <si>
    <t>Relay Replacements-KU-2017</t>
  </si>
  <si>
    <t>KREL-FL17</t>
  </si>
  <si>
    <t>KU Relay Failures-2017</t>
  </si>
  <si>
    <t>KRTU-14</t>
  </si>
  <si>
    <t>KU RTU Replacements-14</t>
  </si>
  <si>
    <t>KRTU-15</t>
  </si>
  <si>
    <t>KU RTU Replacements-15</t>
  </si>
  <si>
    <t>KRTU-16</t>
  </si>
  <si>
    <t>KU RTU Replacements-16</t>
  </si>
  <si>
    <t>KRTU-17</t>
  </si>
  <si>
    <t>KU RTU Replacements-17</t>
  </si>
  <si>
    <t>KSTSVC12</t>
  </si>
  <si>
    <t>STATION SERV  XFMRS KU-12</t>
  </si>
  <si>
    <t>KSWT-2015</t>
  </si>
  <si>
    <t>PRIORITY REPL SWITCHES KU 2015</t>
  </si>
  <si>
    <t>LI-000001</t>
  </si>
  <si>
    <t>PR Leitchfield 138kV Tap</t>
  </si>
  <si>
    <t>LI-000002</t>
  </si>
  <si>
    <t>PR Kenton-Carntown</t>
  </si>
  <si>
    <t>LI-000004</t>
  </si>
  <si>
    <t>PR Carrollton-Warsaw</t>
  </si>
  <si>
    <t>LI-000006</t>
  </si>
  <si>
    <t>PR Beattyville-West Irvine</t>
  </si>
  <si>
    <t>LI-000018</t>
  </si>
  <si>
    <t>PR Bimble-London</t>
  </si>
  <si>
    <t>LI-000023</t>
  </si>
  <si>
    <t>PR Warsaw-Owen Co EKPC</t>
  </si>
  <si>
    <t>SU-000006</t>
  </si>
  <si>
    <t>PBR-Taylor Co (3) 69kV BKR Rpl</t>
  </si>
  <si>
    <t>SU-000009</t>
  </si>
  <si>
    <t>PBR-Bonnieville(3) 69kV BKRRpl</t>
  </si>
  <si>
    <t>SU-000010</t>
  </si>
  <si>
    <t>PBR-Carntown (1) 69kV BKR Rpl</t>
  </si>
  <si>
    <t>SU-000011</t>
  </si>
  <si>
    <t>PBR-Clinton(3) 69kV BKR Rpl</t>
  </si>
  <si>
    <t>SU-000012</t>
  </si>
  <si>
    <t>PBR-DxDamPlnt (3) 69kV BKR Rpl</t>
  </si>
  <si>
    <t>SU-000013</t>
  </si>
  <si>
    <t>PBR-Kenton (2) 69kV BKR Rpl</t>
  </si>
  <si>
    <t>SU-000043</t>
  </si>
  <si>
    <t>PBR-Delvinta (4) 138kV BKR</t>
  </si>
  <si>
    <t>SU-000048</t>
  </si>
  <si>
    <t>PBR-Bonds Mill (2) 69kV BKR</t>
  </si>
  <si>
    <t>SU-000050</t>
  </si>
  <si>
    <t>PBR-London(5) 69kV BKR</t>
  </si>
  <si>
    <t>SU-000056</t>
  </si>
  <si>
    <t>RSC-Pineville Sec Upgr</t>
  </si>
  <si>
    <t>SU-000098</t>
  </si>
  <si>
    <t>TEP-Trimble Co 345kV Reactr</t>
  </si>
  <si>
    <t>SU-000109</t>
  </si>
  <si>
    <t>PPLC 009-794 DCB</t>
  </si>
  <si>
    <t>SU-000151</t>
  </si>
  <si>
    <t>PRTU Avon N83 (EKP Tie)</t>
  </si>
  <si>
    <t>SU-000152</t>
  </si>
  <si>
    <t>PRTU E Bardstown (EKP Tie)</t>
  </si>
  <si>
    <t>SU-000154</t>
  </si>
  <si>
    <t>PRTU Hodgenville (EKP Tie)</t>
  </si>
  <si>
    <t>SU-000242</t>
  </si>
  <si>
    <t>POR-Paducah Access Rd Rebuild</t>
  </si>
  <si>
    <t>SU-000243</t>
  </si>
  <si>
    <t>PBR-Wickliffe (4) 69kV BKR Rpl</t>
  </si>
  <si>
    <t>SU-000247</t>
  </si>
  <si>
    <t>LEX UNDRGD-PHASE 1 SUBS</t>
  </si>
  <si>
    <t>RECONCILIATION OF SUMMARY OF UTILITY PLANT TO INCOME STATEMENT DEPRECIATION AND AMORTIZATION - REGULATORY ACCOUNTING</t>
  </si>
  <si>
    <t>YTD</t>
  </si>
  <si>
    <t>IS Neutrality</t>
  </si>
  <si>
    <t>Locomotives</t>
  </si>
  <si>
    <t>Railcar</t>
  </si>
  <si>
    <t>Gas Pipeline</t>
  </si>
  <si>
    <t>Transportation</t>
  </si>
  <si>
    <t>TC1 Cooling Twr</t>
  </si>
  <si>
    <t>Acct - 254</t>
  </si>
  <si>
    <t>ARO Child Depr.</t>
  </si>
  <si>
    <t>Acct - 151060</t>
  </si>
  <si>
    <t>Acct - 151061</t>
  </si>
  <si>
    <t>Acct - 184315</t>
  </si>
  <si>
    <t>Acct - 421001</t>
  </si>
  <si>
    <t>Rounding</t>
  </si>
  <si>
    <t>End Balance</t>
  </si>
  <si>
    <t>DEPRECIATION</t>
  </si>
  <si>
    <t>Intangibles</t>
  </si>
  <si>
    <t>Leaseholds</t>
  </si>
  <si>
    <t>TOTAL ACCRUAL &amp; AMORTIZATION</t>
  </si>
  <si>
    <t>KU - Elec Utility Rev &amp; Exp - YTD</t>
  </si>
  <si>
    <t>Depreciation for ARO</t>
  </si>
  <si>
    <t>Amortization</t>
  </si>
  <si>
    <t>TOTAL PLANT IN SERVICE - ELECTRIC - NBV - REGULATORY ACCOUNTING</t>
  </si>
  <si>
    <t>Total Plant in Service</t>
  </si>
  <si>
    <t>KY, VA, TN</t>
  </si>
  <si>
    <t>Reserve</t>
  </si>
  <si>
    <t>Net Book Value</t>
  </si>
  <si>
    <t>TOTAL 101 &amp; 106</t>
  </si>
  <si>
    <t>Plant in Service</t>
  </si>
  <si>
    <t>E396.00-Power Op Equip - Lg Mach</t>
  </si>
  <si>
    <t>E397.00- Microwave, Fiber, Other</t>
  </si>
  <si>
    <t>E397.10-Comm Eq Radio and Telephone</t>
  </si>
  <si>
    <t>TOTAL PLANT IN SERVICE - ELECTRIC - COST - REGULATORY ACCOUNTING</t>
  </si>
  <si>
    <t>KY, VA, TN Plant in Service</t>
  </si>
  <si>
    <t>TOTAL 101</t>
  </si>
  <si>
    <t>Total 101 Plant in Service</t>
  </si>
  <si>
    <t>106 - Construction Completed not Classified</t>
  </si>
  <si>
    <t>E397.20-Communication Equipment</t>
  </si>
  <si>
    <t>E334.00-Accessory Elec Equip</t>
  </si>
  <si>
    <t>E345.00-Accessory Electric Equip</t>
  </si>
  <si>
    <t>E346.00-Misc Power Plant Equip</t>
  </si>
  <si>
    <t>E311.01-AROP Structures and Improvements</t>
  </si>
  <si>
    <t>E352.20-Struct &amp; Imp-Sys Control/Co - 106</t>
  </si>
  <si>
    <t xml:space="preserve">Total 106 Construction Completed not Classified </t>
  </si>
  <si>
    <t>KENTUCKY - TOTAL PLANT IN SERVICE - ELECTRIC - NBV - REGULATORY ACCOUNTING</t>
  </si>
  <si>
    <t>Total Plant in Service - KY</t>
  </si>
  <si>
    <t>KENTUCKY - PLANT IN SERVICE - ELECTRIC - REGULATORY ACCOUNTING</t>
  </si>
  <si>
    <t>Net retirements</t>
  </si>
  <si>
    <t>101 Plant in Service - KY</t>
  </si>
  <si>
    <t>E360.10-Land Rights - 101</t>
  </si>
  <si>
    <t>E360.20-Land - 101</t>
  </si>
  <si>
    <t>E361.00-Structures and Improvements - 101</t>
  </si>
  <si>
    <t>E362.00-Station Equipment - 101</t>
  </si>
  <si>
    <t>E364.00-Poles, Towers, and Fixtures - 101</t>
  </si>
  <si>
    <t>E365.00-OH Conductors and Devices - 101</t>
  </si>
  <si>
    <t>E366.00-Underground Conduit - 101</t>
  </si>
  <si>
    <t>E367.00-UG Conductors and Devices - 101</t>
  </si>
  <si>
    <t>E368.00-Line Transformers - 101</t>
  </si>
  <si>
    <t>E369.00-Services - 101</t>
  </si>
  <si>
    <t>E370.00-Meters - 101</t>
  </si>
  <si>
    <t>E370.01-Meters AMS - 101</t>
  </si>
  <si>
    <t>E370.20-Meters CT and PT - 101</t>
  </si>
  <si>
    <t>E371.00-Install on Customer Premise - 101</t>
  </si>
  <si>
    <t>E373.00-Street Lighting / Signal Sy - 101</t>
  </si>
  <si>
    <t>E374.05-ARO Cost Elec Dist (L/B) - 101</t>
  </si>
  <si>
    <t>E374.07-ARO Cost Elec Dist (Eqp) - 101</t>
  </si>
  <si>
    <t>E389.20-Land - 101</t>
  </si>
  <si>
    <t>E390.10-Structures and Improvements - 101</t>
  </si>
  <si>
    <t>E390.20-Improv to Leased Property - 101110</t>
  </si>
  <si>
    <t>E391.10-Office Equipment - 101</t>
  </si>
  <si>
    <t>E391.20-Non PC Computer Equipment - 101</t>
  </si>
  <si>
    <t>E391.30-Cash Processing Equipment - 101</t>
  </si>
  <si>
    <t>E391.31-Personal Computers - 101</t>
  </si>
  <si>
    <t>E392.00-Cars and Light Trucks - 101</t>
  </si>
  <si>
    <t>E392.10-Heavy Trucks and Other - 101</t>
  </si>
  <si>
    <t>E393.00-Stores Equipment - 101</t>
  </si>
  <si>
    <t>E394.00-Tools, Shop, and Garage Equ - 101</t>
  </si>
  <si>
    <t>E395.00-Laboratory Equipment - 101</t>
  </si>
  <si>
    <t>E396.00-Power Op Equip - Lg Mach - 101</t>
  </si>
  <si>
    <t>E397.00- Microwave, Fiber, Other - 101</t>
  </si>
  <si>
    <t>E397.10-Comm Eq Radio and Telephone - 101</t>
  </si>
  <si>
    <t>E397.20-DSM Communication Equipment - 101</t>
  </si>
  <si>
    <t>E398.00-Miscellaneous Equipment - 101</t>
  </si>
  <si>
    <t>E330.10-Land Rights - 101</t>
  </si>
  <si>
    <t>E331.00-Structures and Improvements - 101</t>
  </si>
  <si>
    <t>E332.00-Reservoirs, Dams, and Water - 101</t>
  </si>
  <si>
    <t>E333.00-Water Wheels, Turbines, Gen - 101</t>
  </si>
  <si>
    <t>E334.00-Accessory Electric Equipmen - 101</t>
  </si>
  <si>
    <t>E335.00-Misc Power Plant Equipment - 101</t>
  </si>
  <si>
    <t>E336.00-Roads, Railroads, and Bridg - 101</t>
  </si>
  <si>
    <t>E337.07-ARO Cost Hydro Prod (Eqp) - 101</t>
  </si>
  <si>
    <t>E301.00-Organization - 101</t>
  </si>
  <si>
    <t>E302.00-Franchises and Consents - 101</t>
  </si>
  <si>
    <t>E303.00-Misc Intangible Plant - 101</t>
  </si>
  <si>
    <t>E303.10-CCS Software - 101</t>
  </si>
  <si>
    <t>E340.10-Land Rights - 101</t>
  </si>
  <si>
    <t>E340.20-Land - 101</t>
  </si>
  <si>
    <t>E341.00-Structures and Improvements - 101</t>
  </si>
  <si>
    <t>E342.00-Fuel Holders, Producers, Ac - 101</t>
  </si>
  <si>
    <t>E342.01-AROP Fuel Holders, Prod, Ac - 101</t>
  </si>
  <si>
    <t>E343.00-Prime Movers - 101</t>
  </si>
  <si>
    <t>E344.00-Generators - 101</t>
  </si>
  <si>
    <t>E345.00-Accessory Electric Equipmen - 101</t>
  </si>
  <si>
    <t>E345.01-AROP Accessory Elec Equip  - 101</t>
  </si>
  <si>
    <t>E346.00-Misc Power Plant Equipment - 101</t>
  </si>
  <si>
    <t>E347.07-ARO Cost Other Prod (Eqp) - 101</t>
  </si>
  <si>
    <t>E310.20-Land - 101</t>
  </si>
  <si>
    <t>E311.00-Structures and Improvements - 101</t>
  </si>
  <si>
    <t>E311.01-AROP Structures and Improv  - 101</t>
  </si>
  <si>
    <t>E312.00-Boiler Plant Equipment - 101</t>
  </si>
  <si>
    <t>E312.01-AROP Boiler Plant Equipment - 101</t>
  </si>
  <si>
    <t>E314.00-Turbogenerator Units - 101</t>
  </si>
  <si>
    <t>E314.01-AROP Turbogenerator Units - 101</t>
  </si>
  <si>
    <t>E315.00-Accessory Electric Equipmen - 101</t>
  </si>
  <si>
    <t>E315.01-AROP Accessory Elec Equip  - 101</t>
  </si>
  <si>
    <t>E316.00-Misc Power Plant Equip - 101</t>
  </si>
  <si>
    <t>E317.07-ARO Cost Steam (Eqp) - 101</t>
  </si>
  <si>
    <t>E317.08-ARO Cost Steam (CCR) - 101</t>
  </si>
  <si>
    <t>E350.10-Land Rights - 101</t>
  </si>
  <si>
    <t>E350.20-Land - 101</t>
  </si>
  <si>
    <t>E352.10-Struct &amp; Imp-Non Sys Contro - 101</t>
  </si>
  <si>
    <t>E352.20-Struct &amp; Imp-Sys Control/Co - 101</t>
  </si>
  <si>
    <t>E353.10-Station Equipment - Non Sys - 101</t>
  </si>
  <si>
    <t>E353.11-AROP Station Equip Non Sys - 101</t>
  </si>
  <si>
    <t>E353.20-Station Equip-Sys Control - 101</t>
  </si>
  <si>
    <t>E354.00-Towers and Fixtures - 101</t>
  </si>
  <si>
    <t>E355.00-Poles and Fixtures - 101</t>
  </si>
  <si>
    <t>E356.00-OH Conductors and Devices - 101</t>
  </si>
  <si>
    <t>E357.00-Underground Conduit - 101</t>
  </si>
  <si>
    <t>E358.00-UG Conductors and Devices - 101</t>
  </si>
  <si>
    <t>E359.15-ARO Cost Transm (L/B) - 101</t>
  </si>
  <si>
    <t>E359.17-ARO Cost Transm (Eqp) - 101</t>
  </si>
  <si>
    <t>Total 101 Plant in Service - KY</t>
  </si>
  <si>
    <t>E360.20-Land - 106</t>
  </si>
  <si>
    <t>E361.00-Structures and Improvements - 106</t>
  </si>
  <si>
    <t>E362.00-Station Equipment - 106</t>
  </si>
  <si>
    <t>E364.00-Poles, Towers, and Fixtures - 106</t>
  </si>
  <si>
    <t>E365.00-OH Conductors and Devices - 106</t>
  </si>
  <si>
    <t>E366.00-Underground Conduit - 106</t>
  </si>
  <si>
    <t>E367.00-UG Conductors and Devices - 106</t>
  </si>
  <si>
    <t>E368.00-Line Transformers - 106</t>
  </si>
  <si>
    <t>E369.00-Services - 106</t>
  </si>
  <si>
    <t>E370.00-Meters - 106</t>
  </si>
  <si>
    <t>E370.01-Meters AMS - 106</t>
  </si>
  <si>
    <t>E371.00-Install on Customer Premise - 106</t>
  </si>
  <si>
    <t>E373.00-Street Lighting / Signal Sy - 106</t>
  </si>
  <si>
    <t>E390.10-Structures and Improvements - 106</t>
  </si>
  <si>
    <t>E391.10-Office Equipment - 106</t>
  </si>
  <si>
    <t>E391.20-Non PC Computer Equipment - 106</t>
  </si>
  <si>
    <t>E391.30-Cash Processing Equipment - 106</t>
  </si>
  <si>
    <t>E391.31-Personal Computers - 106</t>
  </si>
  <si>
    <t>E393.00-Stores Equipment - 106</t>
  </si>
  <si>
    <t>E394.00-Tools, Shop, and Garage Equ - 106</t>
  </si>
  <si>
    <t>E396.00-Power Op Equip - Lg Mach - 106</t>
  </si>
  <si>
    <t>E397.00- Microwave, Fiber, Other - 106</t>
  </si>
  <si>
    <t>E397.10-Comm Eq Radio and Telephone - 106</t>
  </si>
  <si>
    <t>E397.20-DSM Communication Equipment - 106</t>
  </si>
  <si>
    <t>E331.00-Structures and Improvements - 106</t>
  </si>
  <si>
    <t>E332.00-Reservoirs, Dams, and Water - 106</t>
  </si>
  <si>
    <t>E333.00-Water Wheels, Turbines, Gen - 106</t>
  </si>
  <si>
    <t>E334.00-Accessory Electric Equipmen - 106</t>
  </si>
  <si>
    <t>E335.00-Misc Power Plant Equipment - 106</t>
  </si>
  <si>
    <t>E336.00-Roads, Railroads, and Bridg - 106</t>
  </si>
  <si>
    <t>E303.00-Misc Intangible Plant - 106</t>
  </si>
  <si>
    <t>E303.10-CCS Software - 106</t>
  </si>
  <si>
    <t>E341.00-Structures and Improvements - 106</t>
  </si>
  <si>
    <t>E342.00-Fuel Holders, Producers, Ac - 106</t>
  </si>
  <si>
    <t>E343.00-Prime Movers - 106</t>
  </si>
  <si>
    <t>E344.00-Generators - 106</t>
  </si>
  <si>
    <t>E345.00-Accessory Electric Equipmen - 106</t>
  </si>
  <si>
    <t>E346.00-Misc Power Plant Equipment - 106</t>
  </si>
  <si>
    <t>E310.20-Land - 106</t>
  </si>
  <si>
    <t>E311.00-Structures and Improvements - 106</t>
  </si>
  <si>
    <t>E311.01-AROP Structures and Improv  - 106</t>
  </si>
  <si>
    <t>E312.00-Boiler Plant Equipment - 106</t>
  </si>
  <si>
    <t>E314.00-Turbogenerator Units - 106</t>
  </si>
  <si>
    <t>E315.00-Accessory Electric Equipmen - 106</t>
  </si>
  <si>
    <t>E316.00-Misc Power Plant Equip - 106</t>
  </si>
  <si>
    <t>E350.10-Land Rights - 106</t>
  </si>
  <si>
    <t>E350.20-Land - 106</t>
  </si>
  <si>
    <t>E352.10-Struct &amp; Imp-Non Sys Contro - 106</t>
  </si>
  <si>
    <t>E353.10-Station Equipment - Non Sys - 106</t>
  </si>
  <si>
    <t>E353.20-Station Equip-Sys Control - 106</t>
  </si>
  <si>
    <t>E354.00-Towers and Fixtures - 106</t>
  </si>
  <si>
    <t>E355.00-Poles and Fixtures - 106</t>
  </si>
  <si>
    <t>E356.00-OH Conductors and Devices - 106</t>
  </si>
  <si>
    <t>E358.00-UG Conductors and Devices - 106</t>
  </si>
  <si>
    <t>Total Plant in Service - Electric - KY</t>
  </si>
  <si>
    <t>VIRGINIA - TOTAL PLANT IN SERVICE - ELECTRIC - NBV - REGULATORY ACCOUNTING</t>
  </si>
  <si>
    <t>E390.20-Structures and Improvements</t>
  </si>
  <si>
    <t>E391.20-Non PC Computer Equipmen</t>
  </si>
  <si>
    <t>E358.00-Underground Conductors a</t>
  </si>
  <si>
    <t>Total Plant in Service - Electric - VA</t>
  </si>
  <si>
    <t>VIRGINIA - PLANT IN SERVICE - ELECTRIC - REGULATORY ACCOUNTING</t>
  </si>
  <si>
    <t>101 Plant in Service</t>
  </si>
  <si>
    <t>E390.20-Structures and Improvements - 101</t>
  </si>
  <si>
    <t>Total 101 Plant in Service - Electric - VA</t>
  </si>
  <si>
    <t>Total 106 Construction Completed not Classified</t>
  </si>
  <si>
    <t>TENNESSEE - TOTAL PLANT IN SERVICE - ELECTRIC - NBV - REGULATORY ACCOUNTING</t>
  </si>
  <si>
    <t>E367.00-Underground Conductors a</t>
  </si>
  <si>
    <t>Total Plant in Service - Electric - TN</t>
  </si>
  <si>
    <t>TENNESSEE - PLANT IN SERVICE - ELECTRIC - REGULATORY ACCOUNTING</t>
  </si>
  <si>
    <t>Total 101 Plant in Service - Electric - TN</t>
  </si>
  <si>
    <t>PLANT HELD FOR FUTURE USE - REGULATORY ACCOUNTING</t>
  </si>
  <si>
    <t>105 Plant Held for Future Use</t>
  </si>
  <si>
    <t>E360.25-Land Held for Future Use</t>
  </si>
  <si>
    <t>Other Production</t>
  </si>
  <si>
    <t>Steam Production</t>
  </si>
  <si>
    <t>E315.00-Accessory Electric Equip</t>
  </si>
  <si>
    <t xml:space="preserve">Total Plant Held for Future Use </t>
  </si>
  <si>
    <t>KENTUCKY - NON UTILITY PROPERTY - REGULATORY ACCOUNTING</t>
  </si>
  <si>
    <t>121001-NONUTIL PROP IN SERV</t>
  </si>
  <si>
    <t>C121.04-Nonutility Prop - Misc Land</t>
  </si>
  <si>
    <t>C121.05-Nonutility Prop-Misc Struct</t>
  </si>
  <si>
    <t>C121.06-Nonutility-Misc Land Rights</t>
  </si>
  <si>
    <t>Total Non Utility Property - KY</t>
  </si>
  <si>
    <t>ELECTRIC PLANT - PURCHASED OR SOLD - REGULATORY ACCOUNTING</t>
  </si>
  <si>
    <t>102 Electric Plant - Purchased or Sold</t>
  </si>
  <si>
    <t>E310.20-Structures and Improvements</t>
  </si>
  <si>
    <t>Total Electric Plant - Purchased or Sold</t>
  </si>
  <si>
    <t>KENTUCKY RESERVE FOR DEPRECIATION AND AMORTIZATION OF ELECTRIC PLANT IN SERVICE - REGULATORY ACCOUNTING</t>
  </si>
  <si>
    <t>KU-136010- KY Land Rights</t>
  </si>
  <si>
    <t>KU-136010- KY Licensed Proj Land Ri</t>
  </si>
  <si>
    <t>KU-136020-KY Land</t>
  </si>
  <si>
    <t>KU-136100- KY Struct and Improv</t>
  </si>
  <si>
    <t>KU-136200- KY Station Equipment</t>
  </si>
  <si>
    <t>KU-136400-KY Ghent Transpt ECR 2009</t>
  </si>
  <si>
    <t>KU-136400-KY Licensed Project Pole</t>
  </si>
  <si>
    <t>KU-136400-KY Poles, Towers, and Fix</t>
  </si>
  <si>
    <t>KU-136500- KY Licensed Proj Ohd Con</t>
  </si>
  <si>
    <t>KU-136500- KY Overhead Conductor</t>
  </si>
  <si>
    <t>KU-136500-KY Ghent Transpt ECR 2009</t>
  </si>
  <si>
    <t>KU-136600- KY Underground Conduit</t>
  </si>
  <si>
    <t>KU-136600-KY Ghent Transpt ECR 2009</t>
  </si>
  <si>
    <t>KU-136700- KY Undergrnd Conductors</t>
  </si>
  <si>
    <t>KU-136700-KY Ghent Transpt ECR 2009</t>
  </si>
  <si>
    <t>KU-136800- KY Line Transformers</t>
  </si>
  <si>
    <t>KU-136900- KY Services</t>
  </si>
  <si>
    <t>KU-137000- KY Meters</t>
  </si>
  <si>
    <t>KU-137001- KY AMS Meters</t>
  </si>
  <si>
    <t>KU-137020- KY Meters - CT and PT</t>
  </si>
  <si>
    <t>KU-137100- KY Install on Customers</t>
  </si>
  <si>
    <t>KU-137300- KY Str Lighting and Sign</t>
  </si>
  <si>
    <t>KU-137405-ARO Cost Elec Dist (L/B)</t>
  </si>
  <si>
    <t>KU-137407-ARO Cost Elec Dist (Eqp)</t>
  </si>
  <si>
    <t>Total Electric Distribution</t>
  </si>
  <si>
    <t>KU-138920- KY Land</t>
  </si>
  <si>
    <t>KU-139010- KY Structures &amp; Improv</t>
  </si>
  <si>
    <t>KU-139010-KY Stru Pinevll Joint Own</t>
  </si>
  <si>
    <t>KU-139010-KY Struc Morganfield Offi</t>
  </si>
  <si>
    <t>KU-139010-KY Struc One Quality Bldg</t>
  </si>
  <si>
    <t>KU-139010-Pinevlle Storerm Owned</t>
  </si>
  <si>
    <t>KU-139020-Carlisle Office</t>
  </si>
  <si>
    <t>KU-139020-Coeburn Office</t>
  </si>
  <si>
    <t>KU-139020-Columbia Office</t>
  </si>
  <si>
    <t>KU-139020-Corbin Office</t>
  </si>
  <si>
    <t>KU-139020-Earlington Pole Yard</t>
  </si>
  <si>
    <t>KU-139020-Eddyville Office</t>
  </si>
  <si>
    <t>KU-139020-Ewing Office</t>
  </si>
  <si>
    <t>KU-139020-Flemingsburg Storeroom</t>
  </si>
  <si>
    <t>KU-139020-Henderson Office</t>
  </si>
  <si>
    <t>KU-139020-Lexington Northside Offic</t>
  </si>
  <si>
    <t>KU-139020-Liberty Office</t>
  </si>
  <si>
    <t>KU-139020-Livermore Storeroom</t>
  </si>
  <si>
    <t>KU-139020-London Office</t>
  </si>
  <si>
    <t>KU-139020-Manchester Office</t>
  </si>
  <si>
    <t>KU-139020-Morehead Storeroom</t>
  </si>
  <si>
    <t>KU-139020-Richmond Office</t>
  </si>
  <si>
    <t>KU-139020-Somerset Pole Yard</t>
  </si>
  <si>
    <t>KU-139020-St Paul Office</t>
  </si>
  <si>
    <t>KU-139020-Tates Creek Office</t>
  </si>
  <si>
    <t>KU-139020-Taylorsville Office</t>
  </si>
  <si>
    <t>KU-139020-Versailles Storeroom</t>
  </si>
  <si>
    <t>KU-139020-Whitley City Office</t>
  </si>
  <si>
    <t>KU-139020-Various Offices</t>
  </si>
  <si>
    <t>KU-139110- KY Office Equipment</t>
  </si>
  <si>
    <t>KU-139120-KY Non PC Computer Equip</t>
  </si>
  <si>
    <t>KU-139130-Cash Processing Equipmen</t>
  </si>
  <si>
    <t>KU-139131-Personal Computers</t>
  </si>
  <si>
    <t>KU-139200- KY - Ghent 4 ECR 2009</t>
  </si>
  <si>
    <t>KU-139200- KY Cars and Light Trucks</t>
  </si>
  <si>
    <t>KU-139210- KY Heavy Trucks &amp; Other</t>
  </si>
  <si>
    <t>KU-139300- KY Stores Equipment</t>
  </si>
  <si>
    <t>KU-139400- KY Tools, Shop, Garage</t>
  </si>
  <si>
    <t>KU-139500-KY Laboratory Equipment</t>
  </si>
  <si>
    <t>KU-139600-KY Power Op Equip Lg Mach</t>
  </si>
  <si>
    <t>KU-139700-KY Microwave,Fiber,Other</t>
  </si>
  <si>
    <t>KU-139710- KY Radios and Telephone</t>
  </si>
  <si>
    <t>KU-139720- DSM Equipment</t>
  </si>
  <si>
    <t>KU-139800- KY Miscellaneous Equip</t>
  </si>
  <si>
    <t>Total General Plant</t>
  </si>
  <si>
    <t>KU-133010-DD Land Rights</t>
  </si>
  <si>
    <t>KU-133100-DD Structures and Improv</t>
  </si>
  <si>
    <t>KU-133200-DD Reservoirs, Dams, and</t>
  </si>
  <si>
    <t>KU-133300-DD Water Wheels, Turbine</t>
  </si>
  <si>
    <t>KU-133400-DD Accessory Electric Eq</t>
  </si>
  <si>
    <t>KU-133500-DD Misc Power Plant Equi</t>
  </si>
  <si>
    <t>KU-133600-DD Roads, Railroads, and</t>
  </si>
  <si>
    <t>KU-133707-ARO Cost Hydro Prod (Eqp)</t>
  </si>
  <si>
    <t>Total Electric Hydro Production</t>
  </si>
  <si>
    <t>KU-134010-EWB 9PL Land Rights</t>
  </si>
  <si>
    <t>KU-134020-EWB 8 Land</t>
  </si>
  <si>
    <t>KU-134020-EWB Solar Facility Land</t>
  </si>
  <si>
    <t>KU-134020-Land</t>
  </si>
  <si>
    <t>KU-134100-CR 7 Structures and Impr</t>
  </si>
  <si>
    <t>KU-134100-EWB 10 Structures and Im</t>
  </si>
  <si>
    <t>KU-134100-EWB 11 Structures and Im</t>
  </si>
  <si>
    <t>KU-134100-EWB 5 Structures and Im</t>
  </si>
  <si>
    <t>KU-134100-EWB 6 Structures and Imp</t>
  </si>
  <si>
    <t>KU-134100-EWB 7 Structures and Imp</t>
  </si>
  <si>
    <t>KU-134100-EWB 8 Structures and Imp</t>
  </si>
  <si>
    <t>KU-134100-EWB 9 Structures and Imp</t>
  </si>
  <si>
    <t>KU-134100-EWB Solar Struc and Imp</t>
  </si>
  <si>
    <t>KU-134100-HA 1,2,&amp;3 Structures and</t>
  </si>
  <si>
    <t>KU-134100-PR 13 Structures and Imp</t>
  </si>
  <si>
    <t>KU-134100-TC 10 Structures and Imp</t>
  </si>
  <si>
    <t>KU-134100-TC 5 Structures and Impr</t>
  </si>
  <si>
    <t>KU-134100-TC 6 Structures and Impr</t>
  </si>
  <si>
    <t>KU-134100-TC 7 Structures and Impr</t>
  </si>
  <si>
    <t>KU-134100-TC 8 Structures and Impr</t>
  </si>
  <si>
    <t>KU-134100-TC 9 Structures and Impr</t>
  </si>
  <si>
    <t>KU-134100-Structures and Impr</t>
  </si>
  <si>
    <t>KU-134200-Cane Run PIPELINE FUEL</t>
  </si>
  <si>
    <t>KU-134200-CR 7 Fuel Holders, Produ</t>
  </si>
  <si>
    <t>KU-134200-EWB 10 Fuel Holders, Pro</t>
  </si>
  <si>
    <t>KU-134200-EWB 11 Fuel Holders, Pro</t>
  </si>
  <si>
    <t>KU-134200-EWB 5 Fuel Holders, Prod</t>
  </si>
  <si>
    <t>KU-134200-EWB 6 Fuel Holders, Prod</t>
  </si>
  <si>
    <t>KU-134200-EWB 7 Fuel Holders, Prod</t>
  </si>
  <si>
    <t>KU-134200-EWB 8 Fuel Holders, Prod</t>
  </si>
  <si>
    <t>KU-134200-EWB 9 Fuel Holders, Prod</t>
  </si>
  <si>
    <t>KU-134200-EWB 9PL Fuel Holders, Pr</t>
  </si>
  <si>
    <t>KU-134200-HA 1,2,&amp;3 Fuel Holders,</t>
  </si>
  <si>
    <t>KU-134200-Paddys Run CT Pipeline</t>
  </si>
  <si>
    <t>KU-134200-PR 13 Fuel Holders, Prod</t>
  </si>
  <si>
    <t>KU-134200-TC 10 Fuel Holders, Prod</t>
  </si>
  <si>
    <t>KU-134200-TC 5 Fuel Holders, Produ</t>
  </si>
  <si>
    <t>KU-134200-TC 6 Fuel Holders, Produ</t>
  </si>
  <si>
    <t>KU-134200-TC 7 Fuel Holders, Produ</t>
  </si>
  <si>
    <t>KU-134200-TC 8 Fuel Holders, Produ</t>
  </si>
  <si>
    <t>KU-134200-TC 9 Fuel Holders, Produ</t>
  </si>
  <si>
    <t>KU-134200-TRIMBLE CT PIPELINE FUEL</t>
  </si>
  <si>
    <t>KU-134200-Fuel Holders, Produ</t>
  </si>
  <si>
    <t>KU-134201-AROP EWB 9 Turbogenerator</t>
  </si>
  <si>
    <t>KU-134300-Cane Run 7 Prime Movers</t>
  </si>
  <si>
    <t>KU-134300-EWB 10 Prime Movers</t>
  </si>
  <si>
    <t>KU-134300-EWB 11 Prime Movers</t>
  </si>
  <si>
    <t>KU-134300-EWB 5 Prime Movers</t>
  </si>
  <si>
    <t>KU-134300-EWB 6 Prime Movers</t>
  </si>
  <si>
    <t>KU-134300-EWB 7 Prime Movers</t>
  </si>
  <si>
    <t>KU-134300-EWB 8 Prime Movers</t>
  </si>
  <si>
    <t>KU-134300-EWB 9 Prime Movers</t>
  </si>
  <si>
    <t>KU-134300-PR 13 Prime Movers</t>
  </si>
  <si>
    <t>KU-134300-TC 10 Prime Movers</t>
  </si>
  <si>
    <t>KU-134300-TC 5 Prime Movers</t>
  </si>
  <si>
    <t>KU-134300-TC 6 Prime Movers</t>
  </si>
  <si>
    <t>KU-134300-TC 7 Prime Movers</t>
  </si>
  <si>
    <t>KU-134300-TC 8 Prime Movers</t>
  </si>
  <si>
    <t>KU-134300-TC 9 Prime Movers</t>
  </si>
  <si>
    <t>KU-134300-Prime Movers</t>
  </si>
  <si>
    <t>KU-134400-CR 7 Generators</t>
  </si>
  <si>
    <t>KU-134400-EWB 10 Generators</t>
  </si>
  <si>
    <t>KU-134400-EWB 11 Generators</t>
  </si>
  <si>
    <t>KU-134400-EWB 5 Generators</t>
  </si>
  <si>
    <t>KU-134400-EWB 6 Generators</t>
  </si>
  <si>
    <t>KU-134400-EWB 7 Generators</t>
  </si>
  <si>
    <t>KU-134400-EWB 8 Generators</t>
  </si>
  <si>
    <t>KU-134400-EWB 9 Generators</t>
  </si>
  <si>
    <t>KU-134400-EWB Solar Generators</t>
  </si>
  <si>
    <t>KU-134400-HA 1,2,&amp;3 Generators</t>
  </si>
  <si>
    <t>KU-134400-PR 13 Generators</t>
  </si>
  <si>
    <t>KU-134400-TC 10 Generators</t>
  </si>
  <si>
    <t>KU-134400-TC 5 Generators</t>
  </si>
  <si>
    <t>KU-134400-TC 6 Generators</t>
  </si>
  <si>
    <t>KU-134400-TC 7 Generators</t>
  </si>
  <si>
    <t>KU-134400-TC 8 Generators</t>
  </si>
  <si>
    <t>KU-134400-TC 9 Generators</t>
  </si>
  <si>
    <t>KU-134400-Generators</t>
  </si>
  <si>
    <t>KU-134500-CR 7 Accessory Electric</t>
  </si>
  <si>
    <t>KU-134500-EWB 10 Accessory Electri</t>
  </si>
  <si>
    <t>KU-134500-EWB 11 Accessory Electri</t>
  </si>
  <si>
    <t>KU-134500-EWB 5 Accessory Electric</t>
  </si>
  <si>
    <t>KU-134500-EWB 6 Accessory Electric</t>
  </si>
  <si>
    <t>KU-134500-EWB 7 Accessory Electric</t>
  </si>
  <si>
    <t>KU-134500-EWB 8 Accessory Electric</t>
  </si>
  <si>
    <t>KU-134500-EWB 9 Accessory Electric</t>
  </si>
  <si>
    <t>KU-134500-EWB Solar Accessory Elec</t>
  </si>
  <si>
    <t>KU-134500-HA 1,2,&amp;3 Accessory Elec</t>
  </si>
  <si>
    <t>KU-134500-PR 13 Accessory Electric</t>
  </si>
  <si>
    <t>KU-134500-TC 10 Acessory Electric</t>
  </si>
  <si>
    <t>KU-134500-TC 5 Accessory Electric</t>
  </si>
  <si>
    <t>KU-134500-TC 6 Accessory Electric</t>
  </si>
  <si>
    <t>KU-134500-TC 7 Accessory Electric</t>
  </si>
  <si>
    <t>KU-134500-TC 8 Accessory Electric</t>
  </si>
  <si>
    <t>KU-134500-TC 9 Accessory Electric</t>
  </si>
  <si>
    <t xml:space="preserve">KU-134500-Accessory Electric </t>
  </si>
  <si>
    <t>KU-134501-AROP EWB 10 Acc Electri</t>
  </si>
  <si>
    <t>KU-134501-AROP EWB 11 Acc Electric</t>
  </si>
  <si>
    <t>KU-134501-AROP EWB 5 Acc Electric</t>
  </si>
  <si>
    <t>KU-134501-AROP EWB 6 Acc Electric</t>
  </si>
  <si>
    <t>KU-134501-AROP EWB 7 Acc Electric</t>
  </si>
  <si>
    <t>KU-134501-AROP EWB 8 Acc Electric</t>
  </si>
  <si>
    <t>KU-134501-AROP EWB 9 Acc Electric</t>
  </si>
  <si>
    <t>KU-134501-AROP TC 7 Acc  Electric</t>
  </si>
  <si>
    <t>KU-134501-AROP TC 8 Acc  Electric</t>
  </si>
  <si>
    <t>KU-134501-AROP Accessory Electric</t>
  </si>
  <si>
    <t>KU-134600-CR 7 Misc. Power Plant E</t>
  </si>
  <si>
    <t>KU-134600-EWB 10 Misc Power Plant</t>
  </si>
  <si>
    <t>KU-134600-EWB 11 Misc Power Plant</t>
  </si>
  <si>
    <t>KU-134600-EWB 5 Misc Power Plant E</t>
  </si>
  <si>
    <t>KU-134600-EWB 6 Misc Power Plant E</t>
  </si>
  <si>
    <t>KU-134600-EWB 7 Misc Power Plant E</t>
  </si>
  <si>
    <t>KU-134600-EWB 8 Misc Power Plant E</t>
  </si>
  <si>
    <t>KU-134600-EWB 9 Misc Power Plant E</t>
  </si>
  <si>
    <t>KU-134600-EWB Solar Misc Power Plt</t>
  </si>
  <si>
    <t>KU-134600-HA 1,2,&amp;3 Misc Power Pla</t>
  </si>
  <si>
    <t>KU-134600-PR 13 Misc Power Plant E</t>
  </si>
  <si>
    <t>KU-134600-TC 10 Misc Power Plant E</t>
  </si>
  <si>
    <t>KU-134600-TC 5 Misc. Power Plant E</t>
  </si>
  <si>
    <t>KU-134600-TC 7 Misc. Power Plant E</t>
  </si>
  <si>
    <t>KU-134600-TC 8 Misc. Power Plant E</t>
  </si>
  <si>
    <t>KU-134600-TC 9 Misc. Power Plant E</t>
  </si>
  <si>
    <t>KU-134600-Misc. Power Plant E</t>
  </si>
  <si>
    <t>KU-134707-ARO Cost Other Prod (Eqp)</t>
  </si>
  <si>
    <t>Total Electric Other Production</t>
  </si>
  <si>
    <t>KU-131020-EWB 1 Land</t>
  </si>
  <si>
    <t>KU-131020-EWB 3 Land</t>
  </si>
  <si>
    <t>KU-131020-GH 1 Land</t>
  </si>
  <si>
    <t>KU-131020-GH 4 Land ECR 2009</t>
  </si>
  <si>
    <t>KU-131020-GR 1&amp;2 Land</t>
  </si>
  <si>
    <t>KU-131020-PI 1&amp;2 Land</t>
  </si>
  <si>
    <t>KU-131020-PI 3 Land</t>
  </si>
  <si>
    <t xml:space="preserve">KU-131020-TC 2 Land ECR 2009                                   </t>
  </si>
  <si>
    <t>KU-131020-TY 3 Land</t>
  </si>
  <si>
    <t>KU-131020-Land</t>
  </si>
  <si>
    <t>KU-131100-EWB 1 Structures and Imp</t>
  </si>
  <si>
    <t>KU-131100-EWB 2 Structures and Imp</t>
  </si>
  <si>
    <t>KU-131100-EWB 3 Struc</t>
  </si>
  <si>
    <t>KU-131100-EWB 3 Struc ECR 2005</t>
  </si>
  <si>
    <t>KU-131100-EWB 3 Struc ECR 2009</t>
  </si>
  <si>
    <t>KU-131100-EWB 3 Struc ECR 2011</t>
  </si>
  <si>
    <t>KU-131100-EWB3 FGD Struc</t>
  </si>
  <si>
    <t>KU-131100-EWB3 FGD Struc ECR 2005</t>
  </si>
  <si>
    <t>KU-131100-GH 1 Struc</t>
  </si>
  <si>
    <t>KU-131100-GH 1 Struc ECR 2006</t>
  </si>
  <si>
    <t>KU-131100-GH 1SC Structures and Im</t>
  </si>
  <si>
    <t>KU-131100-GH 2 Structures and Impr</t>
  </si>
  <si>
    <t>KU-131100-GH 3 Struc</t>
  </si>
  <si>
    <t>KU-131100-GH 3 Struc ECR 2006</t>
  </si>
  <si>
    <t>KU-131100-GH 3 Struc ECR 2011</t>
  </si>
  <si>
    <t>KU-131100-GH 4 Struc</t>
  </si>
  <si>
    <t>KU-131100-GH 4 Struc ECR 2005</t>
  </si>
  <si>
    <t>KU-131100-GH 4 Struc ECR 2006</t>
  </si>
  <si>
    <t>KU-131100-GH 4 Struc ECR 2009</t>
  </si>
  <si>
    <t>KU-131100-GH2 FGD Structures and I</t>
  </si>
  <si>
    <t>KU-131100-GH3 FGD Structures and I</t>
  </si>
  <si>
    <t>KU-131100-GH4 FGD Structures and I</t>
  </si>
  <si>
    <t>KU-131100-GR 1-2 Structures and Im</t>
  </si>
  <si>
    <t>KU-131100-GR 3 Structures and Impr</t>
  </si>
  <si>
    <t>KU-131100-GR 4 Structures and Impr</t>
  </si>
  <si>
    <t>KU-131100-PI 1-2 Structures and Imp</t>
  </si>
  <si>
    <t>KU-131100-PI 3 Structures and Impr</t>
  </si>
  <si>
    <t>KU-131100-SL Structures and Improv</t>
  </si>
  <si>
    <t>KU-131100-TC 2 FGD Struc &amp; Improv</t>
  </si>
  <si>
    <t>KU-131100-TC2 Struct</t>
  </si>
  <si>
    <t>KU-131100-TC2 Struct ECR 2006</t>
  </si>
  <si>
    <t>KU-131100-TC2 Struct ECR 2009</t>
  </si>
  <si>
    <t>KU-131100-TY 1&amp;2 Structures and Im</t>
  </si>
  <si>
    <t>KU-131100-TY 3 Structures and Impr</t>
  </si>
  <si>
    <t>KU-131100- Structures and Impr</t>
  </si>
  <si>
    <t>KU-131101-AROP EWB 1 Struct &amp; Imp</t>
  </si>
  <si>
    <t>KU-131101-AROP EWB 3 ECR 2009</t>
  </si>
  <si>
    <t>KU-131101-AROP EWB 3 Struct &amp; Imp</t>
  </si>
  <si>
    <t>KU-131101-AROP GH 1 Struct &amp; Imp</t>
  </si>
  <si>
    <t>KU-131101-AROP GR 1-2 Struct &amp; Imp</t>
  </si>
  <si>
    <t>KU-131101-AROP GR 4 Struct &amp; Impr</t>
  </si>
  <si>
    <t>KU-131101-AROP TC2 Struct ECR 2009</t>
  </si>
  <si>
    <t>KU-131101-AROP TY 3 Struct &amp; Impr</t>
  </si>
  <si>
    <t>KU-131101-AROP Struct &amp; Impr</t>
  </si>
  <si>
    <t>KU-131200-EWB 1 Boil</t>
  </si>
  <si>
    <t>KU-131200-EWB 1 Boil - Ash Pond</t>
  </si>
  <si>
    <t>KU-131200-EWB 1 Boil ECR 2005</t>
  </si>
  <si>
    <t>KU-131200-EWB 2 Boil</t>
  </si>
  <si>
    <t>KU-131200-EWB 2 Boil ECR 2005</t>
  </si>
  <si>
    <t>KU-131200-EWB 2 Boil ECR 2006</t>
  </si>
  <si>
    <t>KU-131200-EWB 3 Boil</t>
  </si>
  <si>
    <t>KU-131200-EWB 3 Boil Ash Pond</t>
  </si>
  <si>
    <t>KU-131200-EWB 3 Boil ECR 2005</t>
  </si>
  <si>
    <t>KU-131200-EWB 3 Boil ECR 2006</t>
  </si>
  <si>
    <t>KU-131200-EWB 3 Boil ECR 2009</t>
  </si>
  <si>
    <t>KU-131200-EWB 3 Boil ECR 2011</t>
  </si>
  <si>
    <t>KU-131200-EWB3 FGD Boil</t>
  </si>
  <si>
    <t>KU-131200-EWB3 FGD Boil ECR 2005</t>
  </si>
  <si>
    <t>KU-131200-GH 1 Boil</t>
  </si>
  <si>
    <t>KU-131200-GH 1 Boil - Ash Pond</t>
  </si>
  <si>
    <t>KU-131200-GH 1 Boil ECR 2005</t>
  </si>
  <si>
    <t>KU-131200-GH 1 Boil ECR 2006</t>
  </si>
  <si>
    <t>KU-131200-GH 1 Boil ECR 2011</t>
  </si>
  <si>
    <t>KU-131200-GH 1 SC Boil - Ash Pond</t>
  </si>
  <si>
    <t>KU-131200-GH 1SC Boil</t>
  </si>
  <si>
    <t>KU-131200-GH 1SC Boil ECR 2005</t>
  </si>
  <si>
    <t>KU-131200-GH 2 Boil</t>
  </si>
  <si>
    <t>KU-131200-GH 2 Boil ECR 2005</t>
  </si>
  <si>
    <t>KU-131200-GH 2 Boil ECR 2011</t>
  </si>
  <si>
    <t>KU-131200-GH 2 SC Boil - Ash Pond</t>
  </si>
  <si>
    <t>KU-131200-GH 2SC Boil</t>
  </si>
  <si>
    <t>KU-131200-GH 2SC Boil ECR 2005</t>
  </si>
  <si>
    <t>KU-131200-GH 2SC Boil ECR 2016</t>
  </si>
  <si>
    <t>KU-131200-GH 3 Boil</t>
  </si>
  <si>
    <t>KU-131200-GH 3 Boil ECR 2006</t>
  </si>
  <si>
    <t>KU-131200-GH 3 Boil ECR 2011</t>
  </si>
  <si>
    <t>KU-131200-GH 4 Boil</t>
  </si>
  <si>
    <t>KU-131200-GH 4 Boil - Ash Pond</t>
  </si>
  <si>
    <t>KU-131200-GH 4 Boil ECR 2005</t>
  </si>
  <si>
    <t>KU-131200-GH 4 Boil ECR 2006</t>
  </si>
  <si>
    <t>KU-131200-GH 4 Boil ECR 2009</t>
  </si>
  <si>
    <t>KU-131200-GH 4 Boil ECR 2011</t>
  </si>
  <si>
    <t>KU-131200-GH 4RC Boiler Plant Equi</t>
  </si>
  <si>
    <t>KU-131200-GH3 FGD Boil</t>
  </si>
  <si>
    <t>KU-131200-GH3 FGD Boil ECR 2005</t>
  </si>
  <si>
    <t>KU-131200-GH4 FGD Boil</t>
  </si>
  <si>
    <t>KU-131200-GH4 FGD Boil ECR 2005</t>
  </si>
  <si>
    <t>KU-131200-GR 1-2 Boiler Plant Equi</t>
  </si>
  <si>
    <t>KU-131200-GR 3 Boil</t>
  </si>
  <si>
    <t>KU-131200-GR 3 Boil - Ash Pond</t>
  </si>
  <si>
    <t>KU-131200-GR 3 Boil ECR 2006</t>
  </si>
  <si>
    <t>KU-131200-GR 4 Boil</t>
  </si>
  <si>
    <t>KU-131200-GR 4 Boil ECR 2006</t>
  </si>
  <si>
    <t>KU-131200-PI 1-2 Boiler Plant Equip</t>
  </si>
  <si>
    <t>KU-131200-PI 3 Boil - Ash Pond</t>
  </si>
  <si>
    <t>KU-131200-PI 3 Boiler Plant Equipm</t>
  </si>
  <si>
    <t>KU-131200-TC 2 Boil</t>
  </si>
  <si>
    <t>KU-131200-TC 2 Boil - Ash Pond</t>
  </si>
  <si>
    <t>KU-131200-TC 2 Boil ECR 2006</t>
  </si>
  <si>
    <t>KU-131200-TC 2 Boil ECR 2009</t>
  </si>
  <si>
    <t>KU-131200-TC 2 Boil ECR 2009-Ash Po</t>
  </si>
  <si>
    <t>KU-131200-TC 2 Boil ECR 2016</t>
  </si>
  <si>
    <t>KU-131200-TC2 FGD Boil</t>
  </si>
  <si>
    <t>KU-131200-TC2 FGD Boil ECR 2006</t>
  </si>
  <si>
    <t>KU-131200-TY 1&amp;2 Boiler Plant Equi</t>
  </si>
  <si>
    <t>KU-131200-TY 3 Boil</t>
  </si>
  <si>
    <t>KU-131200-TY 3 Boil - Ash Pond</t>
  </si>
  <si>
    <t>KU-131200-TY 3 Boil ECR 2006</t>
  </si>
  <si>
    <t>KU-131200-Boiler Plant Equipm</t>
  </si>
  <si>
    <t>KU-131201-AROP EWB 1 Boiler Plt Eqp</t>
  </si>
  <si>
    <t>KU-131201-AROP EWB 3 Boiler Plt Eqp</t>
  </si>
  <si>
    <t>KU-131201-AROP GH 1 Boiler Plt Equp</t>
  </si>
  <si>
    <t>KU-131201-AROP GH 1SC Boiler Plt Eq</t>
  </si>
  <si>
    <t>KU-131201-AROP GH 2 Boiler Plt Equp</t>
  </si>
  <si>
    <t>KU-131201-AROP GH 4 Boiler Plt Equp</t>
  </si>
  <si>
    <t>KU-131201-AROP GR 1-2 Boiler Plt Eq</t>
  </si>
  <si>
    <t>KU-131201-AROP GR 4 Boiler Plt Equp</t>
  </si>
  <si>
    <t>KU-131201-AROP TY 1-2 Boiler Plt Eq</t>
  </si>
  <si>
    <t>KU-131201-AROP TY 3 Boiler Plt Equp</t>
  </si>
  <si>
    <t>KU-131201-AROP Boiler Plt Equp</t>
  </si>
  <si>
    <t>KU-131400-EWB 1 Turbogenerator Uni</t>
  </si>
  <si>
    <t>KU-131400-EWB 2 Turbogenerator Uni</t>
  </si>
  <si>
    <t>KU-131400-EWB 3 Turbogenerator Uni</t>
  </si>
  <si>
    <t>KU-131400-GH 1 Turbogenerator Unit</t>
  </si>
  <si>
    <t>KU-131400-GH 2 Turbogenerator Unit</t>
  </si>
  <si>
    <t>KU-131400-GH 3 Turbogenerator Unit</t>
  </si>
  <si>
    <t>KU-131400-GH 4 Turbogenerator Unit</t>
  </si>
  <si>
    <t>KU-131400-GR 1&amp;2 Turbogenerator Un</t>
  </si>
  <si>
    <t>KU-131400-GR 3 Turbogenerator Unit</t>
  </si>
  <si>
    <t>KU-131400-GR 4 Turbogenerator Unit</t>
  </si>
  <si>
    <t>KU-131400-PI 1-2 Turbogenerator Uni</t>
  </si>
  <si>
    <t>KU-131400-PI 3 Turbogenerator Unit</t>
  </si>
  <si>
    <t>KU-131400-TC 2 Turbogenerator Unit</t>
  </si>
  <si>
    <t>KU-131400-TY 1&amp;2 Turbogenerator Un</t>
  </si>
  <si>
    <t>KU-131400-TY 3 Turbogenerator Unit</t>
  </si>
  <si>
    <t>KU-131400-Turbogenerator Unit</t>
  </si>
  <si>
    <t>KU-131401-AROP TY 3 Turbogenerator</t>
  </si>
  <si>
    <t>KU-131500-EWB 1 Accessory Electric</t>
  </si>
  <si>
    <t>KU-131500-EWB 2 Acc</t>
  </si>
  <si>
    <t>KU-131500-EWB 2 Acc ECR 2005</t>
  </si>
  <si>
    <t>KU-131500-EWB 3 Acc</t>
  </si>
  <si>
    <t>KU-131500-EWB 3 Acc ECR 2005</t>
  </si>
  <si>
    <t>KU-131500-EWB 3 Acc ECR 2011</t>
  </si>
  <si>
    <t>KU-131500-EWB 3 FGD Acc</t>
  </si>
  <si>
    <t>KU-131500-EWB3 FGD Acc ECR 2005</t>
  </si>
  <si>
    <t>KU-131500-GH 1 Access ECR 2011</t>
  </si>
  <si>
    <t>KU-131500-GH 1 Accessory Electric</t>
  </si>
  <si>
    <t>KU-131500-GH 1SC Acc</t>
  </si>
  <si>
    <t>KU-131500-GH 1SC Acc ECR 2005</t>
  </si>
  <si>
    <t>KU-131500-GH 2 Acc ECR 2011</t>
  </si>
  <si>
    <t>KU-131500-GH 2 Accessory Electric</t>
  </si>
  <si>
    <t>KU-131500-GH 2SC Acc</t>
  </si>
  <si>
    <t>KU-131500-GH 2SC Acc ECR 2005</t>
  </si>
  <si>
    <t>KU-131500-GH 3 Acc ECR 2011</t>
  </si>
  <si>
    <t>KU-131500-GH 3 Accessory Electric</t>
  </si>
  <si>
    <t>KU-131500-GH 4 Acc ECR 2009</t>
  </si>
  <si>
    <t>KU-131500-GH 4 Acc ECR 2011</t>
  </si>
  <si>
    <t>KU-131500-GH 4 Accessory Electric</t>
  </si>
  <si>
    <t>KU-131500-GH3 FGD Acc</t>
  </si>
  <si>
    <t>KU-131500-GH3 FGD Acc ECR 2005</t>
  </si>
  <si>
    <t>KU-131500-GH4 FGD Acc</t>
  </si>
  <si>
    <t>KU-131500-GH4 FGD Acc ECR 2005</t>
  </si>
  <si>
    <t>KU-131500-GR 1&amp;2 Accessory Electri</t>
  </si>
  <si>
    <t>KU-131500-GR 3 Accessory Electric</t>
  </si>
  <si>
    <t>KU-131500-GR 4 Accessory Electric</t>
  </si>
  <si>
    <t>KU-131500-PI 1-2 Accessory Electric</t>
  </si>
  <si>
    <t>KU-131500-PI 3 Accessory Electric</t>
  </si>
  <si>
    <t>KU-131500-TC 2 Acc</t>
  </si>
  <si>
    <t>KU-131500-TC 2 Acc ECR 2006</t>
  </si>
  <si>
    <t>KU-131500-TC 2 Acc ECR 2009</t>
  </si>
  <si>
    <t>KU-131500-TC 2 FGD Accessory Equip</t>
  </si>
  <si>
    <t>KU-131500-TY 1&amp;2 Accessory Electri</t>
  </si>
  <si>
    <t>KU-131500-TY 3 Accessory Electric</t>
  </si>
  <si>
    <t xml:space="preserve">KU-131500-Accessory Electric </t>
  </si>
  <si>
    <t>KU-131501-AROP EWB 1 Acc  Electric</t>
  </si>
  <si>
    <t>KU-131501-AROP EWB 2 Acc Electric</t>
  </si>
  <si>
    <t>KU-131501-AROP EWB 3 Acc Electric</t>
  </si>
  <si>
    <t>KU-131501-AROP GH 1 Acc  Electric</t>
  </si>
  <si>
    <t>KU-131501-AROP GH 2 Acc  Electric</t>
  </si>
  <si>
    <t>KU-131501-AROP GH 3 Acc Electric</t>
  </si>
  <si>
    <t>KU-131501-AROP GH 4 Acc  Electric</t>
  </si>
  <si>
    <t>KU-131501-AROP GR 4 Acc Electric</t>
  </si>
  <si>
    <t>KU-131501-AROP TY 3 Acc  Electric</t>
  </si>
  <si>
    <t>KU-131501-AROP Accessory Electric</t>
  </si>
  <si>
    <t>KU-131600-EWB 1 Misc Power Plant E</t>
  </si>
  <si>
    <t>KU-131600-EWB 2 Misc Power Plant E</t>
  </si>
  <si>
    <t>KU-131600-EWB 3 Misc Power Plant E</t>
  </si>
  <si>
    <t>KU-131600-GH 1 Misc Power Plant Eq</t>
  </si>
  <si>
    <t>KU-131600-GH 1SC Misc Power Plant</t>
  </si>
  <si>
    <t>KU-131600-GH 2 Misc Power Plant Eq</t>
  </si>
  <si>
    <t>KU-131600-GH 3 Misc Power Plant Eq</t>
  </si>
  <si>
    <t>KU-131600-GH 3 Misc PwrPlt ECR 2011</t>
  </si>
  <si>
    <t>KU-131600-GH 4 Misc Power Plant Eq</t>
  </si>
  <si>
    <t>KU-131600-GR 1&amp;2 Misc Power Plant</t>
  </si>
  <si>
    <t>KU-131600-GR 3 Misc Power Plant Eq</t>
  </si>
  <si>
    <t>KU-131600-GR 4 Misc Power Plant Eq</t>
  </si>
  <si>
    <t>KU-131600-PI 1-2 Misc Power Plant E</t>
  </si>
  <si>
    <t>KU-131600-PI 3 Misc Power Plant Eq</t>
  </si>
  <si>
    <t>KU-131600-SL Misc Power Plant Equi</t>
  </si>
  <si>
    <t>KU-131600-TC 2 Misc Power Plant Equ</t>
  </si>
  <si>
    <t>KU-131600-TY 1&amp;2 Misc Power Plant</t>
  </si>
  <si>
    <t>KU-131600-TY 3 Misc Power Plant Eq</t>
  </si>
  <si>
    <t>KU-131600-Misc Power Plant Eq</t>
  </si>
  <si>
    <t>KU-131707-ARO Cost Steam (Eqp)</t>
  </si>
  <si>
    <t>KU-131708-ARO Cost Steam (CCR)</t>
  </si>
  <si>
    <t>Total Electric Steam Production</t>
  </si>
  <si>
    <t>KU-135010- KY Land Rights</t>
  </si>
  <si>
    <t>KU-135010-Licensed Project Land Ri</t>
  </si>
  <si>
    <t>KU-135020- KY Land</t>
  </si>
  <si>
    <t>KU-135210- KY Licensed Proj Str &amp; I</t>
  </si>
  <si>
    <t>KU-135210- KY Struc &amp; Imprv-Non Sys</t>
  </si>
  <si>
    <t>KU-135210- KY Struc NonSys Dix Ctrl</t>
  </si>
  <si>
    <t>KU-135220-Struct &amp; Improve-System</t>
  </si>
  <si>
    <t>KU-135310- KY Licensed Proj Sta Eq-</t>
  </si>
  <si>
    <t>KU-135310- KY Station Equip -Non Sy</t>
  </si>
  <si>
    <t>KU-135311-AROP Station Equip Non S</t>
  </si>
  <si>
    <t>KU-135320-Station Equipment-System</t>
  </si>
  <si>
    <t>KU-135400- KY Towers Fix</t>
  </si>
  <si>
    <t>KU-135400- KY Towers Fix ECR 2005</t>
  </si>
  <si>
    <t>KU-135400-KY Towers and Fixtures</t>
  </si>
  <si>
    <t>KU-135500- KY Licensed Proj Poles a</t>
  </si>
  <si>
    <t>KU-135500- KY Poles</t>
  </si>
  <si>
    <t>KU-135500- KY Poles ECR 2005</t>
  </si>
  <si>
    <t>KU-135500-KY Poles and Fixtures</t>
  </si>
  <si>
    <t>KU-135600- KY Licensed Proj Ohd Con</t>
  </si>
  <si>
    <t>KU-135600-KY OH Cond</t>
  </si>
  <si>
    <t>KU-135600-KY OH Cond ECR 2005</t>
  </si>
  <si>
    <t xml:space="preserve">KU-135600-KY Overhead Conductors and </t>
  </si>
  <si>
    <t>KU-135700- KY Underground Conduit</t>
  </si>
  <si>
    <t>KU-135800- KY Undergrd Conductors a</t>
  </si>
  <si>
    <t>KU-135915-ARO Cost Transm (L/B)</t>
  </si>
  <si>
    <t>KU-135917-ARO Cost Transm (Eqp)</t>
  </si>
  <si>
    <t>Total Electric Transmission</t>
  </si>
  <si>
    <t>Total Electric Depreciation Reserves</t>
  </si>
  <si>
    <t>KU-130100- KY Organization</t>
  </si>
  <si>
    <t>KU-130200-Franchises and Consents</t>
  </si>
  <si>
    <t>KU-130200-Licensed Project Franchi</t>
  </si>
  <si>
    <t>KU-130300-Misc Intangible Plant</t>
  </si>
  <si>
    <t>KU-130310-CCS Software</t>
  </si>
  <si>
    <t>Total Electric Intangible Plant</t>
  </si>
  <si>
    <t>Total Electric Amortization Reserves</t>
  </si>
  <si>
    <t>VIRGINIA RESERVE FOR DEPRECIATION AND AMORTIZATION OF ELECTRIC PLANT IN SERVICE - REGULATORY ACCOUNTING</t>
  </si>
  <si>
    <t>KU-136010- VA Land Rights</t>
  </si>
  <si>
    <t>KU-136100- VA Struct and Improv</t>
  </si>
  <si>
    <t>KU-136200- VA Station Equipment</t>
  </si>
  <si>
    <t>KU-136400-VA Poles, Towers, and Fix</t>
  </si>
  <si>
    <t>KU-136500- VA Overhead Conductor</t>
  </si>
  <si>
    <t>KU-136600- VA Underground Conduit</t>
  </si>
  <si>
    <t>KU-136700- VA Undergrnd Conductors</t>
  </si>
  <si>
    <t>KU-136800- VA Line Transformers</t>
  </si>
  <si>
    <t>KU-136900- VA Services</t>
  </si>
  <si>
    <t>KU-137000- VA Meters</t>
  </si>
  <si>
    <t>KU-137020- VA Meters - CT and PT</t>
  </si>
  <si>
    <t>KU-137100- VA Install on Customers</t>
  </si>
  <si>
    <t>KU-137300- VA Str Lighting and Sign</t>
  </si>
  <si>
    <t>KU-139010- VA Structures &amp; Improv</t>
  </si>
  <si>
    <t>KU-139020- VA Pennington Gap Office</t>
  </si>
  <si>
    <t>KU-139020- VA Wise Office</t>
  </si>
  <si>
    <t>KU-139110- VA Office Equipment</t>
  </si>
  <si>
    <t>KU-139120-VA Non PC Computer Equip</t>
  </si>
  <si>
    <t>KU-139200- VA Cars and Light Trucks</t>
  </si>
  <si>
    <t>KU-139300- VA Stores Equipment</t>
  </si>
  <si>
    <t>KU-139400- VA Tools, Shop, Garage</t>
  </si>
  <si>
    <t>KU-139500-VA Laboratory Equipment</t>
  </si>
  <si>
    <t>KU-139600-VA Power Op Equip Lg Mach</t>
  </si>
  <si>
    <t>KU-139700-VA Microwave,Fiber,Other</t>
  </si>
  <si>
    <t>KU-139710- VA Radios and Telephone</t>
  </si>
  <si>
    <t>KU-139800- VA Miscellaneous Equip</t>
  </si>
  <si>
    <t>KU-135010- VA Land Rights</t>
  </si>
  <si>
    <t>KU-135210- VA Struc &amp; Imprv-Non Sys</t>
  </si>
  <si>
    <t>KU-135310- VA Station Equip -Non Sy</t>
  </si>
  <si>
    <t>KU-135400- VA Towers and Fixtures</t>
  </si>
  <si>
    <t>KU-135500- VA Poles and Fixtures</t>
  </si>
  <si>
    <t>KU-135600- VA Overhead Conductors</t>
  </si>
  <si>
    <t>KU-135700- VA Underground Conduit</t>
  </si>
  <si>
    <t>KU-135800- VA Undergrd Conductors a</t>
  </si>
  <si>
    <t>TENNESSEE RESERVE FOR DEPRECIATION AND AMORTIZATION OF ELECTRIC PLANT IN SERVICE - REGULATORY ACCOUNTING</t>
  </si>
  <si>
    <t>KU-136010- TN Land Rights</t>
  </si>
  <si>
    <t>KU-136100- TN Struct and Improv</t>
  </si>
  <si>
    <t>KU-136200- TN Station Equipment</t>
  </si>
  <si>
    <t>KU-136400-TN Poles, Towers, and Fix</t>
  </si>
  <si>
    <t>KU-136500- TN Overhead Conductor</t>
  </si>
  <si>
    <t>KU-136600- TN Underground Conduit</t>
  </si>
  <si>
    <t>KU-136700- TN Undergrnd Conductors</t>
  </si>
  <si>
    <t>KU-136800- TN Line Transformers</t>
  </si>
  <si>
    <t>KU-136900- TN Services</t>
  </si>
  <si>
    <t>KU-137000- TN Meters</t>
  </si>
  <si>
    <t>KU-137020- TN Meters - CT and PT</t>
  </si>
  <si>
    <t>KU-137100- TN Install on Customers</t>
  </si>
  <si>
    <t>KU-135010- TN Land Rights</t>
  </si>
  <si>
    <t>KU-135500- TN Poles and Fixtures</t>
  </si>
  <si>
    <t>KU-135600- TN Overhead Conductors</t>
  </si>
  <si>
    <t>SUMMARY OF UTILITY PLANT - REGULATORY ACCOUNTING - Including 254 Balances</t>
  </si>
  <si>
    <t xml:space="preserve"> RESERVE FOR DEPRECIATION AND AMORTIZATION OF ELECTRIC PLANT IN SERVICE - REGULATORY ACCOUNTING - Including 254 Balances</t>
  </si>
  <si>
    <t>KU-136010-KY Land Rights</t>
  </si>
  <si>
    <t>KU-136010- Licensed Project Land Ri</t>
  </si>
  <si>
    <t>KU-136020-Land</t>
  </si>
  <si>
    <t>KU-136100- Structures and Improveme</t>
  </si>
  <si>
    <t>KU-136200- Station Equipment</t>
  </si>
  <si>
    <t>KU-136400- Licensed Project Pole</t>
  </si>
  <si>
    <t>KU-136400- Poles, Towers, and Fix</t>
  </si>
  <si>
    <t>KU-136500- Licensed Project Ohd Con</t>
  </si>
  <si>
    <t xml:space="preserve">KU-136500- Overhead Conductors and </t>
  </si>
  <si>
    <t>KU-136600- Underground Conduit</t>
  </si>
  <si>
    <t>KU-136700- Underground Conductors a</t>
  </si>
  <si>
    <t>KU-136800- Line Transformers</t>
  </si>
  <si>
    <t>KU-136900- Services</t>
  </si>
  <si>
    <t>KU-137000- Meters</t>
  </si>
  <si>
    <t>KU-137001- Meters AMS</t>
  </si>
  <si>
    <t>KU-137020- Meters CT and PT</t>
  </si>
  <si>
    <t>KU-137100- Installations on Custome</t>
  </si>
  <si>
    <t>KU-137300- Street Lighting and Sign</t>
  </si>
  <si>
    <t>KU-138920-Land</t>
  </si>
  <si>
    <t>KU-139010- Structures &amp; Improvement</t>
  </si>
  <si>
    <t>KU-139010-KY Stru Pinevll Joint Use</t>
  </si>
  <si>
    <t>KU-139010-KY Struct One Quality Bldg</t>
  </si>
  <si>
    <t>KU-139020-Pennington Gap Office</t>
  </si>
  <si>
    <t>KU-139020-Wise Office</t>
  </si>
  <si>
    <t>KU-139110- Office Equipment</t>
  </si>
  <si>
    <t>KU-139120- Non PC Computer Equipmen</t>
  </si>
  <si>
    <t>KU-139200-KY - Ghent 4 ECR 2009</t>
  </si>
  <si>
    <t>KU-139200- Cars and Light Trucks</t>
  </si>
  <si>
    <t>KU-139210- Heavy trucks and Other</t>
  </si>
  <si>
    <t>KU-139300- Stores Equipment</t>
  </si>
  <si>
    <t xml:space="preserve">KU-139400- Tools, Shop, and Garage </t>
  </si>
  <si>
    <t>KU-139500- Laboratory Equipment</t>
  </si>
  <si>
    <t>KU-139600-Power Op Equip Lg Mach</t>
  </si>
  <si>
    <t>KU-139700-Microwave,Fiber,Other</t>
  </si>
  <si>
    <t>KU-139710-Radios and Telephone</t>
  </si>
  <si>
    <t>KU-139800- Miscellaneous Equipment</t>
  </si>
  <si>
    <t>KU-134100-EWB 5 Structures and Imp</t>
  </si>
  <si>
    <t xml:space="preserve">KU-134200-HA 1,2,&amp;3 Fuel Holders, </t>
  </si>
  <si>
    <t xml:space="preserve">KU-134500-TC 10 Acessory Electric </t>
  </si>
  <si>
    <t xml:space="preserve">KU-134500-TC 5 Accessory Electric </t>
  </si>
  <si>
    <t xml:space="preserve">KU-134500-TC 6 Accessory Electric </t>
  </si>
  <si>
    <t xml:space="preserve">KU-134500-TC 7 Accessory Electric </t>
  </si>
  <si>
    <t xml:space="preserve">KU-134500-TC 8 Accessory Electric </t>
  </si>
  <si>
    <t xml:space="preserve">KU-134500-TC 9 Accessory Electric </t>
  </si>
  <si>
    <t>KU-134501-AROP EWB 10 Acc Elec</t>
  </si>
  <si>
    <t>KU-134501-AROP EWB 11 Acc Elec</t>
  </si>
  <si>
    <t>KU-134501-AROP EWB 5 Acc Elec</t>
  </si>
  <si>
    <t>KU-134501-AROP EWB 6 Acc Elec</t>
  </si>
  <si>
    <t>KU-134501-AROP EWB 7 Acc Elec</t>
  </si>
  <si>
    <t>KU-134501-AROP EWB 8 Acc Elec</t>
  </si>
  <si>
    <t>KU-134501-AROP EWB 9 Acc Elec</t>
  </si>
  <si>
    <t>KU-134501-AROP TC 7 Acc Elec</t>
  </si>
  <si>
    <t>KU-134501-AROP TC 8 Acc Elec</t>
  </si>
  <si>
    <t xml:space="preserve">KU-134501-AROP Accessory Electric </t>
  </si>
  <si>
    <t xml:space="preserve">KU-134600-EWB 10 Misc Power Plant </t>
  </si>
  <si>
    <t xml:space="preserve">KU-134600-EWB 11 Misc Power Plant </t>
  </si>
  <si>
    <t xml:space="preserve">KU-131100-GH 1 Struc </t>
  </si>
  <si>
    <t xml:space="preserve">KU-131100-GH 3 Struc </t>
  </si>
  <si>
    <t>KU-131100-GH2 FGD Structures and Impr</t>
  </si>
  <si>
    <t>KU-131100-TC 2 Struc</t>
  </si>
  <si>
    <t>KU-131100-TC 2 Struc ECR 2006</t>
  </si>
  <si>
    <t>KU-131100-TC 2 Struc ECR 2009</t>
  </si>
  <si>
    <t xml:space="preserve">KU-131200-GR 3 Boil </t>
  </si>
  <si>
    <t xml:space="preserve">KU-131200-GR 4 Boil </t>
  </si>
  <si>
    <t xml:space="preserve">KU-131200-TC 2 Boil </t>
  </si>
  <si>
    <t>KU-131200-TC 2 FGD Boil</t>
  </si>
  <si>
    <t>KU-131200-TC 2 FGD Boil ECR 2006</t>
  </si>
  <si>
    <t xml:space="preserve">KU-131401-AROP TY 3 Turbogenerator </t>
  </si>
  <si>
    <t xml:space="preserve">KU-131500-EWB 2 Acc </t>
  </si>
  <si>
    <t xml:space="preserve">KU-131500-EWB 3 Acc </t>
  </si>
  <si>
    <t xml:space="preserve">KU-131500-GH 1 Accessory Electric </t>
  </si>
  <si>
    <t xml:space="preserve">KU-131500-GH 2 Accessory Electric </t>
  </si>
  <si>
    <t>KU-131500-GH 2 SC Acc</t>
  </si>
  <si>
    <t>KU-131500-GH 2 SC Acc ECR 2005</t>
  </si>
  <si>
    <t xml:space="preserve">KU-131500-GH 3 Accessory Electric </t>
  </si>
  <si>
    <t xml:space="preserve">KU-131500-GH 4 Accessory Electric </t>
  </si>
  <si>
    <t xml:space="preserve">KU-131500-GH3 FGD Acc </t>
  </si>
  <si>
    <t xml:space="preserve">KU-131500-GR 3 Accessory Electric </t>
  </si>
  <si>
    <t xml:space="preserve">KU-131500-GR 4 Accessory Electric </t>
  </si>
  <si>
    <t xml:space="preserve">KU-131500-PI 3 Accessory Electric </t>
  </si>
  <si>
    <t xml:space="preserve">KU-131500-TC 2 Acc </t>
  </si>
  <si>
    <t>KU-131500-TC 2 FGD Acessory Equip</t>
  </si>
  <si>
    <t xml:space="preserve">KU-131500-TY 3 Accessory Electric </t>
  </si>
  <si>
    <t xml:space="preserve">KU-131501-AROP EWB1 Accessory Electric </t>
  </si>
  <si>
    <t xml:space="preserve">KU-131501-AROP EWB2 Accessory Electric </t>
  </si>
  <si>
    <t xml:space="preserve">KU-131501-AROP EWB3 Accessory Electric </t>
  </si>
  <si>
    <t xml:space="preserve">KU-131501-AROP GH1 Accessory Electric </t>
  </si>
  <si>
    <t xml:space="preserve">KU-131501-AROP GH2 Accessory Electric </t>
  </si>
  <si>
    <t xml:space="preserve">KU-131501-AROP GH3 Accessory Electric </t>
  </si>
  <si>
    <t xml:space="preserve">KU-131501-AROP GH4 Accessory Electric </t>
  </si>
  <si>
    <t xml:space="preserve">KU-131501-AROP GR4 Accessory Electric </t>
  </si>
  <si>
    <t xml:space="preserve">KU-131501-AROP TY3 Accessory Electric </t>
  </si>
  <si>
    <t xml:space="preserve">KU-131501-AROP Accessory Electric </t>
  </si>
  <si>
    <t xml:space="preserve">KU-131600-GH 1SC Misc Power Plant </t>
  </si>
  <si>
    <t xml:space="preserve">KU-131600-GR 1&amp;2 Misc Power Plant </t>
  </si>
  <si>
    <t>KU-131600-TC 2 Misc Power Plant</t>
  </si>
  <si>
    <t xml:space="preserve">KU-131600-TY 1&amp;2 Misc Power Plant </t>
  </si>
  <si>
    <t>KU-135010- Land Rights</t>
  </si>
  <si>
    <t>KU-135020-Land</t>
  </si>
  <si>
    <t>KU-135210- Licensed Project Str &amp; I</t>
  </si>
  <si>
    <t>KU-135210- Struct &amp; Improve-Non Sys</t>
  </si>
  <si>
    <t>KU-135210-KY Struc NonSys Dix Ctrl</t>
  </si>
  <si>
    <t xml:space="preserve">KU-135220-Struct &amp; Improve-System </t>
  </si>
  <si>
    <t>KU-135310- Licensed Project Sta Eq-</t>
  </si>
  <si>
    <t>KU-135310- Station Equipment-Non Sy</t>
  </si>
  <si>
    <t>KU-135400- Towers Fix</t>
  </si>
  <si>
    <t>KU-135400- Towers Fix ECR 2005</t>
  </si>
  <si>
    <t>KU-135400- Towers and Fixtures</t>
  </si>
  <si>
    <t>KU-135500- Licensed Project Poles a</t>
  </si>
  <si>
    <t>KU-135500- Poles</t>
  </si>
  <si>
    <t>KU-135500- Poles ECR 2005</t>
  </si>
  <si>
    <t>KU-135500- Poles and Fixtures</t>
  </si>
  <si>
    <t>KU-135600- Licensed Project Ohd Con</t>
  </si>
  <si>
    <t>KU-135600- OH Cond</t>
  </si>
  <si>
    <t>KU-135600- OH Cond ECR 2005</t>
  </si>
  <si>
    <t xml:space="preserve">KU-135600- Overhead Conductors and </t>
  </si>
  <si>
    <t>KU-135700- Underground Conduit</t>
  </si>
  <si>
    <t>KU-135800- Underground Conductors a</t>
  </si>
  <si>
    <t>KU-130100-Organization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</si>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</sst>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2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i/>
      <sz val="10"/>
      <color rgb="FF345987"/>
      <name val="Times New Roman"/>
      <family val="1"/>
    </font>
    <font>
      <sz val="10"/>
      <color rgb="FF1A1A1A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15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left"/>
    </xf>
    <xf numFmtId="43" fontId="5" fillId="0" borderId="0" xfId="1" applyFont="1" applyFill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Fill="1"/>
    <xf numFmtId="44" fontId="4" fillId="0" borderId="0" xfId="2" applyFill="1"/>
    <xf numFmtId="43" fontId="4" fillId="0" borderId="0" xfId="1" applyFill="1"/>
    <xf numFmtId="43" fontId="0" fillId="0" borderId="0" xfId="0" applyNumberFormat="1" applyFill="1"/>
    <xf numFmtId="43" fontId="4" fillId="0" borderId="1" xfId="1" applyFill="1" applyBorder="1"/>
    <xf numFmtId="43" fontId="4" fillId="0" borderId="0" xfId="1" applyFill="1" applyBorder="1"/>
    <xf numFmtId="43" fontId="4" fillId="0" borderId="2" xfId="1" applyFill="1" applyBorder="1"/>
    <xf numFmtId="43" fontId="0" fillId="0" borderId="0" xfId="1" applyFont="1" applyFill="1"/>
    <xf numFmtId="0" fontId="3" fillId="0" borderId="0" xfId="0" applyFont="1" applyFill="1" applyAlignment="1">
      <alignment horizontal="right"/>
    </xf>
    <xf numFmtId="43" fontId="4" fillId="0" borderId="3" xfId="1" applyFill="1" applyBorder="1"/>
    <xf numFmtId="0" fontId="6" fillId="0" borderId="0" xfId="0" applyFont="1" applyFill="1"/>
    <xf numFmtId="44" fontId="6" fillId="0" borderId="0" xfId="2" applyFont="1" applyFill="1"/>
    <xf numFmtId="0" fontId="6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43" fontId="0" fillId="0" borderId="0" xfId="1" applyFont="1" applyFill="1" applyBorder="1"/>
    <xf numFmtId="43" fontId="0" fillId="0" borderId="1" xfId="1" applyFont="1" applyFill="1" applyBorder="1"/>
    <xf numFmtId="0" fontId="3" fillId="0" borderId="0" xfId="0" applyFont="1" applyFill="1" applyBorder="1" applyAlignment="1">
      <alignment horizontal="center"/>
    </xf>
    <xf numFmtId="43" fontId="4" fillId="0" borderId="0" xfId="1" applyFont="1" applyFill="1" applyBorder="1"/>
    <xf numFmtId="40" fontId="0" fillId="0" borderId="0" xfId="0" applyNumberFormat="1" applyFill="1"/>
    <xf numFmtId="43" fontId="0" fillId="0" borderId="4" xfId="1" applyFont="1" applyFill="1" applyBorder="1"/>
    <xf numFmtId="43" fontId="0" fillId="0" borderId="2" xfId="1" applyFont="1" applyFill="1" applyBorder="1"/>
    <xf numFmtId="43" fontId="0" fillId="0" borderId="5" xfId="1" applyFont="1" applyFill="1" applyBorder="1"/>
    <xf numFmtId="44" fontId="0" fillId="0" borderId="0" xfId="0" applyNumberFormat="1" applyFill="1"/>
    <xf numFmtId="43" fontId="4" fillId="0" borderId="0" xfId="1" applyFont="1" applyFill="1"/>
    <xf numFmtId="43" fontId="5" fillId="0" borderId="0" xfId="1" applyFont="1" applyFill="1" applyBorder="1" applyAlignment="1">
      <alignment horizontal="center"/>
    </xf>
    <xf numFmtId="43" fontId="5" fillId="0" borderId="0" xfId="1" applyFont="1" applyFill="1" applyAlignment="1">
      <alignment horizontal="center" wrapText="1"/>
    </xf>
    <xf numFmtId="43" fontId="3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/>
    </xf>
    <xf numFmtId="0" fontId="4" fillId="0" borderId="0" xfId="0" applyFont="1" applyFill="1"/>
    <xf numFmtId="0" fontId="4" fillId="0" borderId="6" xfId="0" applyFont="1" applyFill="1" applyBorder="1"/>
    <xf numFmtId="43" fontId="0" fillId="0" borderId="6" xfId="0" applyNumberFormat="1" applyFill="1" applyBorder="1"/>
    <xf numFmtId="43" fontId="4" fillId="0" borderId="0" xfId="0" applyNumberFormat="1" applyFont="1" applyFill="1"/>
    <xf numFmtId="43" fontId="0" fillId="0" borderId="8" xfId="0" applyNumberFormat="1" applyFill="1" applyBorder="1"/>
    <xf numFmtId="43" fontId="0" fillId="0" borderId="4" xfId="0" applyNumberFormat="1" applyFill="1" applyBorder="1"/>
    <xf numFmtId="43" fontId="0" fillId="0" borderId="0" xfId="0" applyNumberFormat="1" applyFill="1" applyAlignment="1">
      <alignment horizontal="center"/>
    </xf>
    <xf numFmtId="43" fontId="3" fillId="0" borderId="0" xfId="0" applyNumberFormat="1" applyFont="1" applyFill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43" fontId="5" fillId="0" borderId="10" xfId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0" fillId="0" borderId="10" xfId="0" applyNumberFormat="1" applyFill="1" applyBorder="1"/>
    <xf numFmtId="0" fontId="4" fillId="0" borderId="10" xfId="0" applyFont="1" applyFill="1" applyBorder="1"/>
    <xf numFmtId="0" fontId="0" fillId="0" borderId="11" xfId="0" applyFill="1" applyBorder="1"/>
    <xf numFmtId="0" fontId="0" fillId="0" borderId="12" xfId="0" applyFill="1" applyBorder="1" applyAlignment="1">
      <alignment horizontal="left"/>
    </xf>
    <xf numFmtId="0" fontId="0" fillId="0" borderId="0" xfId="0" applyFill="1" applyBorder="1"/>
    <xf numFmtId="43" fontId="0" fillId="0" borderId="0" xfId="0" applyNumberFormat="1" applyFill="1" applyBorder="1"/>
    <xf numFmtId="0" fontId="4" fillId="0" borderId="0" xfId="0" applyFont="1" applyFill="1" applyBorder="1"/>
    <xf numFmtId="0" fontId="0" fillId="0" borderId="13" xfId="0" applyFill="1" applyBorder="1"/>
    <xf numFmtId="43" fontId="0" fillId="0" borderId="5" xfId="0" applyNumberFormat="1" applyFill="1" applyBorder="1"/>
    <xf numFmtId="0" fontId="0" fillId="0" borderId="14" xfId="0" applyFill="1" applyBorder="1" applyAlignment="1">
      <alignment horizontal="left"/>
    </xf>
    <xf numFmtId="0" fontId="0" fillId="0" borderId="15" xfId="0" applyFill="1" applyBorder="1"/>
    <xf numFmtId="43" fontId="5" fillId="0" borderId="15" xfId="1" applyFont="1" applyFill="1" applyBorder="1" applyAlignment="1">
      <alignment horizontal="center"/>
    </xf>
    <xf numFmtId="43" fontId="3" fillId="0" borderId="15" xfId="1" applyFont="1" applyFill="1" applyBorder="1" applyAlignment="1">
      <alignment horizontal="center"/>
    </xf>
    <xf numFmtId="43" fontId="0" fillId="0" borderId="15" xfId="0" applyNumberFormat="1" applyFill="1" applyBorder="1"/>
    <xf numFmtId="0" fontId="4" fillId="0" borderId="15" xfId="0" applyFont="1" applyFill="1" applyBorder="1"/>
    <xf numFmtId="0" fontId="0" fillId="0" borderId="16" xfId="0" applyFill="1" applyBorder="1"/>
    <xf numFmtId="0" fontId="3" fillId="0" borderId="0" xfId="0" applyFont="1" applyFill="1" applyAlignment="1">
      <alignment horizontal="left"/>
    </xf>
    <xf numFmtId="43" fontId="4" fillId="0" borderId="0" xfId="1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0" fillId="0" borderId="2" xfId="0" applyFill="1" applyBorder="1"/>
    <xf numFmtId="43" fontId="4" fillId="0" borderId="5" xfId="1" applyFill="1" applyBorder="1"/>
    <xf numFmtId="164" fontId="3" fillId="0" borderId="0" xfId="0" quotePrefix="1" applyNumberFormat="1" applyFont="1" applyFill="1" applyAlignment="1">
      <alignment horizontal="center"/>
    </xf>
    <xf numFmtId="49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3" fillId="0" borderId="0" xfId="0" quotePrefix="1" applyFont="1" applyFill="1" applyAlignment="1">
      <alignment horizontal="left" wrapText="1"/>
    </xf>
    <xf numFmtId="0" fontId="3" fillId="0" borderId="0" xfId="3" applyFont="1" applyFill="1"/>
    <xf numFmtId="17" fontId="3" fillId="0" borderId="0" xfId="0" applyNumberFormat="1" applyFont="1" applyFill="1" applyAlignment="1">
      <alignment horizontal="left"/>
    </xf>
    <xf numFmtId="43" fontId="9" fillId="0" borderId="0" xfId="1" applyFont="1" applyFill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Protection="1">
      <protection locked="0"/>
    </xf>
    <xf numFmtId="164" fontId="4" fillId="0" borderId="0" xfId="0" applyNumberFormat="1" applyFont="1" applyFill="1" applyAlignment="1">
      <alignment horizontal="center"/>
    </xf>
    <xf numFmtId="39" fontId="4" fillId="0" borderId="0" xfId="2" applyNumberFormat="1" applyFill="1"/>
    <xf numFmtId="39" fontId="4" fillId="0" borderId="0" xfId="2" applyNumberFormat="1" applyFill="1" applyBorder="1"/>
    <xf numFmtId="43" fontId="0" fillId="0" borderId="1" xfId="0" applyNumberFormat="1" applyFill="1" applyBorder="1"/>
    <xf numFmtId="39" fontId="4" fillId="0" borderId="2" xfId="2" applyNumberFormat="1" applyFill="1" applyBorder="1"/>
    <xf numFmtId="0" fontId="0" fillId="0" borderId="0" xfId="0" applyNumberFormat="1" applyFill="1"/>
    <xf numFmtId="44" fontId="4" fillId="0" borderId="0" xfId="2" applyFill="1" applyBorder="1"/>
    <xf numFmtId="0" fontId="2" fillId="0" borderId="0" xfId="0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</xf>
    <xf numFmtId="43" fontId="2" fillId="0" borderId="0" xfId="1" applyFont="1" applyFill="1" applyAlignment="1" applyProtection="1">
      <alignment horizontal="center"/>
    </xf>
    <xf numFmtId="43" fontId="4" fillId="0" borderId="1" xfId="1" quotePrefix="1" applyFill="1" applyBorder="1"/>
    <xf numFmtId="4" fontId="0" fillId="0" borderId="0" xfId="0" applyNumberFormat="1" applyFill="1"/>
    <xf numFmtId="164" fontId="3" fillId="0" borderId="0" xfId="0" applyNumberFormat="1" applyFont="1" applyFill="1" applyAlignment="1"/>
    <xf numFmtId="0" fontId="0" fillId="0" borderId="0" xfId="0" applyFont="1" applyFill="1"/>
    <xf numFmtId="44" fontId="0" fillId="0" borderId="0" xfId="2" applyFont="1" applyFill="1"/>
    <xf numFmtId="0" fontId="0" fillId="0" borderId="21" xfId="0" applyFill="1" applyBorder="1"/>
    <xf numFmtId="43" fontId="4" fillId="0" borderId="0" xfId="1" quotePrefix="1" applyFill="1"/>
    <xf numFmtId="43" fontId="4" fillId="0" borderId="0" xfId="1" quotePrefix="1" applyFont="1" applyFill="1"/>
    <xf numFmtId="43" fontId="4" fillId="0" borderId="0" xfId="1" quotePrefix="1" applyFill="1" applyBorder="1"/>
    <xf numFmtId="43" fontId="4" fillId="0" borderId="0" xfId="1" quotePrefix="1" applyFont="1" applyFill="1" applyBorder="1"/>
    <xf numFmtId="39" fontId="0" fillId="0" borderId="0" xfId="2" applyNumberFormat="1" applyFont="1" applyFill="1" applyBorder="1"/>
    <xf numFmtId="39" fontId="0" fillId="0" borderId="0" xfId="2" applyNumberFormat="1" applyFont="1" applyFill="1"/>
    <xf numFmtId="43" fontId="3" fillId="0" borderId="0" xfId="1" applyFont="1" applyFill="1" applyAlignment="1">
      <alignment horizontal="center"/>
    </xf>
    <xf numFmtId="44" fontId="0" fillId="0" borderId="0" xfId="2" applyFont="1" applyFill="1" applyBorder="1"/>
    <xf numFmtId="43" fontId="0" fillId="0" borderId="0" xfId="1" quotePrefix="1" applyFont="1" applyFill="1"/>
    <xf numFmtId="43" fontId="0" fillId="0" borderId="0" xfId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20" xfId="0" applyFont="1" applyFill="1" applyBorder="1"/>
    <xf numFmtId="43" fontId="11" fillId="0" borderId="20" xfId="0" applyNumberFormat="1" applyFont="1" applyFill="1" applyBorder="1" applyAlignment="1">
      <alignment horizontal="left"/>
    </xf>
    <xf numFmtId="43" fontId="11" fillId="0" borderId="0" xfId="0" applyNumberFormat="1" applyFont="1" applyFill="1" applyBorder="1"/>
    <xf numFmtId="43" fontId="11" fillId="0" borderId="0" xfId="1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/>
    <xf numFmtId="43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NumberFormat="1" applyFont="1" applyFill="1"/>
    <xf numFmtId="17" fontId="9" fillId="0" borderId="0" xfId="0" applyNumberFormat="1" applyFont="1" applyFill="1"/>
    <xf numFmtId="43" fontId="9" fillId="0" borderId="0" xfId="0" applyNumberFormat="1" applyFont="1" applyFill="1"/>
    <xf numFmtId="43" fontId="9" fillId="0" borderId="4" xfId="1" applyFont="1" applyFill="1" applyBorder="1"/>
    <xf numFmtId="0" fontId="9" fillId="0" borderId="4" xfId="0" applyFont="1" applyFill="1" applyBorder="1"/>
    <xf numFmtId="43" fontId="9" fillId="0" borderId="5" xfId="1" applyFont="1" applyFill="1" applyBorder="1"/>
    <xf numFmtId="0" fontId="4" fillId="0" borderId="17" xfId="0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164" fontId="4" fillId="0" borderId="19" xfId="0" quotePrefix="1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/>
    <xf numFmtId="0" fontId="8" fillId="0" borderId="0" xfId="0" applyFont="1" applyFill="1" applyAlignment="1">
      <alignment horizontal="left" wrapText="1"/>
    </xf>
    <xf numFmtId="0" fontId="3" fillId="0" borderId="0" xfId="0" quotePrefix="1" applyFont="1" applyFill="1"/>
    <xf numFmtId="0" fontId="3" fillId="0" borderId="0" xfId="0" applyFont="1" applyFill="1" applyAlignment="1">
      <alignment wrapText="1"/>
    </xf>
    <xf numFmtId="43" fontId="3" fillId="0" borderId="1" xfId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3" fontId="4" fillId="0" borderId="4" xfId="1" applyFill="1" applyBorder="1"/>
  </cellXfs>
  <cellStyles count="4">
    <cellStyle name="Comma" xfId="1" builtinId="3"/>
    <cellStyle name="Currency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selection sqref="A1:N1"/>
    </sheetView>
  </sheetViews>
  <sheetFormatPr defaultRowHeight="12.75" x14ac:dyDescent="0.2"/>
  <cols>
    <col min="1" max="1" width="5" style="8" customWidth="1"/>
    <col min="2" max="2" width="4.28515625" style="3" customWidth="1"/>
    <col min="3" max="3" width="32.28515625" style="3" customWidth="1"/>
    <col min="4" max="4" width="17.7109375" style="3" customWidth="1"/>
    <col min="5" max="5" width="1.7109375" style="3" customWidth="1"/>
    <col min="6" max="6" width="17.7109375" style="3" customWidth="1"/>
    <col min="7" max="7" width="1.7109375" style="3" customWidth="1"/>
    <col min="8" max="8" width="17.7109375" style="3" customWidth="1"/>
    <col min="9" max="9" width="1.7109375" style="3" customWidth="1"/>
    <col min="10" max="10" width="17.7109375" style="3" customWidth="1"/>
    <col min="11" max="11" width="1.7109375" style="3" customWidth="1"/>
    <col min="12" max="12" width="17.7109375" style="3" customWidth="1"/>
    <col min="13" max="13" width="1.7109375" style="3" customWidth="1"/>
    <col min="14" max="14" width="17.7109375" style="3" customWidth="1"/>
    <col min="15" max="15" width="2.7109375" style="3" customWidth="1"/>
    <col min="16" max="16" width="12.140625" style="2" customWidth="1"/>
    <col min="17" max="17" width="10" style="3" bestFit="1" customWidth="1"/>
    <col min="18" max="18" width="11.28515625" style="3" bestFit="1" customWidth="1"/>
    <col min="19" max="16384" width="9.140625" style="3"/>
  </cols>
  <sheetData>
    <row r="1" spans="1:17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"/>
      <c r="P1" s="3"/>
    </row>
    <row r="2" spans="1:17" x14ac:dyDescent="0.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"/>
      <c r="P2" s="3"/>
    </row>
    <row r="3" spans="1:17" x14ac:dyDescent="0.2">
      <c r="A3" s="96" t="s">
        <v>4458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4"/>
      <c r="P3" s="3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7" x14ac:dyDescent="0.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</row>
    <row r="6" spans="1:17" x14ac:dyDescent="0.2">
      <c r="A6" s="6"/>
      <c r="B6" s="5"/>
      <c r="C6" s="5"/>
      <c r="D6" s="25" t="s">
        <v>2</v>
      </c>
      <c r="E6" s="7"/>
      <c r="F6" s="7"/>
      <c r="G6" s="7"/>
      <c r="H6" s="7"/>
      <c r="I6" s="7"/>
      <c r="J6" s="25" t="s">
        <v>3</v>
      </c>
      <c r="K6" s="7"/>
      <c r="L6" s="7"/>
      <c r="M6" s="7"/>
      <c r="N6" s="25" t="s">
        <v>4</v>
      </c>
      <c r="O6" s="25"/>
      <c r="P6" s="3"/>
    </row>
    <row r="7" spans="1:17" x14ac:dyDescent="0.2">
      <c r="D7" s="10" t="s">
        <v>5</v>
      </c>
      <c r="E7" s="9"/>
      <c r="F7" s="10" t="s">
        <v>6</v>
      </c>
      <c r="G7" s="9"/>
      <c r="H7" s="10" t="s">
        <v>7</v>
      </c>
      <c r="I7" s="9"/>
      <c r="J7" s="10" t="s">
        <v>8</v>
      </c>
      <c r="K7" s="9"/>
      <c r="L7" s="10" t="s">
        <v>9</v>
      </c>
      <c r="M7" s="9"/>
      <c r="N7" s="10" t="s">
        <v>5</v>
      </c>
      <c r="O7" s="11"/>
      <c r="P7" s="3"/>
    </row>
    <row r="8" spans="1:17" x14ac:dyDescent="0.2">
      <c r="D8" s="11"/>
      <c r="E8" s="9"/>
      <c r="F8" s="11"/>
      <c r="G8" s="9"/>
      <c r="H8" s="11"/>
      <c r="I8" s="9"/>
      <c r="J8" s="11"/>
      <c r="K8" s="9"/>
      <c r="L8" s="11"/>
      <c r="M8" s="9"/>
      <c r="N8" s="11"/>
      <c r="O8" s="11"/>
      <c r="P8" s="3"/>
    </row>
    <row r="9" spans="1:17" x14ac:dyDescent="0.2">
      <c r="A9" s="8">
        <v>101</v>
      </c>
      <c r="B9" s="12" t="s">
        <v>10</v>
      </c>
      <c r="P9" s="3"/>
    </row>
    <row r="10" spans="1:17" x14ac:dyDescent="0.2">
      <c r="B10" s="12" t="s">
        <v>11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"/>
    </row>
    <row r="11" spans="1:17" x14ac:dyDescent="0.2">
      <c r="C11" s="3" t="s">
        <v>12</v>
      </c>
      <c r="D11" s="14">
        <v>1684517943.6299996</v>
      </c>
      <c r="E11" s="14"/>
      <c r="F11" s="14">
        <v>93561334.219999999</v>
      </c>
      <c r="G11" s="14"/>
      <c r="H11" s="14">
        <v>-25442908.199999999</v>
      </c>
      <c r="I11" s="14"/>
      <c r="J11" s="14">
        <v>-1005298.8999999999</v>
      </c>
      <c r="K11" s="14"/>
      <c r="L11" s="14">
        <f>F11+H11+J11</f>
        <v>67113127.11999999</v>
      </c>
      <c r="M11" s="14"/>
      <c r="N11" s="14">
        <f>D11+L11</f>
        <v>1751631070.7499995</v>
      </c>
      <c r="O11" s="14"/>
      <c r="P11" s="3"/>
    </row>
    <row r="12" spans="1:17" x14ac:dyDescent="0.2">
      <c r="C12" s="3" t="s">
        <v>13</v>
      </c>
      <c r="D12" s="14">
        <v>172180002.78999999</v>
      </c>
      <c r="E12" s="14"/>
      <c r="F12" s="14">
        <v>16643379.35</v>
      </c>
      <c r="G12" s="14"/>
      <c r="H12" s="14">
        <v>-5739015.4200000009</v>
      </c>
      <c r="I12" s="14"/>
      <c r="J12" s="14">
        <v>-131956.31</v>
      </c>
      <c r="K12" s="14"/>
      <c r="L12" s="14">
        <f t="shared" ref="L12:L17" si="0">F12+H12+J12</f>
        <v>10772407.619999999</v>
      </c>
      <c r="M12" s="14"/>
      <c r="N12" s="14">
        <f t="shared" ref="N12:N17" si="1">D12+L12</f>
        <v>182952410.41</v>
      </c>
      <c r="O12" s="14"/>
      <c r="P12" s="3"/>
      <c r="Q12" s="15"/>
    </row>
    <row r="13" spans="1:17" x14ac:dyDescent="0.2">
      <c r="C13" s="3" t="s">
        <v>14</v>
      </c>
      <c r="D13" s="14">
        <v>42370918.609999999</v>
      </c>
      <c r="E13" s="14"/>
      <c r="F13" s="14">
        <v>0</v>
      </c>
      <c r="G13" s="14"/>
      <c r="H13" s="14">
        <v>-23675</v>
      </c>
      <c r="I13" s="14"/>
      <c r="J13" s="14">
        <v>0</v>
      </c>
      <c r="K13" s="14"/>
      <c r="L13" s="14">
        <f t="shared" si="0"/>
        <v>-23675</v>
      </c>
      <c r="M13" s="14"/>
      <c r="N13" s="14">
        <f t="shared" si="1"/>
        <v>42347243.609999999</v>
      </c>
      <c r="O13" s="14"/>
      <c r="P13" s="3"/>
    </row>
    <row r="14" spans="1:17" x14ac:dyDescent="0.2">
      <c r="C14" s="3" t="s">
        <v>15</v>
      </c>
      <c r="D14" s="14">
        <v>89979230.909999996</v>
      </c>
      <c r="E14" s="14"/>
      <c r="F14" s="14">
        <v>11083870.050000001</v>
      </c>
      <c r="G14" s="14"/>
      <c r="H14" s="14">
        <v>-7464577.3600000003</v>
      </c>
      <c r="I14" s="14"/>
      <c r="J14" s="14">
        <v>0</v>
      </c>
      <c r="K14" s="14"/>
      <c r="L14" s="14">
        <f t="shared" si="0"/>
        <v>3619292.6900000004</v>
      </c>
      <c r="M14" s="14"/>
      <c r="N14" s="14">
        <f t="shared" si="1"/>
        <v>93598523.599999994</v>
      </c>
      <c r="O14" s="14"/>
      <c r="P14" s="3"/>
    </row>
    <row r="15" spans="1:17" x14ac:dyDescent="0.2">
      <c r="C15" s="3" t="s">
        <v>16</v>
      </c>
      <c r="D15" s="14">
        <v>970001317.19000006</v>
      </c>
      <c r="E15" s="14"/>
      <c r="F15" s="14">
        <v>28804692.879999999</v>
      </c>
      <c r="G15" s="14"/>
      <c r="H15" s="14">
        <v>-3080794.96</v>
      </c>
      <c r="I15" s="14"/>
      <c r="J15" s="14">
        <v>3647.0299999999988</v>
      </c>
      <c r="K15" s="14"/>
      <c r="L15" s="14">
        <f t="shared" si="0"/>
        <v>25727544.949999999</v>
      </c>
      <c r="M15" s="14"/>
      <c r="N15" s="14">
        <f t="shared" si="1"/>
        <v>995728862.1400001</v>
      </c>
      <c r="O15" s="14"/>
      <c r="P15" s="3"/>
    </row>
    <row r="16" spans="1:17" x14ac:dyDescent="0.2">
      <c r="C16" s="3" t="s">
        <v>17</v>
      </c>
      <c r="D16" s="14">
        <v>3964520211.1800003</v>
      </c>
      <c r="E16" s="14"/>
      <c r="F16" s="14">
        <v>505487308.81999999</v>
      </c>
      <c r="G16" s="14"/>
      <c r="H16" s="14">
        <v>-14556935.390000001</v>
      </c>
      <c r="I16" s="14"/>
      <c r="J16" s="14">
        <v>-45940016.920000002</v>
      </c>
      <c r="K16" s="14"/>
      <c r="L16" s="14">
        <f t="shared" si="0"/>
        <v>444990356.50999999</v>
      </c>
      <c r="M16" s="14"/>
      <c r="N16" s="14">
        <f t="shared" si="1"/>
        <v>4409510567.6900005</v>
      </c>
      <c r="O16" s="14"/>
      <c r="P16" s="3"/>
    </row>
    <row r="17" spans="1:16" x14ac:dyDescent="0.2">
      <c r="C17" s="3" t="s">
        <v>18</v>
      </c>
      <c r="D17" s="16">
        <v>816011552.08999979</v>
      </c>
      <c r="E17" s="14"/>
      <c r="F17" s="14">
        <v>60852418.960000001</v>
      </c>
      <c r="G17" s="14"/>
      <c r="H17" s="14">
        <v>-12699756.27</v>
      </c>
      <c r="I17" s="14"/>
      <c r="J17" s="14">
        <v>731109.45000000007</v>
      </c>
      <c r="K17" s="14"/>
      <c r="L17" s="16">
        <f t="shared" si="0"/>
        <v>48883772.140000001</v>
      </c>
      <c r="M17" s="14"/>
      <c r="N17" s="16">
        <f t="shared" si="1"/>
        <v>864895324.22999978</v>
      </c>
      <c r="O17" s="17"/>
      <c r="P17" s="3"/>
    </row>
    <row r="18" spans="1:16" x14ac:dyDescent="0.2">
      <c r="D18" s="14"/>
      <c r="E18" s="14"/>
      <c r="F18" s="18"/>
      <c r="G18" s="14"/>
      <c r="H18" s="18"/>
      <c r="I18" s="14"/>
      <c r="J18" s="18"/>
      <c r="K18" s="14"/>
      <c r="L18" s="18"/>
      <c r="M18" s="14"/>
      <c r="N18" s="14"/>
      <c r="O18" s="14"/>
      <c r="P18" s="3"/>
    </row>
    <row r="19" spans="1:16" x14ac:dyDescent="0.2">
      <c r="C19" s="12" t="s">
        <v>19</v>
      </c>
      <c r="D19" s="16">
        <f>SUM(D11:D17)</f>
        <v>7739581176.3999996</v>
      </c>
      <c r="E19" s="14"/>
      <c r="F19" s="16">
        <f>SUM(F11:F17)</f>
        <v>716433004.27999997</v>
      </c>
      <c r="G19" s="14"/>
      <c r="H19" s="16">
        <f>SUM(H11:H17)</f>
        <v>-69007662.600000009</v>
      </c>
      <c r="I19" s="14"/>
      <c r="J19" s="16">
        <f>SUM(J11:J17)</f>
        <v>-46342515.649999999</v>
      </c>
      <c r="K19" s="14"/>
      <c r="L19" s="16">
        <f>SUM(L11:L17)</f>
        <v>601082826.02999997</v>
      </c>
      <c r="M19" s="14"/>
      <c r="N19" s="16">
        <f>SUM(N11:N17)</f>
        <v>8340664002.4299994</v>
      </c>
      <c r="O19" s="17"/>
      <c r="P19" s="3"/>
    </row>
    <row r="20" spans="1:16" x14ac:dyDescent="0.2">
      <c r="C20" s="12"/>
      <c r="D20" s="17"/>
      <c r="E20" s="14"/>
      <c r="F20" s="17"/>
      <c r="G20" s="14"/>
      <c r="H20" s="17"/>
      <c r="I20" s="14"/>
      <c r="J20" s="17"/>
      <c r="K20" s="14"/>
      <c r="L20" s="17"/>
      <c r="M20" s="14"/>
      <c r="N20" s="17"/>
      <c r="O20" s="17"/>
      <c r="P20" s="3"/>
    </row>
    <row r="21" spans="1:16" x14ac:dyDescent="0.2">
      <c r="C21" s="12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17"/>
      <c r="P21" s="3"/>
    </row>
    <row r="22" spans="1:16" x14ac:dyDescent="0.2">
      <c r="A22" s="8">
        <v>102</v>
      </c>
      <c r="B22" s="12" t="s">
        <v>20</v>
      </c>
      <c r="C22" s="1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"/>
    </row>
    <row r="23" spans="1:16" x14ac:dyDescent="0.2">
      <c r="B23" s="12" t="s">
        <v>11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"/>
    </row>
    <row r="24" spans="1:16" x14ac:dyDescent="0.2">
      <c r="B24" s="12"/>
      <c r="C24" s="3" t="s">
        <v>13</v>
      </c>
      <c r="D24" s="14">
        <v>0</v>
      </c>
      <c r="E24" s="14"/>
      <c r="F24" s="14">
        <v>0</v>
      </c>
      <c r="G24" s="14"/>
      <c r="H24" s="14">
        <v>0</v>
      </c>
      <c r="I24" s="14"/>
      <c r="J24" s="14"/>
      <c r="K24" s="14"/>
      <c r="L24" s="17">
        <f>F24+H24+J24</f>
        <v>0</v>
      </c>
      <c r="M24" s="14"/>
      <c r="N24" s="17">
        <f>D24+L24</f>
        <v>0</v>
      </c>
      <c r="O24" s="14"/>
      <c r="P24" s="3"/>
    </row>
    <row r="25" spans="1:16" x14ac:dyDescent="0.2">
      <c r="C25" s="3" t="s">
        <v>21</v>
      </c>
      <c r="D25" s="16">
        <v>0</v>
      </c>
      <c r="E25" s="14"/>
      <c r="F25" s="16">
        <f>0</f>
        <v>0</v>
      </c>
      <c r="G25" s="14"/>
      <c r="H25" s="16">
        <v>0</v>
      </c>
      <c r="I25" s="14"/>
      <c r="J25" s="16">
        <v>0</v>
      </c>
      <c r="K25" s="14"/>
      <c r="L25" s="16">
        <f>F25+H25+J25</f>
        <v>0</v>
      </c>
      <c r="M25" s="14"/>
      <c r="N25" s="16">
        <f>D25+L25</f>
        <v>0</v>
      </c>
      <c r="O25" s="17"/>
      <c r="P25" s="3"/>
    </row>
    <row r="26" spans="1:16" x14ac:dyDescent="0.2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3"/>
    </row>
    <row r="27" spans="1:16" x14ac:dyDescent="0.2">
      <c r="C27" s="12" t="s">
        <v>22</v>
      </c>
      <c r="D27" s="16">
        <f>SUM(D24:D25)</f>
        <v>0</v>
      </c>
      <c r="E27" s="14"/>
      <c r="F27" s="16">
        <f>SUM(F24:F25)</f>
        <v>0</v>
      </c>
      <c r="G27" s="14"/>
      <c r="H27" s="16">
        <f>SUM(H24:H25)</f>
        <v>0</v>
      </c>
      <c r="I27" s="14"/>
      <c r="J27" s="16">
        <f>SUM(J24:J25)</f>
        <v>0</v>
      </c>
      <c r="K27" s="14"/>
      <c r="L27" s="16">
        <f>SUM(L24:L25)</f>
        <v>0</v>
      </c>
      <c r="M27" s="14"/>
      <c r="N27" s="16">
        <f>SUM(N24:N25)</f>
        <v>0</v>
      </c>
      <c r="O27" s="17"/>
      <c r="P27" s="3"/>
    </row>
    <row r="28" spans="1:16" x14ac:dyDescent="0.2">
      <c r="C28" s="12"/>
      <c r="D28" s="17"/>
      <c r="E28" s="14"/>
      <c r="F28" s="17"/>
      <c r="G28" s="14"/>
      <c r="H28" s="17"/>
      <c r="I28" s="14"/>
      <c r="J28" s="17"/>
      <c r="K28" s="14"/>
      <c r="L28" s="17"/>
      <c r="M28" s="14"/>
      <c r="N28" s="17"/>
      <c r="O28" s="17"/>
      <c r="P28" s="3"/>
    </row>
    <row r="29" spans="1:16" x14ac:dyDescent="0.2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"/>
    </row>
    <row r="30" spans="1:16" x14ac:dyDescent="0.2">
      <c r="A30" s="8">
        <v>105</v>
      </c>
      <c r="B30" s="12" t="s">
        <v>23</v>
      </c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"/>
    </row>
    <row r="31" spans="1:16" x14ac:dyDescent="0.2">
      <c r="B31" s="12" t="s">
        <v>11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"/>
    </row>
    <row r="32" spans="1:16" x14ac:dyDescent="0.2">
      <c r="B32" s="12"/>
      <c r="C32" s="3" t="s">
        <v>12</v>
      </c>
      <c r="D32" s="14">
        <v>437970.09</v>
      </c>
      <c r="E32" s="14"/>
      <c r="F32" s="14"/>
      <c r="G32" s="14"/>
      <c r="H32" s="14">
        <v>0</v>
      </c>
      <c r="I32" s="14"/>
      <c r="J32" s="14">
        <v>1033452.5</v>
      </c>
      <c r="K32" s="14"/>
      <c r="L32" s="14">
        <f>F32+H32+J32</f>
        <v>1033452.5</v>
      </c>
      <c r="M32" s="14"/>
      <c r="N32" s="14">
        <f>D32+L32</f>
        <v>1471422.59</v>
      </c>
      <c r="O32" s="14"/>
      <c r="P32" s="3"/>
    </row>
    <row r="33" spans="1:16" x14ac:dyDescent="0.2">
      <c r="B33" s="12"/>
      <c r="C33" s="3" t="s">
        <v>16</v>
      </c>
      <c r="D33" s="14">
        <v>309540.84999999998</v>
      </c>
      <c r="E33" s="14"/>
      <c r="F33" s="14">
        <v>0</v>
      </c>
      <c r="G33" s="14"/>
      <c r="H33" s="14">
        <v>0</v>
      </c>
      <c r="I33" s="14"/>
      <c r="J33" s="14">
        <v>0</v>
      </c>
      <c r="K33" s="14"/>
      <c r="L33" s="14">
        <f>F33+H33+J33</f>
        <v>0</v>
      </c>
      <c r="M33" s="14"/>
      <c r="N33" s="14">
        <f>D33+L33</f>
        <v>309540.84999999998</v>
      </c>
      <c r="O33" s="14"/>
      <c r="P33" s="3"/>
    </row>
    <row r="34" spans="1:16" x14ac:dyDescent="0.2">
      <c r="C34" s="3" t="s">
        <v>17</v>
      </c>
      <c r="D34" s="17">
        <v>0</v>
      </c>
      <c r="E34" s="14"/>
      <c r="F34" s="14">
        <v>0</v>
      </c>
      <c r="G34" s="14"/>
      <c r="H34" s="14">
        <v>0</v>
      </c>
      <c r="I34" s="14"/>
      <c r="J34" s="14">
        <v>0</v>
      </c>
      <c r="K34" s="14"/>
      <c r="L34" s="17">
        <f>F34+H34+J34</f>
        <v>0</v>
      </c>
      <c r="M34" s="14"/>
      <c r="N34" s="17">
        <f>D34+L34</f>
        <v>0</v>
      </c>
      <c r="O34" s="17"/>
      <c r="P34" s="3"/>
    </row>
    <row r="35" spans="1:16" x14ac:dyDescent="0.2">
      <c r="C35" s="3" t="s">
        <v>13</v>
      </c>
      <c r="D35" s="17">
        <v>0</v>
      </c>
      <c r="E35" s="14"/>
      <c r="F35" s="14">
        <v>0</v>
      </c>
      <c r="G35" s="14"/>
      <c r="H35" s="14">
        <v>0</v>
      </c>
      <c r="I35" s="14"/>
      <c r="J35" s="14">
        <v>131956.31</v>
      </c>
      <c r="K35" s="14"/>
      <c r="L35" s="17">
        <f>F35+H35+J35</f>
        <v>131956.31</v>
      </c>
      <c r="M35" s="14"/>
      <c r="N35" s="17">
        <f>D35+L35</f>
        <v>131956.31</v>
      </c>
      <c r="O35" s="17"/>
      <c r="P35" s="3"/>
    </row>
    <row r="36" spans="1:16" x14ac:dyDescent="0.2">
      <c r="D36" s="18"/>
      <c r="E36" s="14"/>
      <c r="F36" s="18"/>
      <c r="G36" s="14"/>
      <c r="H36" s="18"/>
      <c r="I36" s="14"/>
      <c r="J36" s="18"/>
      <c r="K36" s="14"/>
      <c r="L36" s="18"/>
      <c r="M36" s="14"/>
      <c r="N36" s="18"/>
      <c r="O36" s="14"/>
      <c r="P36" s="3"/>
    </row>
    <row r="37" spans="1:16" x14ac:dyDescent="0.2">
      <c r="C37" s="12" t="s">
        <v>24</v>
      </c>
      <c r="D37" s="16">
        <f>SUM(D32:D35)</f>
        <v>747510.94</v>
      </c>
      <c r="E37" s="14"/>
      <c r="F37" s="16">
        <f>SUM(F32:F35)</f>
        <v>0</v>
      </c>
      <c r="G37" s="14"/>
      <c r="H37" s="16">
        <f>SUM(H32:H35)</f>
        <v>0</v>
      </c>
      <c r="I37" s="14"/>
      <c r="J37" s="16">
        <f>SUM(J32:J35)</f>
        <v>1165408.81</v>
      </c>
      <c r="K37" s="14"/>
      <c r="L37" s="16">
        <f>SUM(L32:L35)</f>
        <v>1165408.81</v>
      </c>
      <c r="M37" s="14"/>
      <c r="N37" s="16">
        <f>SUM(N32:N35)</f>
        <v>1912919.75</v>
      </c>
      <c r="O37" s="17"/>
      <c r="P37" s="3"/>
    </row>
    <row r="38" spans="1:16" x14ac:dyDescent="0.2">
      <c r="C38" s="12"/>
      <c r="D38" s="17"/>
      <c r="E38" s="14"/>
      <c r="F38" s="17"/>
      <c r="G38" s="14"/>
      <c r="H38" s="17"/>
      <c r="I38" s="14"/>
      <c r="J38" s="17"/>
      <c r="K38" s="14"/>
      <c r="L38" s="17"/>
      <c r="M38" s="14"/>
      <c r="N38" s="17"/>
      <c r="O38" s="17"/>
      <c r="P38" s="3"/>
    </row>
    <row r="39" spans="1:16" x14ac:dyDescent="0.2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"/>
    </row>
    <row r="40" spans="1:16" x14ac:dyDescent="0.2">
      <c r="A40" s="8">
        <v>106</v>
      </c>
      <c r="B40" s="12" t="s">
        <v>25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3"/>
    </row>
    <row r="41" spans="1:16" x14ac:dyDescent="0.2">
      <c r="B41" s="12" t="s">
        <v>11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"/>
    </row>
    <row r="42" spans="1:16" x14ac:dyDescent="0.2">
      <c r="C42" s="3" t="s">
        <v>12</v>
      </c>
      <c r="D42" s="14">
        <v>62022822.450000033</v>
      </c>
      <c r="E42" s="14"/>
      <c r="F42" s="14">
        <v>-9804642.7100000009</v>
      </c>
      <c r="G42" s="14"/>
      <c r="H42" s="14">
        <v>0</v>
      </c>
      <c r="I42" s="14"/>
      <c r="J42" s="14">
        <v>0</v>
      </c>
      <c r="K42" s="14"/>
      <c r="L42" s="14">
        <f t="shared" ref="L42:L48" si="2">F42+H42+J42</f>
        <v>-9804642.7100000009</v>
      </c>
      <c r="M42" s="14"/>
      <c r="N42" s="14">
        <f t="shared" ref="N42:N48" si="3">D42+L42</f>
        <v>52218179.740000032</v>
      </c>
      <c r="O42" s="14"/>
      <c r="P42" s="3"/>
    </row>
    <row r="43" spans="1:16" x14ac:dyDescent="0.2">
      <c r="C43" s="3" t="s">
        <v>13</v>
      </c>
      <c r="D43" s="14">
        <v>10696990.269999998</v>
      </c>
      <c r="E43" s="14"/>
      <c r="F43" s="14">
        <v>-7206482.3600000003</v>
      </c>
      <c r="G43" s="14"/>
      <c r="H43" s="14">
        <v>0</v>
      </c>
      <c r="I43" s="14"/>
      <c r="J43" s="14">
        <v>0</v>
      </c>
      <c r="K43" s="14"/>
      <c r="L43" s="14">
        <f t="shared" si="2"/>
        <v>-7206482.3600000003</v>
      </c>
      <c r="M43" s="14"/>
      <c r="N43" s="14">
        <f t="shared" si="3"/>
        <v>3490507.9099999974</v>
      </c>
      <c r="O43" s="14"/>
      <c r="P43" s="3"/>
    </row>
    <row r="44" spans="1:16" x14ac:dyDescent="0.2">
      <c r="C44" s="3" t="s">
        <v>14</v>
      </c>
      <c r="D44" s="14">
        <v>9.8953023552894592E-10</v>
      </c>
      <c r="E44" s="14"/>
      <c r="F44" s="14">
        <v>31713.32</v>
      </c>
      <c r="G44" s="14"/>
      <c r="H44" s="14">
        <v>0</v>
      </c>
      <c r="I44" s="14"/>
      <c r="J44" s="14">
        <v>0</v>
      </c>
      <c r="K44" s="14"/>
      <c r="L44" s="14">
        <f t="shared" si="2"/>
        <v>31713.32</v>
      </c>
      <c r="M44" s="14"/>
      <c r="N44" s="14">
        <f t="shared" si="3"/>
        <v>31713.320000000989</v>
      </c>
      <c r="O44" s="14"/>
      <c r="P44" s="3"/>
    </row>
    <row r="45" spans="1:16" x14ac:dyDescent="0.2">
      <c r="C45" s="3" t="s">
        <v>15</v>
      </c>
      <c r="D45" s="14">
        <v>8287193.8500000006</v>
      </c>
      <c r="E45" s="14"/>
      <c r="F45" s="14">
        <v>16803016.91</v>
      </c>
      <c r="G45" s="14"/>
      <c r="H45" s="14">
        <v>0</v>
      </c>
      <c r="I45" s="14"/>
      <c r="J45" s="14">
        <v>0</v>
      </c>
      <c r="K45" s="14"/>
      <c r="L45" s="14">
        <f t="shared" si="2"/>
        <v>16803016.91</v>
      </c>
      <c r="M45" s="14"/>
      <c r="N45" s="14">
        <f t="shared" si="3"/>
        <v>25090210.760000002</v>
      </c>
      <c r="O45" s="14"/>
      <c r="P45" s="3"/>
    </row>
    <row r="46" spans="1:16" x14ac:dyDescent="0.2">
      <c r="C46" s="3" t="s">
        <v>16</v>
      </c>
      <c r="D46" s="14">
        <v>27073369.97299999</v>
      </c>
      <c r="E46" s="14"/>
      <c r="F46" s="14">
        <v>3614003.58</v>
      </c>
      <c r="G46" s="14"/>
      <c r="H46" s="14">
        <v>0</v>
      </c>
      <c r="I46" s="14"/>
      <c r="J46" s="14">
        <v>0</v>
      </c>
      <c r="K46" s="14"/>
      <c r="L46" s="14">
        <f t="shared" si="2"/>
        <v>3614003.58</v>
      </c>
      <c r="M46" s="14"/>
      <c r="N46" s="14">
        <f t="shared" si="3"/>
        <v>30687373.552999988</v>
      </c>
      <c r="O46" s="14"/>
      <c r="P46" s="3"/>
    </row>
    <row r="47" spans="1:16" x14ac:dyDescent="0.2">
      <c r="C47" s="3" t="s">
        <v>17</v>
      </c>
      <c r="D47" s="14">
        <v>1178439212.05</v>
      </c>
      <c r="E47" s="14"/>
      <c r="F47" s="14">
        <v>-415146554.89999998</v>
      </c>
      <c r="G47" s="14"/>
      <c r="H47" s="14">
        <v>0</v>
      </c>
      <c r="I47" s="14"/>
      <c r="J47" s="14">
        <v>0</v>
      </c>
      <c r="K47" s="14"/>
      <c r="L47" s="14">
        <f t="shared" si="2"/>
        <v>-415146554.89999998</v>
      </c>
      <c r="M47" s="14"/>
      <c r="N47" s="14">
        <f t="shared" si="3"/>
        <v>763292657.14999998</v>
      </c>
      <c r="O47" s="14"/>
      <c r="P47" s="3"/>
    </row>
    <row r="48" spans="1:16" x14ac:dyDescent="0.2">
      <c r="C48" s="3" t="s">
        <v>18</v>
      </c>
      <c r="D48" s="16">
        <v>58906529.730000004</v>
      </c>
      <c r="E48" s="14"/>
      <c r="F48" s="14">
        <v>889799.08</v>
      </c>
      <c r="G48" s="14"/>
      <c r="H48" s="14">
        <v>0</v>
      </c>
      <c r="I48" s="14"/>
      <c r="J48" s="14">
        <v>0</v>
      </c>
      <c r="K48" s="14"/>
      <c r="L48" s="16">
        <f t="shared" si="2"/>
        <v>889799.08</v>
      </c>
      <c r="M48" s="14"/>
      <c r="N48" s="16">
        <f t="shared" si="3"/>
        <v>59796328.810000002</v>
      </c>
      <c r="O48" s="17"/>
      <c r="P48" s="3"/>
    </row>
    <row r="49" spans="1:16" x14ac:dyDescent="0.2">
      <c r="D49" s="14"/>
      <c r="E49" s="14"/>
      <c r="F49" s="18"/>
      <c r="G49" s="14"/>
      <c r="H49" s="18"/>
      <c r="I49" s="14"/>
      <c r="J49" s="18"/>
      <c r="K49" s="14"/>
      <c r="L49" s="14"/>
      <c r="M49" s="14"/>
      <c r="N49" s="14"/>
      <c r="O49" s="14"/>
      <c r="P49" s="3"/>
    </row>
    <row r="50" spans="1:16" x14ac:dyDescent="0.2">
      <c r="C50" s="12" t="s">
        <v>26</v>
      </c>
      <c r="D50" s="16">
        <f>SUM(D42:D48)</f>
        <v>1345426118.323</v>
      </c>
      <c r="E50" s="14"/>
      <c r="F50" s="16">
        <f>SUM(F42:F48)</f>
        <v>-410819147.07999998</v>
      </c>
      <c r="G50" s="14"/>
      <c r="H50" s="16">
        <f>SUM(H42:H48)</f>
        <v>0</v>
      </c>
      <c r="I50" s="14"/>
      <c r="J50" s="16">
        <f>SUM(J42:J48)</f>
        <v>0</v>
      </c>
      <c r="K50" s="14"/>
      <c r="L50" s="16">
        <f>SUM(L42:L48)</f>
        <v>-410819147.07999998</v>
      </c>
      <c r="M50" s="14"/>
      <c r="N50" s="16">
        <f>SUM(N42:N48)</f>
        <v>934606971.24300003</v>
      </c>
      <c r="O50" s="17"/>
      <c r="P50" s="3"/>
    </row>
    <row r="51" spans="1:16" x14ac:dyDescent="0.2">
      <c r="C51" s="12"/>
      <c r="D51" s="17"/>
      <c r="E51" s="14"/>
      <c r="F51" s="17"/>
      <c r="G51" s="14"/>
      <c r="H51" s="17"/>
      <c r="I51" s="14"/>
      <c r="J51" s="17"/>
      <c r="K51" s="14"/>
      <c r="L51" s="17"/>
      <c r="M51" s="14"/>
      <c r="N51" s="17"/>
      <c r="O51" s="17"/>
      <c r="P51" s="3"/>
    </row>
    <row r="52" spans="1:16" x14ac:dyDescent="0.2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"/>
    </row>
    <row r="53" spans="1:16" x14ac:dyDescent="0.2">
      <c r="A53" s="8">
        <v>121</v>
      </c>
      <c r="B53" s="12" t="s">
        <v>27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"/>
    </row>
    <row r="54" spans="1:16" x14ac:dyDescent="0.2">
      <c r="B54" s="12" t="s">
        <v>28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"/>
    </row>
    <row r="55" spans="1:16" x14ac:dyDescent="0.2">
      <c r="C55" s="3" t="s">
        <v>29</v>
      </c>
      <c r="D55" s="16">
        <v>971313.09999999986</v>
      </c>
      <c r="E55" s="14"/>
      <c r="F55" s="105">
        <v>0</v>
      </c>
      <c r="G55" s="14"/>
      <c r="H55" s="105">
        <v>0</v>
      </c>
      <c r="I55" s="14"/>
      <c r="J55" s="105">
        <v>-792599.21</v>
      </c>
      <c r="K55" s="14"/>
      <c r="L55" s="16">
        <f>F55+H55+J55</f>
        <v>-792599.21</v>
      </c>
      <c r="M55" s="14"/>
      <c r="N55" s="16">
        <f>D55+L55</f>
        <v>178713.8899999999</v>
      </c>
      <c r="O55" s="17"/>
      <c r="P55" s="3"/>
    </row>
    <row r="56" spans="1:16" x14ac:dyDescent="0.2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7"/>
      <c r="O56" s="17"/>
      <c r="P56" s="3"/>
    </row>
    <row r="57" spans="1:16" x14ac:dyDescent="0.2">
      <c r="C57" s="12" t="s">
        <v>30</v>
      </c>
      <c r="D57" s="16">
        <f>SUM(D55)</f>
        <v>971313.09999999986</v>
      </c>
      <c r="E57" s="14"/>
      <c r="F57" s="16">
        <f>SUM(F55)</f>
        <v>0</v>
      </c>
      <c r="G57" s="14"/>
      <c r="H57" s="16">
        <f>SUM(H55)</f>
        <v>0</v>
      </c>
      <c r="I57" s="14"/>
      <c r="J57" s="16">
        <f>SUM(J55)</f>
        <v>-792599.21</v>
      </c>
      <c r="K57" s="14"/>
      <c r="L57" s="16">
        <f>SUM(L55)</f>
        <v>-792599.21</v>
      </c>
      <c r="M57" s="14"/>
      <c r="N57" s="16">
        <f>SUM(N55)</f>
        <v>178713.8899999999</v>
      </c>
      <c r="O57" s="17"/>
      <c r="P57" s="3"/>
    </row>
    <row r="58" spans="1:16" x14ac:dyDescent="0.2">
      <c r="C58" s="12"/>
      <c r="D58" s="17"/>
      <c r="E58" s="14"/>
      <c r="F58" s="17"/>
      <c r="G58" s="14"/>
      <c r="H58" s="17"/>
      <c r="I58" s="14"/>
      <c r="J58" s="17"/>
      <c r="K58" s="14"/>
      <c r="L58" s="17"/>
      <c r="M58" s="14"/>
      <c r="N58" s="17"/>
      <c r="O58" s="17"/>
      <c r="P58" s="3"/>
    </row>
    <row r="59" spans="1:16" x14ac:dyDescent="0.2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3"/>
    </row>
    <row r="60" spans="1:16" x14ac:dyDescent="0.2">
      <c r="A60" s="8">
        <v>107</v>
      </c>
      <c r="B60" s="12" t="s">
        <v>31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3"/>
    </row>
    <row r="61" spans="1:16" x14ac:dyDescent="0.2">
      <c r="B61" s="12" t="s">
        <v>11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3"/>
    </row>
    <row r="62" spans="1:16" x14ac:dyDescent="0.2">
      <c r="C62" s="3" t="s">
        <v>11</v>
      </c>
      <c r="D62" s="16">
        <v>180793120.27000007</v>
      </c>
      <c r="E62" s="14"/>
      <c r="F62" s="16">
        <v>140374819.65000001</v>
      </c>
      <c r="G62" s="14"/>
      <c r="H62" s="16">
        <v>0</v>
      </c>
      <c r="I62" s="14"/>
      <c r="J62" s="16">
        <v>0</v>
      </c>
      <c r="K62" s="14"/>
      <c r="L62" s="16">
        <f>F62+H62+J62</f>
        <v>140374819.65000001</v>
      </c>
      <c r="M62" s="14"/>
      <c r="N62" s="16">
        <f>D62+L62</f>
        <v>321167939.92000008</v>
      </c>
      <c r="O62" s="17"/>
      <c r="P62" s="3"/>
    </row>
    <row r="63" spans="1:16" x14ac:dyDescent="0.2">
      <c r="C63" s="20"/>
      <c r="D63" s="17"/>
      <c r="E63" s="14"/>
      <c r="F63" s="17"/>
      <c r="G63" s="14"/>
      <c r="H63" s="17"/>
      <c r="I63" s="14"/>
      <c r="J63" s="17"/>
      <c r="K63" s="14"/>
      <c r="L63" s="17"/>
      <c r="M63" s="14"/>
      <c r="N63" s="17"/>
      <c r="O63" s="17"/>
      <c r="P63" s="3"/>
    </row>
    <row r="64" spans="1:16" x14ac:dyDescent="0.2">
      <c r="C64" s="12" t="s">
        <v>32</v>
      </c>
      <c r="D64" s="16">
        <f>SUM(D62)</f>
        <v>180793120.27000007</v>
      </c>
      <c r="E64" s="14"/>
      <c r="F64" s="16">
        <f>SUM(F62)</f>
        <v>140374819.65000001</v>
      </c>
      <c r="G64" s="14"/>
      <c r="H64" s="16">
        <f>SUM(H62)</f>
        <v>0</v>
      </c>
      <c r="I64" s="14"/>
      <c r="J64" s="16">
        <f>SUM(J62)</f>
        <v>0</v>
      </c>
      <c r="K64" s="14"/>
      <c r="L64" s="16">
        <f>SUM(L62)</f>
        <v>140374819.65000001</v>
      </c>
      <c r="M64" s="14"/>
      <c r="N64" s="16">
        <f>SUM(N62)</f>
        <v>321167939.92000008</v>
      </c>
      <c r="O64" s="17"/>
      <c r="P64" s="3"/>
    </row>
    <row r="65" spans="2:16" x14ac:dyDescent="0.2">
      <c r="C65" s="12"/>
      <c r="D65" s="17"/>
      <c r="E65" s="14"/>
      <c r="F65" s="17"/>
      <c r="G65" s="14"/>
      <c r="H65" s="17"/>
      <c r="I65" s="14"/>
      <c r="J65" s="17"/>
      <c r="K65" s="14"/>
      <c r="L65" s="17"/>
      <c r="M65" s="14"/>
      <c r="N65" s="17"/>
      <c r="O65" s="17"/>
      <c r="P65" s="3"/>
    </row>
    <row r="66" spans="2:16" x14ac:dyDescent="0.2">
      <c r="C66" s="12"/>
      <c r="D66" s="17"/>
      <c r="E66" s="14"/>
      <c r="F66" s="17"/>
      <c r="G66" s="14"/>
      <c r="H66" s="17"/>
      <c r="I66" s="14"/>
      <c r="J66" s="17"/>
      <c r="K66" s="14"/>
      <c r="L66" s="17"/>
      <c r="M66" s="14"/>
      <c r="N66" s="17"/>
      <c r="O66" s="17"/>
      <c r="P66" s="3"/>
    </row>
    <row r="67" spans="2:16" x14ac:dyDescent="0.2">
      <c r="D67" s="14"/>
      <c r="E67" s="14"/>
      <c r="F67" s="14"/>
      <c r="G67" s="14"/>
      <c r="H67" s="14"/>
      <c r="I67" s="14"/>
      <c r="J67" s="17"/>
      <c r="K67" s="14"/>
      <c r="L67" s="14"/>
      <c r="M67" s="14"/>
      <c r="N67" s="14"/>
      <c r="O67" s="14"/>
      <c r="P67" s="3"/>
    </row>
    <row r="68" spans="2:16" ht="13.5" thickBot="1" x14ac:dyDescent="0.25">
      <c r="B68" s="12" t="s">
        <v>33</v>
      </c>
      <c r="D68" s="21">
        <f>D57+D37+D19+D50+D27</f>
        <v>9086726118.7630005</v>
      </c>
      <c r="E68" s="14"/>
      <c r="F68" s="21">
        <f>F57+F37+F19+F50+F27</f>
        <v>305613857.19999999</v>
      </c>
      <c r="G68" s="14"/>
      <c r="H68" s="21">
        <f>H57+H37+H19+H50+H27</f>
        <v>-69007662.600000009</v>
      </c>
      <c r="I68" s="14"/>
      <c r="J68" s="21">
        <f>J57+J37+J19+J50+J27</f>
        <v>-45969706.049999997</v>
      </c>
      <c r="K68" s="14"/>
      <c r="L68" s="21">
        <f>L57+L37+L19+L50+L27</f>
        <v>190636488.55000001</v>
      </c>
      <c r="M68" s="14"/>
      <c r="N68" s="21">
        <f>N57+N37+N19+N50+N27</f>
        <v>9277362607.3129997</v>
      </c>
      <c r="O68" s="17"/>
      <c r="P68" s="3"/>
    </row>
    <row r="69" spans="2:16" ht="13.5" thickTop="1" x14ac:dyDescent="0.2">
      <c r="B69" s="1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3"/>
    </row>
    <row r="70" spans="2:16" x14ac:dyDescent="0.2">
      <c r="B70" s="12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3"/>
    </row>
    <row r="71" spans="2:16" ht="13.5" thickBot="1" x14ac:dyDescent="0.25">
      <c r="B71" s="12" t="s">
        <v>34</v>
      </c>
      <c r="D71" s="21">
        <f>D64+D68</f>
        <v>9267519239.0330009</v>
      </c>
      <c r="E71" s="14"/>
      <c r="F71" s="21">
        <f>F64+F68</f>
        <v>445988676.85000002</v>
      </c>
      <c r="G71" s="14"/>
      <c r="H71" s="21">
        <f>H64+H68</f>
        <v>-69007662.600000009</v>
      </c>
      <c r="I71" s="14"/>
      <c r="J71" s="21">
        <f>J64+J68</f>
        <v>-45969706.049999997</v>
      </c>
      <c r="K71" s="14"/>
      <c r="L71" s="21">
        <f>L64+L68</f>
        <v>331011308.20000005</v>
      </c>
      <c r="M71" s="14"/>
      <c r="N71" s="21">
        <f>N64+N68</f>
        <v>9598530547.2329998</v>
      </c>
      <c r="O71" s="17"/>
      <c r="P71" s="3"/>
    </row>
    <row r="72" spans="2:16" ht="13.5" thickTop="1" x14ac:dyDescent="0.2">
      <c r="B72" s="12"/>
      <c r="D72" s="17"/>
      <c r="E72" s="14"/>
      <c r="F72" s="17"/>
      <c r="G72" s="14"/>
      <c r="H72" s="17"/>
      <c r="I72" s="14"/>
      <c r="J72" s="17"/>
      <c r="K72" s="14"/>
      <c r="L72" s="17"/>
      <c r="M72" s="14"/>
      <c r="N72" s="17"/>
      <c r="O72" s="17"/>
      <c r="P72" s="3"/>
    </row>
    <row r="73" spans="2:16" x14ac:dyDescent="0.2">
      <c r="B73" s="12"/>
      <c r="D73" s="17"/>
      <c r="E73" s="14"/>
      <c r="F73" s="17"/>
      <c r="G73" s="14"/>
      <c r="H73" s="17"/>
      <c r="I73" s="14"/>
      <c r="J73" s="17"/>
      <c r="K73" s="14"/>
      <c r="L73" s="17"/>
      <c r="M73" s="14"/>
      <c r="N73" s="17"/>
      <c r="O73" s="17"/>
      <c r="P73" s="3"/>
    </row>
    <row r="74" spans="2:16" ht="13.5" thickBot="1" x14ac:dyDescent="0.25">
      <c r="B74" s="12" t="s">
        <v>35</v>
      </c>
      <c r="D74" s="21">
        <f>D71-D57</f>
        <v>9266547925.9330006</v>
      </c>
      <c r="E74" s="14"/>
      <c r="F74" s="21">
        <f>F71-F57</f>
        <v>445988676.85000002</v>
      </c>
      <c r="G74" s="14"/>
      <c r="H74" s="21">
        <f>H71-H57</f>
        <v>-69007662.600000009</v>
      </c>
      <c r="I74" s="14"/>
      <c r="J74" s="21">
        <f>J71-J57</f>
        <v>-45177106.839999996</v>
      </c>
      <c r="K74" s="14"/>
      <c r="L74" s="21">
        <f>L71-L57</f>
        <v>331803907.41000003</v>
      </c>
      <c r="M74" s="14"/>
      <c r="N74" s="21">
        <f>N71-N57</f>
        <v>9598351833.3430004</v>
      </c>
      <c r="O74" s="17"/>
      <c r="P74" s="3"/>
    </row>
    <row r="75" spans="2:16" ht="13.5" thickTop="1" x14ac:dyDescent="0.2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3"/>
    </row>
    <row r="76" spans="2:16" x14ac:dyDescent="0.2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"/>
    </row>
    <row r="77" spans="2:16" x14ac:dyDescent="0.2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3"/>
    </row>
    <row r="78" spans="2:16" x14ac:dyDescent="0.2">
      <c r="C78" s="22"/>
      <c r="D78" s="23"/>
      <c r="E78" s="13"/>
      <c r="F78" s="13"/>
      <c r="G78" s="13"/>
      <c r="H78" s="13"/>
      <c r="I78" s="13"/>
      <c r="J78" s="13"/>
      <c r="K78" s="13"/>
      <c r="L78" s="13"/>
      <c r="M78" s="13"/>
      <c r="N78" s="106" t="s">
        <v>36</v>
      </c>
      <c r="O78" s="106"/>
      <c r="P78" s="3"/>
    </row>
    <row r="79" spans="2:16" x14ac:dyDescent="0.2">
      <c r="C79" s="24"/>
      <c r="D79" s="2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3"/>
    </row>
    <row r="80" spans="2:16" x14ac:dyDescent="0.2">
      <c r="C80" s="22"/>
      <c r="D80" s="2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3"/>
    </row>
    <row r="81" spans="3:16" x14ac:dyDescent="0.2">
      <c r="C81" s="24"/>
      <c r="D81" s="2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3"/>
    </row>
    <row r="82" spans="3:16" x14ac:dyDescent="0.2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"/>
    </row>
    <row r="83" spans="3:16" x14ac:dyDescent="0.2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"/>
    </row>
    <row r="84" spans="3:16" x14ac:dyDescent="0.2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3"/>
    </row>
    <row r="85" spans="3:16" x14ac:dyDescent="0.2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3"/>
    </row>
    <row r="86" spans="3:16" x14ac:dyDescent="0.2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3"/>
    </row>
    <row r="87" spans="3:16" x14ac:dyDescent="0.2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3"/>
    </row>
  </sheetData>
  <mergeCells count="3">
    <mergeCell ref="A1:N1"/>
    <mergeCell ref="A2:N2"/>
    <mergeCell ref="A3:N3"/>
  </mergeCells>
  <printOptions horizontalCentered="1"/>
  <pageMargins left="0.75" right="0.75" top="1" bottom="1" header="0.5" footer="0.5"/>
  <pageSetup scale="67" fitToHeight="2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1"/>
  <sheetViews>
    <sheetView zoomScale="80" zoomScaleNormal="80" workbookViewId="0">
      <selection sqref="A1:N1"/>
    </sheetView>
  </sheetViews>
  <sheetFormatPr defaultRowHeight="12.75" x14ac:dyDescent="0.2"/>
  <cols>
    <col min="1" max="1" width="9.140625" style="3"/>
    <col min="2" max="2" width="32.42578125" style="3" customWidth="1"/>
    <col min="3" max="3" width="17.7109375" style="19" customWidth="1"/>
    <col min="4" max="4" width="1.7109375" style="3" customWidth="1"/>
    <col min="5" max="5" width="17.7109375" style="19" customWidth="1"/>
    <col min="6" max="6" width="1.7109375" style="3" customWidth="1"/>
    <col min="7" max="7" width="17.7109375" style="19" customWidth="1"/>
    <col min="8" max="8" width="1.7109375" style="3" customWidth="1"/>
    <col min="9" max="9" width="17.7109375" style="19" customWidth="1"/>
    <col min="10" max="10" width="1.7109375" style="3" customWidth="1"/>
    <col min="11" max="11" width="17.7109375" style="19" customWidth="1"/>
    <col min="12" max="12" width="1.7109375" style="3" customWidth="1"/>
    <col min="13" max="13" width="17.7109375" style="19" customWidth="1"/>
    <col min="14" max="14" width="1.7109375" style="3" customWidth="1"/>
    <col min="15" max="15" width="17.7109375" style="19" customWidth="1"/>
    <col min="16" max="16" width="1.7109375" style="3" customWidth="1"/>
    <col min="17" max="17" width="18.140625" style="19" customWidth="1"/>
    <col min="18" max="18" width="1.7109375" style="3" customWidth="1"/>
    <col min="19" max="19" width="17.7109375" style="19" customWidth="1"/>
    <col min="20" max="20" width="2.85546875" style="3" customWidth="1"/>
    <col min="21" max="21" width="16.7109375" style="3" customWidth="1"/>
    <col min="22" max="22" width="3" style="3" customWidth="1"/>
    <col min="23" max="23" width="16.7109375" style="3" bestFit="1" customWidth="1"/>
    <col min="24" max="24" width="14.5703125" style="3" bestFit="1" customWidth="1"/>
    <col min="25" max="16384" width="9.140625" style="3"/>
  </cols>
  <sheetData>
    <row r="1" spans="1:24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4" x14ac:dyDescent="0.2">
      <c r="A2" s="95" t="s">
        <v>3609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4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24" x14ac:dyDescent="0.2">
      <c r="A4" s="4"/>
      <c r="B4" s="4"/>
      <c r="C4" s="25"/>
      <c r="D4" s="4"/>
      <c r="E4" s="25"/>
      <c r="F4" s="4"/>
      <c r="G4" s="25"/>
      <c r="H4" s="4"/>
      <c r="I4" s="25"/>
      <c r="J4" s="4"/>
      <c r="K4" s="25"/>
      <c r="L4" s="4"/>
      <c r="M4" s="25"/>
      <c r="N4" s="4"/>
      <c r="O4" s="25"/>
      <c r="P4" s="4"/>
      <c r="Q4" s="25"/>
      <c r="R4" s="4"/>
      <c r="S4" s="25"/>
    </row>
    <row r="5" spans="1:24" x14ac:dyDescent="0.2">
      <c r="A5" s="4"/>
      <c r="B5" s="4"/>
      <c r="C5" s="25"/>
      <c r="D5" s="4"/>
      <c r="E5" s="25"/>
      <c r="F5" s="4"/>
      <c r="G5" s="25"/>
      <c r="H5" s="4"/>
      <c r="I5" s="25"/>
      <c r="J5" s="4"/>
      <c r="K5" s="25"/>
      <c r="L5" s="4"/>
      <c r="M5" s="25"/>
      <c r="N5" s="4"/>
      <c r="O5" s="25"/>
      <c r="P5" s="4"/>
      <c r="Q5" s="25"/>
      <c r="R5" s="4"/>
      <c r="S5" s="25"/>
    </row>
    <row r="6" spans="1:24" x14ac:dyDescent="0.2">
      <c r="A6" s="4"/>
      <c r="B6" s="4"/>
      <c r="C6" s="25"/>
      <c r="D6" s="4"/>
      <c r="E6" s="25"/>
      <c r="F6" s="4"/>
      <c r="G6" s="25" t="s">
        <v>3610</v>
      </c>
      <c r="H6" s="4"/>
      <c r="I6" s="25" t="s">
        <v>3610</v>
      </c>
      <c r="J6" s="4"/>
      <c r="K6" s="25" t="s">
        <v>3610</v>
      </c>
      <c r="L6" s="4"/>
      <c r="M6" s="25" t="s">
        <v>3610</v>
      </c>
      <c r="N6" s="4"/>
      <c r="O6" s="25" t="s">
        <v>3610</v>
      </c>
      <c r="P6" s="4"/>
      <c r="Q6" s="25" t="s">
        <v>3610</v>
      </c>
      <c r="R6" s="4"/>
      <c r="S6" s="25"/>
      <c r="T6" s="4"/>
      <c r="U6" s="25"/>
    </row>
    <row r="7" spans="1:24" x14ac:dyDescent="0.2">
      <c r="C7" s="25" t="s">
        <v>3610</v>
      </c>
      <c r="D7" s="2"/>
      <c r="E7" s="25" t="s">
        <v>3610</v>
      </c>
      <c r="F7" s="2"/>
      <c r="G7" s="11" t="s">
        <v>3611</v>
      </c>
      <c r="H7" s="2"/>
      <c r="I7" s="25" t="s">
        <v>3612</v>
      </c>
      <c r="J7" s="2"/>
      <c r="K7" s="25" t="s">
        <v>3613</v>
      </c>
      <c r="L7" s="2"/>
      <c r="M7" s="25" t="s">
        <v>3614</v>
      </c>
      <c r="N7" s="2"/>
      <c r="O7" s="25" t="s">
        <v>3615</v>
      </c>
      <c r="P7" s="2"/>
      <c r="Q7" s="25" t="s">
        <v>3616</v>
      </c>
      <c r="R7" s="2"/>
      <c r="S7" s="25"/>
      <c r="T7" s="2"/>
      <c r="U7" s="25"/>
    </row>
    <row r="8" spans="1:24" x14ac:dyDescent="0.2">
      <c r="A8" s="12"/>
      <c r="C8" s="10" t="s">
        <v>39</v>
      </c>
      <c r="D8" s="2"/>
      <c r="E8" s="10" t="s">
        <v>3617</v>
      </c>
      <c r="F8" s="2"/>
      <c r="G8" s="10" t="s">
        <v>3618</v>
      </c>
      <c r="H8" s="2"/>
      <c r="I8" s="10" t="s">
        <v>3619</v>
      </c>
      <c r="J8" s="2"/>
      <c r="K8" s="10" t="s">
        <v>3619</v>
      </c>
      <c r="L8" s="2"/>
      <c r="M8" s="10" t="s">
        <v>3620</v>
      </c>
      <c r="N8" s="2"/>
      <c r="O8" s="10" t="s">
        <v>3621</v>
      </c>
      <c r="P8" s="2"/>
      <c r="Q8" s="10" t="s">
        <v>3622</v>
      </c>
      <c r="R8" s="2"/>
      <c r="S8" s="10" t="s">
        <v>3623</v>
      </c>
      <c r="T8" s="2"/>
      <c r="U8" s="10" t="s">
        <v>3624</v>
      </c>
    </row>
    <row r="9" spans="1:24" x14ac:dyDescent="0.2">
      <c r="A9" s="12"/>
      <c r="C9" s="25"/>
      <c r="D9" s="2"/>
      <c r="E9" s="25"/>
      <c r="F9" s="2"/>
      <c r="G9" s="2"/>
      <c r="H9" s="2"/>
      <c r="I9" s="25"/>
      <c r="J9" s="2"/>
      <c r="K9" s="25"/>
      <c r="L9" s="2"/>
      <c r="M9" s="25"/>
      <c r="N9" s="2"/>
      <c r="O9" s="25"/>
      <c r="P9" s="2"/>
      <c r="Q9" s="25"/>
      <c r="R9" s="2"/>
      <c r="S9" s="25"/>
      <c r="T9" s="2"/>
      <c r="U9" s="25"/>
    </row>
    <row r="10" spans="1:24" x14ac:dyDescent="0.2">
      <c r="A10" s="12" t="s">
        <v>3625</v>
      </c>
      <c r="C10" s="25"/>
      <c r="D10" s="2"/>
      <c r="E10" s="25"/>
      <c r="F10" s="2"/>
      <c r="G10" s="2"/>
      <c r="H10" s="2"/>
      <c r="I10" s="25"/>
      <c r="J10" s="2"/>
      <c r="K10" s="25"/>
      <c r="L10" s="2"/>
      <c r="M10" s="25"/>
      <c r="N10" s="2"/>
      <c r="O10" s="25"/>
      <c r="P10" s="2"/>
      <c r="Q10" s="25"/>
      <c r="R10" s="2"/>
      <c r="S10" s="25"/>
      <c r="T10" s="2"/>
      <c r="U10" s="25"/>
    </row>
    <row r="11" spans="1:24" x14ac:dyDescent="0.2">
      <c r="B11" s="3" t="s">
        <v>12</v>
      </c>
      <c r="C11" s="19">
        <f>'KU_Summary - Reserve - P2 (REG)'!E10+'KU_Summary - Reserve - P2 (REG)'!E25+'KU_Summary - Reserve - P2 (REG)'!E35</f>
        <v>-44926213.840000004</v>
      </c>
      <c r="D11" s="19"/>
      <c r="E11" s="19">
        <v>0</v>
      </c>
      <c r="F11" s="19"/>
      <c r="G11" s="19">
        <v>0</v>
      </c>
      <c r="H11" s="19"/>
      <c r="I11" s="19">
        <v>0</v>
      </c>
      <c r="J11" s="19"/>
      <c r="K11" s="19">
        <v>0</v>
      </c>
      <c r="L11" s="19"/>
      <c r="M11" s="19">
        <v>0</v>
      </c>
      <c r="N11" s="19"/>
      <c r="O11" s="19">
        <v>0</v>
      </c>
      <c r="P11" s="19"/>
      <c r="Q11" s="19">
        <v>0</v>
      </c>
      <c r="R11" s="19"/>
      <c r="S11" s="19">
        <v>0</v>
      </c>
      <c r="T11" s="19"/>
      <c r="U11" s="19">
        <f>C11-E11+I11+K11+M11+O11+Q11+S11+G11</f>
        <v>-44926213.840000004</v>
      </c>
      <c r="V11" s="19"/>
      <c r="W11" s="15">
        <f>U11</f>
        <v>-44926213.840000004</v>
      </c>
    </row>
    <row r="12" spans="1:24" x14ac:dyDescent="0.2">
      <c r="B12" s="3" t="s">
        <v>46</v>
      </c>
      <c r="C12" s="19">
        <f>'KU_Summary - Reserve - P2 (REG)'!E11</f>
        <v>-2559.9499999999998</v>
      </c>
      <c r="D12" s="19"/>
      <c r="E12" s="19">
        <v>0</v>
      </c>
      <c r="F12" s="19"/>
      <c r="G12" s="19">
        <f>-C12</f>
        <v>2559.9499999999998</v>
      </c>
      <c r="H12" s="19"/>
      <c r="I12" s="19">
        <v>0</v>
      </c>
      <c r="J12" s="19"/>
      <c r="K12" s="19">
        <v>0</v>
      </c>
      <c r="L12" s="19"/>
      <c r="M12" s="19">
        <v>0</v>
      </c>
      <c r="N12" s="19"/>
      <c r="O12" s="19">
        <v>0</v>
      </c>
      <c r="P12" s="19"/>
      <c r="Q12" s="19">
        <v>0</v>
      </c>
      <c r="R12" s="19"/>
      <c r="S12" s="19">
        <v>0</v>
      </c>
      <c r="T12" s="19"/>
      <c r="U12" s="19">
        <f t="shared" ref="U12:U21" si="0">C12-E12+I12+K12+M12+O12+Q12+S12+G12</f>
        <v>0</v>
      </c>
      <c r="V12" s="19"/>
      <c r="X12" s="15">
        <f>U12</f>
        <v>0</v>
      </c>
    </row>
    <row r="13" spans="1:24" x14ac:dyDescent="0.2">
      <c r="B13" s="3" t="s">
        <v>13</v>
      </c>
      <c r="C13" s="19">
        <f>'KU_Summary - Reserve - P2 (REG)'!E12+'KU_Summary - Reserve - P2 (REG)'!E26+'KU_Summary - Reserve - P2 (REG)'!E36</f>
        <v>-11625717.140000001</v>
      </c>
      <c r="D13" s="19"/>
      <c r="E13" s="19">
        <v>0</v>
      </c>
      <c r="F13" s="19"/>
      <c r="G13" s="19">
        <v>0</v>
      </c>
      <c r="H13" s="19"/>
      <c r="I13" s="19">
        <v>0</v>
      </c>
      <c r="J13" s="19"/>
      <c r="K13" s="19">
        <v>0</v>
      </c>
      <c r="L13" s="19"/>
      <c r="M13" s="19">
        <v>0</v>
      </c>
      <c r="N13" s="19"/>
      <c r="O13" s="35">
        <f>75832.36+28903.23+28660.55+28208.37+28208.41+28272.53+28625.08+28995.69+29015.39+29746.6+30540.64+30540.6</f>
        <v>395549.44999999995</v>
      </c>
      <c r="P13" s="19"/>
      <c r="Q13" s="19">
        <v>0</v>
      </c>
      <c r="R13" s="19"/>
      <c r="S13" s="19">
        <v>0</v>
      </c>
      <c r="T13" s="19"/>
      <c r="U13" s="19">
        <f t="shared" si="0"/>
        <v>-11230167.690000001</v>
      </c>
      <c r="V13" s="19"/>
      <c r="W13" s="15">
        <f>U13</f>
        <v>-11230167.690000001</v>
      </c>
    </row>
    <row r="14" spans="1:24" x14ac:dyDescent="0.2">
      <c r="B14" s="3" t="s">
        <v>14</v>
      </c>
      <c r="C14" s="19">
        <f>'KU_Summary - Reserve - P2 (REG)'!E13+'KU_Summary - Reserve - P2 (REG)'!E27+'KU_Summary - Reserve - P2 (REG)'!E37</f>
        <v>-1218295.5100000002</v>
      </c>
      <c r="D14" s="19"/>
      <c r="E14" s="19">
        <v>0</v>
      </c>
      <c r="F14" s="19"/>
      <c r="G14" s="19">
        <v>0</v>
      </c>
      <c r="H14" s="19"/>
      <c r="I14" s="19">
        <v>0</v>
      </c>
      <c r="J14" s="19"/>
      <c r="K14" s="19">
        <v>0</v>
      </c>
      <c r="L14" s="19"/>
      <c r="M14" s="19">
        <v>0</v>
      </c>
      <c r="N14" s="19"/>
      <c r="O14" s="19">
        <v>0</v>
      </c>
      <c r="P14" s="19"/>
      <c r="Q14" s="19">
        <v>0</v>
      </c>
      <c r="R14" s="19"/>
      <c r="S14" s="19">
        <v>0</v>
      </c>
      <c r="T14" s="19"/>
      <c r="U14" s="19">
        <f t="shared" si="0"/>
        <v>-1218295.5100000002</v>
      </c>
      <c r="V14" s="19"/>
      <c r="W14" s="15">
        <f>U14</f>
        <v>-1218295.5100000002</v>
      </c>
    </row>
    <row r="15" spans="1:24" x14ac:dyDescent="0.2">
      <c r="B15" s="3" t="s">
        <v>47</v>
      </c>
      <c r="C15" s="19">
        <f>'KU_Summary - Reserve - P2 (REG)'!E14</f>
        <v>-17888.16</v>
      </c>
      <c r="D15" s="19"/>
      <c r="E15" s="19">
        <v>0</v>
      </c>
      <c r="F15" s="19"/>
      <c r="G15" s="19">
        <f>-C15</f>
        <v>17888.16</v>
      </c>
      <c r="H15" s="19"/>
      <c r="I15" s="19">
        <v>0</v>
      </c>
      <c r="J15" s="19"/>
      <c r="K15" s="19">
        <v>0</v>
      </c>
      <c r="L15" s="19"/>
      <c r="M15" s="19">
        <v>0</v>
      </c>
      <c r="N15" s="19"/>
      <c r="O15" s="19">
        <v>0</v>
      </c>
      <c r="P15" s="19"/>
      <c r="Q15" s="19">
        <v>0</v>
      </c>
      <c r="R15" s="19"/>
      <c r="S15" s="19">
        <v>0</v>
      </c>
      <c r="T15" s="19"/>
      <c r="U15" s="19">
        <f t="shared" si="0"/>
        <v>0</v>
      </c>
      <c r="V15" s="19"/>
      <c r="X15" s="15">
        <f>U15</f>
        <v>0</v>
      </c>
    </row>
    <row r="16" spans="1:24" x14ac:dyDescent="0.2">
      <c r="B16" s="3" t="s">
        <v>16</v>
      </c>
      <c r="C16" s="19">
        <f>'KU_Summary - Reserve - P2 (REG)'!E15+'KU_Summary - Reserve - P2 (REG)'!E28+'KU_Summary - Reserve - P2 (REG)'!E38</f>
        <v>-37957281.129999995</v>
      </c>
      <c r="D16" s="19"/>
      <c r="E16" s="19">
        <v>0</v>
      </c>
      <c r="F16" s="19"/>
      <c r="G16" s="19">
        <v>0</v>
      </c>
      <c r="H16" s="19"/>
      <c r="I16" s="19">
        <v>0</v>
      </c>
      <c r="J16" s="19"/>
      <c r="K16" s="19">
        <v>0</v>
      </c>
      <c r="L16" s="19"/>
      <c r="M16" s="35">
        <f>85915.12+180093.77-86415.29+101442.1+101433.85+101434.42+102435.06+115991.13+116104.67+116155.23+116165.94+116170.69+116170.69</f>
        <v>1283097.3799999999</v>
      </c>
      <c r="N16" s="19"/>
      <c r="O16" s="19">
        <v>0</v>
      </c>
      <c r="P16" s="19"/>
      <c r="Q16" s="19">
        <v>0</v>
      </c>
      <c r="R16" s="19"/>
      <c r="S16" s="19">
        <v>0</v>
      </c>
      <c r="T16" s="19"/>
      <c r="U16" s="19">
        <f t="shared" si="0"/>
        <v>-36674183.749999993</v>
      </c>
      <c r="V16" s="19"/>
      <c r="W16" s="15">
        <f>U16</f>
        <v>-36674183.749999993</v>
      </c>
    </row>
    <row r="17" spans="1:24" x14ac:dyDescent="0.2">
      <c r="B17" s="3" t="s">
        <v>48</v>
      </c>
      <c r="C17" s="19">
        <f>'KU_Summary - Reserve - P2 (REG)'!E16</f>
        <v>-20404.599999999999</v>
      </c>
      <c r="D17" s="19"/>
      <c r="E17" s="19">
        <v>0</v>
      </c>
      <c r="F17" s="19"/>
      <c r="G17" s="19">
        <f>-C17</f>
        <v>20404.599999999999</v>
      </c>
      <c r="H17" s="19"/>
      <c r="I17" s="19">
        <v>0</v>
      </c>
      <c r="J17" s="19"/>
      <c r="K17" s="19">
        <v>0</v>
      </c>
      <c r="L17" s="19"/>
      <c r="M17" s="19">
        <v>0</v>
      </c>
      <c r="N17" s="19"/>
      <c r="O17" s="19">
        <v>0</v>
      </c>
      <c r="P17" s="19"/>
      <c r="Q17" s="19">
        <v>0</v>
      </c>
      <c r="R17" s="19"/>
      <c r="S17" s="19">
        <v>0</v>
      </c>
      <c r="T17" s="19"/>
      <c r="U17" s="19">
        <f t="shared" si="0"/>
        <v>0</v>
      </c>
      <c r="V17" s="19"/>
      <c r="X17" s="15">
        <f>U17</f>
        <v>0</v>
      </c>
    </row>
    <row r="18" spans="1:24" x14ac:dyDescent="0.2">
      <c r="B18" s="3" t="s">
        <v>17</v>
      </c>
      <c r="C18" s="19">
        <f>'KU_Summary - Reserve - P2 (REG)'!E17+'KU_Summary - Reserve - P2 (REG)'!E29+'KU_Summary - Reserve - P2 (REG)'!E39</f>
        <v>-125901683.71000001</v>
      </c>
      <c r="D18" s="19"/>
      <c r="E18" s="19">
        <v>0</v>
      </c>
      <c r="F18" s="19"/>
      <c r="G18" s="19">
        <v>0</v>
      </c>
      <c r="H18" s="19"/>
      <c r="I18" s="19">
        <v>0</v>
      </c>
      <c r="J18" s="19"/>
      <c r="K18" s="19">
        <v>0</v>
      </c>
      <c r="L18" s="19"/>
      <c r="M18" s="19">
        <v>0</v>
      </c>
      <c r="N18" s="19"/>
      <c r="O18" s="19">
        <v>0</v>
      </c>
      <c r="P18" s="19"/>
      <c r="Q18" s="19">
        <v>0</v>
      </c>
      <c r="R18" s="19"/>
      <c r="S18" s="19">
        <v>0</v>
      </c>
      <c r="T18" s="19"/>
      <c r="U18" s="19">
        <f t="shared" si="0"/>
        <v>-125901683.71000001</v>
      </c>
      <c r="V18" s="19"/>
      <c r="W18" s="15">
        <f>U18</f>
        <v>-125901683.71000001</v>
      </c>
    </row>
    <row r="19" spans="1:24" x14ac:dyDescent="0.2">
      <c r="B19" s="3" t="s">
        <v>49</v>
      </c>
      <c r="C19" s="19">
        <f>'KU_Summary - Reserve - P2 (REG)'!E18</f>
        <v>-20831566.579999998</v>
      </c>
      <c r="D19" s="19"/>
      <c r="E19" s="19">
        <v>0</v>
      </c>
      <c r="F19" s="19"/>
      <c r="G19" s="19">
        <f>-C19</f>
        <v>20831566.579999998</v>
      </c>
      <c r="H19" s="19"/>
      <c r="I19" s="19">
        <v>0</v>
      </c>
      <c r="J19" s="19"/>
      <c r="K19" s="19">
        <v>0</v>
      </c>
      <c r="L19" s="19"/>
      <c r="M19" s="19">
        <v>0</v>
      </c>
      <c r="N19" s="19"/>
      <c r="O19" s="19">
        <v>0</v>
      </c>
      <c r="P19" s="19"/>
      <c r="Q19" s="19">
        <v>0</v>
      </c>
      <c r="R19" s="19"/>
      <c r="S19" s="19">
        <v>0</v>
      </c>
      <c r="T19" s="19"/>
      <c r="U19" s="19">
        <f t="shared" si="0"/>
        <v>0</v>
      </c>
      <c r="V19" s="19"/>
      <c r="X19" s="15">
        <f>U19</f>
        <v>0</v>
      </c>
    </row>
    <row r="20" spans="1:24" x14ac:dyDescent="0.2">
      <c r="B20" s="3" t="s">
        <v>18</v>
      </c>
      <c r="C20" s="19">
        <f>'KU_Summary - Reserve - P2 (REG)'!E19+'KU_Summary - Reserve - P2 (REG)'!E30+'KU_Summary - Reserve - P2 (REG)'!E40</f>
        <v>-18580790.619999997</v>
      </c>
      <c r="D20" s="19"/>
      <c r="E20" s="19">
        <v>0</v>
      </c>
      <c r="F20" s="19"/>
      <c r="G20" s="19">
        <v>0</v>
      </c>
      <c r="H20" s="19"/>
      <c r="I20" s="19">
        <v>0</v>
      </c>
      <c r="J20" s="19"/>
      <c r="K20" s="19">
        <v>0</v>
      </c>
      <c r="L20" s="19"/>
      <c r="M20" s="19">
        <v>0</v>
      </c>
      <c r="N20" s="19"/>
      <c r="O20" s="19">
        <v>0</v>
      </c>
      <c r="P20" s="19"/>
      <c r="Q20" s="19">
        <v>0</v>
      </c>
      <c r="R20" s="19"/>
      <c r="S20" s="19">
        <v>0</v>
      </c>
      <c r="T20" s="19"/>
      <c r="U20" s="19">
        <f t="shared" si="0"/>
        <v>-18580790.619999997</v>
      </c>
      <c r="V20" s="19"/>
      <c r="W20" s="15">
        <f>U20</f>
        <v>-18580790.619999997</v>
      </c>
    </row>
    <row r="21" spans="1:24" x14ac:dyDescent="0.2">
      <c r="B21" s="3" t="s">
        <v>50</v>
      </c>
      <c r="C21" s="27">
        <f>'KU_Summary - Reserve - P2 (REG)'!E20</f>
        <v>-19263.57</v>
      </c>
      <c r="D21" s="19"/>
      <c r="E21" s="27">
        <f>-1054478.91+1054478.91</f>
        <v>0</v>
      </c>
      <c r="F21" s="19"/>
      <c r="G21" s="19">
        <f>-C21</f>
        <v>19263.57</v>
      </c>
      <c r="H21" s="19"/>
      <c r="I21" s="27">
        <v>0</v>
      </c>
      <c r="J21" s="19"/>
      <c r="K21" s="27">
        <v>0</v>
      </c>
      <c r="L21" s="19"/>
      <c r="M21" s="27">
        <v>0</v>
      </c>
      <c r="N21" s="19"/>
      <c r="O21" s="27">
        <v>0</v>
      </c>
      <c r="P21" s="19"/>
      <c r="Q21" s="27">
        <v>0</v>
      </c>
      <c r="R21" s="19"/>
      <c r="S21" s="27">
        <v>0</v>
      </c>
      <c r="T21" s="19"/>
      <c r="U21" s="19">
        <f t="shared" si="0"/>
        <v>0</v>
      </c>
      <c r="V21" s="19"/>
      <c r="X21" s="15">
        <f>U21</f>
        <v>0</v>
      </c>
    </row>
    <row r="22" spans="1:24" x14ac:dyDescent="0.2">
      <c r="B22" s="20"/>
      <c r="C22" s="26">
        <f>SUM(C11:C21)</f>
        <v>-261101664.81</v>
      </c>
      <c r="D22" s="26"/>
      <c r="E22" s="26">
        <f>SUM(E11:E21)</f>
        <v>0</v>
      </c>
      <c r="F22" s="26"/>
      <c r="G22" s="32">
        <f>SUM(G11:G21)</f>
        <v>20891682.859999999</v>
      </c>
      <c r="H22" s="26"/>
      <c r="I22" s="26">
        <f>SUM(I11:I21)</f>
        <v>0</v>
      </c>
      <c r="J22" s="26"/>
      <c r="K22" s="26">
        <f>SUM(K11:K21)</f>
        <v>0</v>
      </c>
      <c r="L22" s="26"/>
      <c r="M22" s="26">
        <f>SUM(M11:M21)</f>
        <v>1283097.3799999999</v>
      </c>
      <c r="N22" s="26"/>
      <c r="O22" s="26">
        <f>SUM(O11:O21)</f>
        <v>395549.44999999995</v>
      </c>
      <c r="P22" s="26"/>
      <c r="Q22" s="26">
        <f>SUM(Q11:Q21)</f>
        <v>0</v>
      </c>
      <c r="R22" s="26"/>
      <c r="S22" s="26">
        <f>SUM(S11:S21)</f>
        <v>0</v>
      </c>
      <c r="T22" s="26"/>
      <c r="U22" s="32">
        <f>SUM(U11:U21)</f>
        <v>-238531335.12</v>
      </c>
      <c r="V22" s="26"/>
      <c r="W22" s="26">
        <f>SUM(W11:W21)</f>
        <v>-238531335.12</v>
      </c>
      <c r="X22" s="26">
        <f>SUM(X11:X21)</f>
        <v>0</v>
      </c>
    </row>
    <row r="23" spans="1:24" x14ac:dyDescent="0.2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59"/>
      <c r="W23" s="59"/>
    </row>
    <row r="24" spans="1:24" x14ac:dyDescent="0.2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59"/>
    </row>
    <row r="25" spans="1:24" x14ac:dyDescent="0.2">
      <c r="A25" s="12" t="s">
        <v>56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59"/>
    </row>
    <row r="26" spans="1:24" x14ac:dyDescent="0.2">
      <c r="B26" s="3" t="s">
        <v>3626</v>
      </c>
      <c r="C26" s="26">
        <f>'KU_Summary - Reserve - P2 (REG)'!E66</f>
        <v>-15572212.75</v>
      </c>
      <c r="D26" s="26"/>
      <c r="E26" s="26">
        <v>0</v>
      </c>
      <c r="F26" s="26"/>
      <c r="G26" s="26">
        <v>0</v>
      </c>
      <c r="H26" s="26"/>
      <c r="I26" s="26">
        <v>0</v>
      </c>
      <c r="J26" s="26"/>
      <c r="K26" s="26">
        <v>0</v>
      </c>
      <c r="L26" s="26"/>
      <c r="M26" s="26">
        <v>0</v>
      </c>
      <c r="N26" s="26"/>
      <c r="O26" s="26">
        <v>0</v>
      </c>
      <c r="P26" s="26"/>
      <c r="Q26" s="26">
        <v>0</v>
      </c>
      <c r="R26" s="26"/>
      <c r="S26" s="26">
        <v>0</v>
      </c>
      <c r="T26" s="26"/>
      <c r="U26" s="19">
        <f>C26-E26+I26+K26+M26+O26+Q26+S26</f>
        <v>-15572212.75</v>
      </c>
      <c r="V26" s="26"/>
      <c r="W26" s="59"/>
    </row>
    <row r="27" spans="1:24" x14ac:dyDescent="0.2">
      <c r="B27" s="3" t="s">
        <v>3627</v>
      </c>
      <c r="C27" s="27">
        <v>0</v>
      </c>
      <c r="D27" s="26"/>
      <c r="E27" s="27">
        <v>0</v>
      </c>
      <c r="F27" s="26"/>
      <c r="G27" s="26">
        <v>0</v>
      </c>
      <c r="H27" s="26"/>
      <c r="I27" s="27">
        <v>0</v>
      </c>
      <c r="J27" s="26"/>
      <c r="K27" s="27">
        <v>0</v>
      </c>
      <c r="L27" s="26"/>
      <c r="M27" s="27">
        <v>0</v>
      </c>
      <c r="N27" s="26"/>
      <c r="O27" s="27">
        <v>0</v>
      </c>
      <c r="P27" s="26"/>
      <c r="Q27" s="27">
        <v>0</v>
      </c>
      <c r="R27" s="26"/>
      <c r="S27" s="27">
        <v>0</v>
      </c>
      <c r="T27" s="26"/>
      <c r="U27" s="27">
        <f>C27-E27+I27+K27+M27+O27+Q27+S27</f>
        <v>0</v>
      </c>
      <c r="V27" s="26"/>
      <c r="W27" s="59"/>
    </row>
    <row r="28" spans="1:24" x14ac:dyDescent="0.2">
      <c r="B28" s="20"/>
      <c r="C28" s="26">
        <f>SUM(C26:C27)</f>
        <v>-15572212.75</v>
      </c>
      <c r="D28" s="26"/>
      <c r="E28" s="26">
        <f>SUM(E26:E27)</f>
        <v>0</v>
      </c>
      <c r="F28" s="26"/>
      <c r="G28" s="32">
        <f>SUM(G26:G27)</f>
        <v>0</v>
      </c>
      <c r="H28" s="26"/>
      <c r="I28" s="26">
        <f>SUM(I26:I27)</f>
        <v>0</v>
      </c>
      <c r="J28" s="26"/>
      <c r="K28" s="26">
        <f>SUM(K26:K27)</f>
        <v>0</v>
      </c>
      <c r="L28" s="26"/>
      <c r="M28" s="26">
        <f>SUM(M26:M27)</f>
        <v>0</v>
      </c>
      <c r="N28" s="26"/>
      <c r="O28" s="26">
        <f>SUM(O26:O27)</f>
        <v>0</v>
      </c>
      <c r="P28" s="26"/>
      <c r="Q28" s="26">
        <f>SUM(Q26:Q27)</f>
        <v>0</v>
      </c>
      <c r="R28" s="26"/>
      <c r="S28" s="26">
        <f>SUM(S26:S27)</f>
        <v>0</v>
      </c>
      <c r="T28" s="26"/>
      <c r="U28" s="26">
        <f>SUM(U26:U27)</f>
        <v>-15572212.75</v>
      </c>
      <c r="V28" s="26"/>
      <c r="W28" s="59"/>
    </row>
    <row r="29" spans="1:24" x14ac:dyDescent="0.2">
      <c r="B29" s="2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59"/>
    </row>
    <row r="30" spans="1:24" x14ac:dyDescent="0.2">
      <c r="D30" s="19"/>
      <c r="F30" s="19"/>
      <c r="H30" s="19"/>
      <c r="J30" s="19"/>
      <c r="L30" s="19"/>
      <c r="N30" s="19"/>
      <c r="P30" s="19"/>
      <c r="R30" s="19"/>
      <c r="T30" s="19"/>
      <c r="U30" s="19"/>
      <c r="V30" s="19"/>
    </row>
    <row r="31" spans="1:24" ht="13.5" thickBot="1" x14ac:dyDescent="0.25">
      <c r="B31" s="12" t="s">
        <v>3628</v>
      </c>
      <c r="C31" s="33">
        <f>C28+C22</f>
        <v>-276673877.56</v>
      </c>
      <c r="D31" s="19"/>
      <c r="F31" s="19"/>
      <c r="H31" s="19"/>
      <c r="J31" s="19"/>
      <c r="L31" s="19"/>
      <c r="N31" s="19"/>
      <c r="P31" s="19"/>
      <c r="R31" s="19"/>
      <c r="T31" s="19"/>
      <c r="U31" s="33">
        <f>U28+U22</f>
        <v>-254103547.87</v>
      </c>
      <c r="V31" s="19"/>
    </row>
    <row r="32" spans="1:24" ht="13.5" thickTop="1" x14ac:dyDescent="0.2">
      <c r="D32" s="19"/>
      <c r="F32" s="19"/>
      <c r="H32" s="19"/>
      <c r="J32" s="19"/>
      <c r="L32" s="19"/>
      <c r="N32" s="19"/>
      <c r="P32" s="19"/>
      <c r="R32" s="19"/>
      <c r="T32" s="19"/>
    </row>
    <row r="33" spans="4:21" x14ac:dyDescent="0.2">
      <c r="D33" s="19"/>
      <c r="F33" s="19"/>
      <c r="H33" s="19"/>
      <c r="J33" s="19"/>
      <c r="L33" s="19"/>
      <c r="N33" s="19"/>
      <c r="P33" s="19"/>
      <c r="R33" s="19"/>
      <c r="T33" s="19"/>
    </row>
    <row r="34" spans="4:21" x14ac:dyDescent="0.2">
      <c r="D34" s="19"/>
      <c r="F34" s="19"/>
      <c r="H34" s="19"/>
      <c r="J34" s="19"/>
      <c r="L34" s="19"/>
      <c r="N34" s="19"/>
      <c r="P34" s="19"/>
      <c r="R34" s="19"/>
      <c r="T34" s="19"/>
    </row>
    <row r="35" spans="4:21" x14ac:dyDescent="0.2">
      <c r="D35" s="19"/>
      <c r="F35" s="19"/>
      <c r="H35" s="19"/>
      <c r="J35" s="19"/>
      <c r="L35" s="19"/>
      <c r="N35" s="19"/>
      <c r="P35" s="19"/>
      <c r="R35" s="19"/>
      <c r="T35" s="19"/>
    </row>
    <row r="36" spans="4:21" x14ac:dyDescent="0.2">
      <c r="D36" s="19"/>
      <c r="F36" s="19"/>
      <c r="H36" s="19"/>
      <c r="J36" s="19"/>
      <c r="L36" s="19"/>
      <c r="N36" s="19"/>
      <c r="O36" s="19" t="s">
        <v>3629</v>
      </c>
      <c r="P36" s="19"/>
      <c r="R36" s="19"/>
      <c r="T36" s="19"/>
    </row>
    <row r="37" spans="4:21" x14ac:dyDescent="0.2">
      <c r="D37" s="19"/>
      <c r="F37" s="19"/>
      <c r="H37" s="19"/>
      <c r="J37" s="19"/>
      <c r="L37" s="19"/>
      <c r="N37" s="19"/>
      <c r="P37" s="19"/>
      <c r="Q37" s="120" t="s">
        <v>278</v>
      </c>
      <c r="R37" s="19"/>
      <c r="S37" s="35">
        <v>-238531335.12</v>
      </c>
      <c r="T37" s="19"/>
    </row>
    <row r="38" spans="4:21" x14ac:dyDescent="0.2">
      <c r="D38" s="19"/>
      <c r="F38" s="19"/>
      <c r="H38" s="19"/>
      <c r="J38" s="19"/>
      <c r="L38" s="19"/>
      <c r="N38" s="19"/>
      <c r="P38" s="19"/>
      <c r="Q38" s="120" t="s">
        <v>3630</v>
      </c>
      <c r="R38" s="19"/>
      <c r="S38" s="35">
        <v>0</v>
      </c>
      <c r="T38" s="19"/>
    </row>
    <row r="39" spans="4:21" x14ac:dyDescent="0.2">
      <c r="D39" s="19"/>
      <c r="F39" s="19"/>
      <c r="H39" s="19"/>
      <c r="J39" s="19"/>
      <c r="L39" s="19"/>
      <c r="N39" s="19"/>
      <c r="P39" s="19"/>
      <c r="Q39" s="120" t="s">
        <v>3631</v>
      </c>
      <c r="R39" s="19"/>
      <c r="S39" s="35">
        <v>-15572212.75</v>
      </c>
      <c r="T39" s="19"/>
    </row>
    <row r="40" spans="4:21" ht="13.5" thickBot="1" x14ac:dyDescent="0.25">
      <c r="D40" s="34"/>
      <c r="F40" s="34"/>
      <c r="H40" s="34"/>
      <c r="J40" s="34"/>
      <c r="L40" s="34"/>
      <c r="N40" s="34"/>
      <c r="P40" s="34"/>
      <c r="R40" s="34"/>
      <c r="S40" s="33">
        <f>SUM(S37:S39)</f>
        <v>-254103547.87</v>
      </c>
      <c r="T40" s="34"/>
    </row>
    <row r="41" spans="4:21" ht="13.5" thickTop="1" x14ac:dyDescent="0.2">
      <c r="D41" s="34"/>
      <c r="F41" s="34"/>
      <c r="H41" s="34"/>
      <c r="J41" s="34"/>
      <c r="L41" s="34"/>
      <c r="N41" s="34"/>
      <c r="P41" s="34"/>
      <c r="R41" s="34"/>
      <c r="T41" s="34"/>
    </row>
    <row r="42" spans="4:21" x14ac:dyDescent="0.2">
      <c r="D42" s="34"/>
      <c r="F42" s="34"/>
      <c r="H42" s="34"/>
      <c r="J42" s="34"/>
      <c r="L42" s="34"/>
      <c r="N42" s="34"/>
      <c r="P42" s="34"/>
      <c r="R42" s="34"/>
      <c r="S42" s="19">
        <f>U31-S40</f>
        <v>0</v>
      </c>
      <c r="T42" s="34"/>
    </row>
    <row r="43" spans="4:21" x14ac:dyDescent="0.2">
      <c r="D43" s="34"/>
      <c r="F43" s="34"/>
      <c r="H43" s="34"/>
      <c r="J43" s="34"/>
      <c r="L43" s="34"/>
      <c r="N43" s="34"/>
      <c r="P43" s="34"/>
      <c r="R43" s="34"/>
      <c r="T43" s="34"/>
    </row>
    <row r="44" spans="4:21" x14ac:dyDescent="0.2">
      <c r="D44" s="34"/>
      <c r="F44" s="34"/>
      <c r="H44" s="34"/>
      <c r="J44" s="34"/>
      <c r="L44" s="34"/>
      <c r="N44" s="34"/>
      <c r="P44" s="34"/>
      <c r="R44" s="34"/>
      <c r="T44" s="34"/>
      <c r="U44" s="15"/>
    </row>
    <row r="45" spans="4:21" x14ac:dyDescent="0.2">
      <c r="D45" s="34"/>
      <c r="F45" s="34"/>
      <c r="H45" s="34"/>
      <c r="J45" s="34"/>
      <c r="L45" s="34"/>
      <c r="N45" s="34"/>
      <c r="P45" s="34"/>
      <c r="R45" s="34"/>
      <c r="T45" s="34"/>
    </row>
    <row r="46" spans="4:21" x14ac:dyDescent="0.2">
      <c r="D46" s="34"/>
      <c r="F46" s="34"/>
      <c r="H46" s="34"/>
      <c r="J46" s="34"/>
      <c r="L46" s="34"/>
      <c r="N46" s="34"/>
      <c r="P46" s="34"/>
      <c r="R46" s="34"/>
      <c r="T46" s="34"/>
    </row>
    <row r="47" spans="4:21" x14ac:dyDescent="0.2">
      <c r="D47" s="34"/>
      <c r="F47" s="34"/>
      <c r="H47" s="34"/>
      <c r="J47" s="34"/>
      <c r="L47" s="34"/>
      <c r="N47" s="34"/>
      <c r="P47" s="34"/>
      <c r="R47" s="34"/>
      <c r="T47" s="34"/>
    </row>
    <row r="48" spans="4:21" x14ac:dyDescent="0.2">
      <c r="D48" s="34"/>
      <c r="F48" s="34"/>
      <c r="H48" s="34"/>
      <c r="J48" s="34"/>
      <c r="L48" s="34"/>
      <c r="N48" s="34"/>
      <c r="P48" s="34"/>
      <c r="R48" s="34"/>
      <c r="T48" s="34"/>
    </row>
    <row r="49" spans="4:20" x14ac:dyDescent="0.2">
      <c r="D49" s="34"/>
      <c r="F49" s="34"/>
      <c r="H49" s="34"/>
      <c r="J49" s="34"/>
      <c r="L49" s="34"/>
      <c r="N49" s="34"/>
      <c r="P49" s="34"/>
      <c r="R49" s="34"/>
      <c r="T49" s="34"/>
    </row>
    <row r="50" spans="4:20" x14ac:dyDescent="0.2">
      <c r="D50" s="34"/>
      <c r="F50" s="34"/>
      <c r="H50" s="34"/>
      <c r="J50" s="34"/>
      <c r="L50" s="34"/>
      <c r="N50" s="34"/>
      <c r="P50" s="34"/>
      <c r="R50" s="34"/>
      <c r="T50" s="34"/>
    </row>
    <row r="51" spans="4:20" x14ac:dyDescent="0.2">
      <c r="D51" s="34"/>
      <c r="F51" s="34"/>
      <c r="H51" s="34"/>
      <c r="J51" s="34"/>
      <c r="L51" s="34"/>
      <c r="N51" s="34"/>
      <c r="P51" s="34"/>
      <c r="R51" s="34"/>
      <c r="T51" s="34"/>
    </row>
    <row r="52" spans="4:20" x14ac:dyDescent="0.2">
      <c r="D52" s="34"/>
      <c r="F52" s="34"/>
      <c r="H52" s="34"/>
      <c r="J52" s="34"/>
      <c r="L52" s="34"/>
      <c r="N52" s="34"/>
      <c r="P52" s="34"/>
      <c r="R52" s="34"/>
      <c r="T52" s="34"/>
    </row>
    <row r="53" spans="4:20" x14ac:dyDescent="0.2">
      <c r="D53" s="34"/>
      <c r="F53" s="34"/>
      <c r="H53" s="34"/>
      <c r="J53" s="34"/>
      <c r="L53" s="34"/>
      <c r="N53" s="34"/>
      <c r="P53" s="34"/>
      <c r="R53" s="34"/>
      <c r="T53" s="34"/>
    </row>
    <row r="54" spans="4:20" x14ac:dyDescent="0.2">
      <c r="D54" s="34"/>
      <c r="F54" s="34"/>
      <c r="H54" s="34"/>
      <c r="J54" s="34"/>
      <c r="L54" s="34"/>
      <c r="N54" s="34"/>
      <c r="P54" s="34"/>
      <c r="R54" s="34"/>
      <c r="T54" s="34"/>
    </row>
    <row r="55" spans="4:20" x14ac:dyDescent="0.2">
      <c r="D55" s="34"/>
      <c r="F55" s="34"/>
      <c r="H55" s="34"/>
      <c r="J55" s="34"/>
      <c r="L55" s="34"/>
      <c r="N55" s="34"/>
      <c r="P55" s="34"/>
      <c r="R55" s="34"/>
      <c r="T55" s="34"/>
    </row>
    <row r="56" spans="4:20" x14ac:dyDescent="0.2">
      <c r="D56" s="34"/>
      <c r="F56" s="34"/>
      <c r="H56" s="34"/>
      <c r="J56" s="34"/>
      <c r="L56" s="34"/>
      <c r="N56" s="34"/>
      <c r="P56" s="34"/>
      <c r="R56" s="34"/>
      <c r="T56" s="34"/>
    </row>
    <row r="57" spans="4:20" x14ac:dyDescent="0.2">
      <c r="D57" s="34"/>
      <c r="F57" s="34"/>
      <c r="H57" s="34"/>
      <c r="J57" s="34"/>
      <c r="L57" s="34"/>
      <c r="N57" s="34"/>
      <c r="P57" s="34"/>
      <c r="R57" s="34"/>
      <c r="T57" s="34"/>
    </row>
    <row r="58" spans="4:20" x14ac:dyDescent="0.2">
      <c r="D58" s="34"/>
      <c r="F58" s="34"/>
      <c r="H58" s="34"/>
      <c r="J58" s="34"/>
      <c r="L58" s="34"/>
      <c r="N58" s="34"/>
      <c r="P58" s="34"/>
      <c r="R58" s="34"/>
      <c r="T58" s="34"/>
    </row>
    <row r="59" spans="4:20" x14ac:dyDescent="0.2">
      <c r="D59" s="34"/>
      <c r="F59" s="34"/>
      <c r="H59" s="34"/>
      <c r="J59" s="34"/>
      <c r="L59" s="34"/>
      <c r="N59" s="34"/>
      <c r="P59" s="34"/>
      <c r="R59" s="34"/>
      <c r="T59" s="34"/>
    </row>
    <row r="60" spans="4:20" x14ac:dyDescent="0.2">
      <c r="D60" s="34"/>
      <c r="F60" s="34"/>
      <c r="H60" s="34"/>
      <c r="J60" s="34"/>
      <c r="L60" s="34"/>
      <c r="N60" s="34"/>
      <c r="P60" s="34"/>
      <c r="R60" s="34"/>
      <c r="T60" s="34"/>
    </row>
    <row r="61" spans="4:20" x14ac:dyDescent="0.2">
      <c r="D61" s="34"/>
      <c r="F61" s="34"/>
      <c r="H61" s="34"/>
      <c r="J61" s="34"/>
      <c r="L61" s="34"/>
      <c r="N61" s="34"/>
      <c r="P61" s="34"/>
      <c r="R61" s="34"/>
      <c r="T61" s="34"/>
    </row>
    <row r="62" spans="4:20" x14ac:dyDescent="0.2">
      <c r="D62" s="34"/>
      <c r="F62" s="34"/>
      <c r="H62" s="34"/>
      <c r="J62" s="34"/>
      <c r="L62" s="34"/>
      <c r="N62" s="34"/>
      <c r="P62" s="34"/>
      <c r="R62" s="34"/>
      <c r="T62" s="34"/>
    </row>
    <row r="63" spans="4:20" x14ac:dyDescent="0.2">
      <c r="D63" s="34"/>
      <c r="F63" s="34"/>
      <c r="H63" s="34"/>
      <c r="J63" s="34"/>
      <c r="L63" s="34"/>
      <c r="N63" s="34"/>
      <c r="P63" s="34"/>
      <c r="R63" s="34"/>
      <c r="T63" s="34"/>
    </row>
    <row r="64" spans="4:20" x14ac:dyDescent="0.2">
      <c r="D64" s="34"/>
      <c r="F64" s="34"/>
      <c r="H64" s="34"/>
      <c r="J64" s="34"/>
      <c r="L64" s="34"/>
      <c r="N64" s="34"/>
      <c r="P64" s="34"/>
      <c r="R64" s="34"/>
      <c r="T64" s="34"/>
    </row>
    <row r="65" spans="4:20" x14ac:dyDescent="0.2">
      <c r="D65" s="34"/>
      <c r="F65" s="34"/>
      <c r="H65" s="34"/>
      <c r="J65" s="34"/>
      <c r="L65" s="34"/>
      <c r="N65" s="34"/>
      <c r="P65" s="34"/>
      <c r="R65" s="34"/>
      <c r="T65" s="34"/>
    </row>
    <row r="66" spans="4:20" x14ac:dyDescent="0.2">
      <c r="D66" s="34"/>
      <c r="F66" s="34"/>
      <c r="H66" s="34"/>
      <c r="J66" s="34"/>
      <c r="L66" s="34"/>
      <c r="N66" s="34"/>
      <c r="P66" s="34"/>
      <c r="R66" s="34"/>
      <c r="T66" s="34"/>
    </row>
    <row r="67" spans="4:20" x14ac:dyDescent="0.2">
      <c r="D67" s="34"/>
      <c r="F67" s="34"/>
      <c r="H67" s="34"/>
      <c r="J67" s="34"/>
      <c r="L67" s="34"/>
      <c r="N67" s="34"/>
      <c r="P67" s="34"/>
      <c r="R67" s="34"/>
      <c r="T67" s="34"/>
    </row>
    <row r="68" spans="4:20" x14ac:dyDescent="0.2">
      <c r="D68" s="34"/>
      <c r="F68" s="34"/>
      <c r="H68" s="34"/>
      <c r="J68" s="34"/>
      <c r="L68" s="34"/>
      <c r="N68" s="34"/>
      <c r="P68" s="34"/>
      <c r="R68" s="34"/>
      <c r="T68" s="34"/>
    </row>
    <row r="69" spans="4:20" x14ac:dyDescent="0.2">
      <c r="D69" s="34"/>
      <c r="F69" s="34"/>
      <c r="H69" s="34"/>
      <c r="J69" s="34"/>
      <c r="L69" s="34"/>
      <c r="N69" s="34"/>
      <c r="P69" s="34"/>
      <c r="R69" s="34"/>
      <c r="T69" s="34"/>
    </row>
    <row r="70" spans="4:20" x14ac:dyDescent="0.2">
      <c r="D70" s="34"/>
      <c r="F70" s="34"/>
      <c r="H70" s="34"/>
      <c r="J70" s="34"/>
      <c r="L70" s="34"/>
      <c r="N70" s="34"/>
      <c r="P70" s="34"/>
      <c r="R70" s="34"/>
      <c r="T70" s="34"/>
    </row>
    <row r="71" spans="4:20" x14ac:dyDescent="0.2">
      <c r="D71" s="34"/>
      <c r="F71" s="34"/>
      <c r="H71" s="34"/>
      <c r="J71" s="34"/>
      <c r="L71" s="34"/>
      <c r="N71" s="34"/>
      <c r="P71" s="34"/>
      <c r="R71" s="34"/>
      <c r="T71" s="34"/>
    </row>
    <row r="72" spans="4:20" x14ac:dyDescent="0.2">
      <c r="D72" s="34"/>
      <c r="F72" s="34"/>
      <c r="H72" s="34"/>
      <c r="J72" s="34"/>
      <c r="L72" s="34"/>
      <c r="N72" s="34"/>
      <c r="P72" s="34"/>
      <c r="R72" s="34"/>
      <c r="T72" s="34"/>
    </row>
    <row r="73" spans="4:20" x14ac:dyDescent="0.2">
      <c r="D73" s="34"/>
      <c r="F73" s="34"/>
      <c r="H73" s="34"/>
      <c r="J73" s="34"/>
      <c r="L73" s="34"/>
      <c r="N73" s="34"/>
      <c r="P73" s="34"/>
      <c r="R73" s="34"/>
      <c r="T73" s="34"/>
    </row>
    <row r="74" spans="4:20" x14ac:dyDescent="0.2">
      <c r="D74" s="34"/>
      <c r="F74" s="34"/>
      <c r="H74" s="34"/>
      <c r="J74" s="34"/>
      <c r="L74" s="34"/>
      <c r="N74" s="34"/>
      <c r="P74" s="34"/>
      <c r="R74" s="34"/>
      <c r="T74" s="34"/>
    </row>
    <row r="75" spans="4:20" x14ac:dyDescent="0.2">
      <c r="D75" s="34"/>
      <c r="F75" s="34"/>
      <c r="H75" s="34"/>
      <c r="J75" s="34"/>
      <c r="L75" s="34"/>
      <c r="N75" s="34"/>
      <c r="P75" s="34"/>
      <c r="R75" s="34"/>
      <c r="T75" s="34"/>
    </row>
    <row r="76" spans="4:20" x14ac:dyDescent="0.2">
      <c r="D76" s="34"/>
      <c r="F76" s="34"/>
      <c r="H76" s="34"/>
      <c r="J76" s="34"/>
      <c r="L76" s="34"/>
      <c r="N76" s="34"/>
      <c r="P76" s="34"/>
      <c r="R76" s="34"/>
      <c r="T76" s="34"/>
    </row>
    <row r="77" spans="4:20" x14ac:dyDescent="0.2">
      <c r="D77" s="34"/>
      <c r="F77" s="34"/>
      <c r="H77" s="34"/>
      <c r="J77" s="34"/>
      <c r="L77" s="34"/>
      <c r="N77" s="34"/>
      <c r="P77" s="34"/>
      <c r="R77" s="34"/>
      <c r="T77" s="34"/>
    </row>
    <row r="78" spans="4:20" x14ac:dyDescent="0.2">
      <c r="D78" s="34"/>
      <c r="F78" s="34"/>
      <c r="H78" s="34"/>
      <c r="J78" s="34"/>
      <c r="L78" s="34"/>
      <c r="N78" s="34"/>
      <c r="P78" s="34"/>
      <c r="R78" s="34"/>
      <c r="T78" s="34"/>
    </row>
    <row r="79" spans="4:20" x14ac:dyDescent="0.2">
      <c r="D79" s="34"/>
      <c r="F79" s="34"/>
      <c r="H79" s="34"/>
      <c r="J79" s="34"/>
      <c r="L79" s="34"/>
      <c r="N79" s="34"/>
      <c r="P79" s="34"/>
      <c r="R79" s="34"/>
      <c r="T79" s="34"/>
    </row>
    <row r="80" spans="4:20" x14ac:dyDescent="0.2">
      <c r="D80" s="34"/>
      <c r="F80" s="34"/>
      <c r="H80" s="34"/>
      <c r="J80" s="34"/>
      <c r="L80" s="34"/>
      <c r="N80" s="34"/>
      <c r="P80" s="34"/>
      <c r="R80" s="34"/>
      <c r="T80" s="34"/>
    </row>
    <row r="81" spans="4:20" x14ac:dyDescent="0.2">
      <c r="D81" s="34"/>
      <c r="F81" s="34"/>
      <c r="H81" s="34"/>
      <c r="J81" s="34"/>
      <c r="L81" s="34"/>
      <c r="N81" s="34"/>
      <c r="P81" s="34"/>
      <c r="R81" s="34"/>
      <c r="T81" s="34"/>
    </row>
    <row r="82" spans="4:20" x14ac:dyDescent="0.2">
      <c r="D82" s="34"/>
      <c r="F82" s="34"/>
      <c r="H82" s="34"/>
      <c r="J82" s="34"/>
      <c r="L82" s="34"/>
      <c r="N82" s="34"/>
      <c r="P82" s="34"/>
      <c r="R82" s="34"/>
      <c r="T82" s="34"/>
    </row>
    <row r="83" spans="4:20" x14ac:dyDescent="0.2">
      <c r="D83" s="34"/>
      <c r="F83" s="34"/>
      <c r="H83" s="34"/>
      <c r="J83" s="34"/>
      <c r="L83" s="34"/>
      <c r="N83" s="34"/>
      <c r="P83" s="34"/>
      <c r="R83" s="34"/>
      <c r="T83" s="34"/>
    </row>
    <row r="84" spans="4:20" x14ac:dyDescent="0.2">
      <c r="D84" s="34"/>
      <c r="F84" s="34"/>
      <c r="H84" s="34"/>
      <c r="J84" s="34"/>
      <c r="L84" s="34"/>
      <c r="N84" s="34"/>
      <c r="P84" s="34"/>
      <c r="R84" s="34"/>
      <c r="T84" s="34"/>
    </row>
    <row r="85" spans="4:20" x14ac:dyDescent="0.2">
      <c r="D85" s="34"/>
      <c r="F85" s="34"/>
      <c r="H85" s="34"/>
      <c r="J85" s="34"/>
      <c r="L85" s="34"/>
      <c r="N85" s="34"/>
      <c r="P85" s="34"/>
      <c r="R85" s="34"/>
      <c r="T85" s="34"/>
    </row>
    <row r="86" spans="4:20" x14ac:dyDescent="0.2">
      <c r="D86" s="34"/>
      <c r="F86" s="34"/>
      <c r="H86" s="34"/>
      <c r="J86" s="34"/>
      <c r="L86" s="34"/>
      <c r="N86" s="34"/>
      <c r="P86" s="34"/>
      <c r="R86" s="34"/>
      <c r="T86" s="34"/>
    </row>
    <row r="87" spans="4:20" x14ac:dyDescent="0.2">
      <c r="D87" s="34"/>
      <c r="F87" s="34"/>
      <c r="H87" s="34"/>
      <c r="J87" s="34"/>
      <c r="L87" s="34"/>
      <c r="N87" s="34"/>
      <c r="P87" s="34"/>
      <c r="R87" s="34"/>
      <c r="T87" s="34"/>
    </row>
    <row r="88" spans="4:20" x14ac:dyDescent="0.2">
      <c r="D88" s="34"/>
      <c r="F88" s="34"/>
      <c r="H88" s="34"/>
      <c r="J88" s="34"/>
      <c r="L88" s="34"/>
      <c r="N88" s="34"/>
      <c r="P88" s="34"/>
      <c r="R88" s="34"/>
      <c r="T88" s="34"/>
    </row>
    <row r="89" spans="4:20" x14ac:dyDescent="0.2">
      <c r="D89" s="34"/>
      <c r="F89" s="34"/>
      <c r="H89" s="34"/>
      <c r="J89" s="34"/>
      <c r="L89" s="34"/>
      <c r="N89" s="34"/>
      <c r="P89" s="34"/>
      <c r="R89" s="34"/>
      <c r="T89" s="34"/>
    </row>
    <row r="90" spans="4:20" x14ac:dyDescent="0.2">
      <c r="D90" s="34"/>
      <c r="F90" s="34"/>
      <c r="H90" s="34"/>
      <c r="J90" s="34"/>
      <c r="L90" s="34"/>
      <c r="N90" s="34"/>
      <c r="P90" s="34"/>
      <c r="R90" s="34"/>
      <c r="T90" s="34"/>
    </row>
    <row r="91" spans="4:20" x14ac:dyDescent="0.2">
      <c r="D91" s="34"/>
      <c r="F91" s="34"/>
      <c r="H91" s="34"/>
      <c r="J91" s="34"/>
      <c r="L91" s="34"/>
      <c r="N91" s="34"/>
      <c r="P91" s="34"/>
      <c r="R91" s="34"/>
      <c r="T91" s="34"/>
    </row>
    <row r="92" spans="4:20" x14ac:dyDescent="0.2">
      <c r="D92" s="34"/>
      <c r="F92" s="34"/>
      <c r="H92" s="34"/>
      <c r="J92" s="34"/>
      <c r="L92" s="34"/>
      <c r="N92" s="34"/>
      <c r="P92" s="34"/>
      <c r="R92" s="34"/>
      <c r="T92" s="34"/>
    </row>
    <row r="93" spans="4:20" x14ac:dyDescent="0.2">
      <c r="D93" s="34"/>
      <c r="F93" s="34"/>
      <c r="H93" s="34"/>
      <c r="J93" s="34"/>
      <c r="L93" s="34"/>
      <c r="N93" s="34"/>
      <c r="P93" s="34"/>
      <c r="R93" s="34"/>
      <c r="T93" s="34"/>
    </row>
    <row r="94" spans="4:20" x14ac:dyDescent="0.2">
      <c r="D94" s="34"/>
      <c r="F94" s="34"/>
      <c r="H94" s="34"/>
      <c r="J94" s="34"/>
      <c r="L94" s="34"/>
      <c r="N94" s="34"/>
      <c r="P94" s="34"/>
      <c r="R94" s="34"/>
      <c r="T94" s="34"/>
    </row>
    <row r="95" spans="4:20" x14ac:dyDescent="0.2">
      <c r="D95" s="34"/>
      <c r="F95" s="34"/>
      <c r="H95" s="34"/>
      <c r="J95" s="34"/>
      <c r="L95" s="34"/>
      <c r="N95" s="34"/>
      <c r="P95" s="34"/>
      <c r="R95" s="34"/>
      <c r="T95" s="34"/>
    </row>
    <row r="96" spans="4:20" x14ac:dyDescent="0.2">
      <c r="D96" s="34"/>
      <c r="F96" s="34"/>
      <c r="H96" s="34"/>
      <c r="J96" s="34"/>
      <c r="L96" s="34"/>
      <c r="N96" s="34"/>
      <c r="P96" s="34"/>
      <c r="R96" s="34"/>
      <c r="T96" s="34"/>
    </row>
    <row r="97" spans="4:20" x14ac:dyDescent="0.2">
      <c r="D97" s="34"/>
      <c r="F97" s="34"/>
      <c r="H97" s="34"/>
      <c r="J97" s="34"/>
      <c r="L97" s="34"/>
      <c r="N97" s="34"/>
      <c r="P97" s="34"/>
      <c r="R97" s="34"/>
      <c r="T97" s="34"/>
    </row>
    <row r="98" spans="4:20" x14ac:dyDescent="0.2">
      <c r="D98" s="34"/>
      <c r="F98" s="34"/>
      <c r="H98" s="34"/>
      <c r="J98" s="34"/>
      <c r="L98" s="34"/>
      <c r="N98" s="34"/>
      <c r="P98" s="34"/>
      <c r="R98" s="34"/>
      <c r="T98" s="34"/>
    </row>
    <row r="99" spans="4:20" x14ac:dyDescent="0.2">
      <c r="D99" s="34"/>
      <c r="F99" s="34"/>
      <c r="H99" s="34"/>
      <c r="J99" s="34"/>
      <c r="L99" s="34"/>
      <c r="N99" s="34"/>
      <c r="P99" s="34"/>
      <c r="R99" s="34"/>
      <c r="T99" s="34"/>
    </row>
    <row r="100" spans="4:20" x14ac:dyDescent="0.2">
      <c r="D100" s="34"/>
      <c r="F100" s="34"/>
      <c r="H100" s="34"/>
      <c r="J100" s="34"/>
      <c r="L100" s="34"/>
      <c r="N100" s="34"/>
      <c r="P100" s="34"/>
      <c r="R100" s="34"/>
      <c r="T100" s="34"/>
    </row>
    <row r="101" spans="4:20" x14ac:dyDescent="0.2">
      <c r="D101" s="34"/>
      <c r="F101" s="34"/>
      <c r="H101" s="34"/>
      <c r="J101" s="34"/>
      <c r="L101" s="34"/>
      <c r="N101" s="34"/>
      <c r="P101" s="34"/>
      <c r="R101" s="34"/>
      <c r="T101" s="34"/>
    </row>
    <row r="102" spans="4:20" x14ac:dyDescent="0.2">
      <c r="D102" s="34"/>
      <c r="F102" s="34"/>
      <c r="H102" s="34"/>
      <c r="J102" s="34"/>
      <c r="L102" s="34"/>
      <c r="N102" s="34"/>
      <c r="P102" s="34"/>
      <c r="R102" s="34"/>
      <c r="T102" s="34"/>
    </row>
    <row r="103" spans="4:20" x14ac:dyDescent="0.2">
      <c r="D103" s="34"/>
      <c r="F103" s="34"/>
      <c r="H103" s="34"/>
      <c r="J103" s="34"/>
      <c r="L103" s="34"/>
      <c r="N103" s="34"/>
      <c r="P103" s="34"/>
      <c r="R103" s="34"/>
      <c r="T103" s="34"/>
    </row>
    <row r="104" spans="4:20" x14ac:dyDescent="0.2">
      <c r="D104" s="34"/>
      <c r="F104" s="34"/>
      <c r="H104" s="34"/>
      <c r="J104" s="34"/>
      <c r="L104" s="34"/>
      <c r="N104" s="34"/>
      <c r="P104" s="34"/>
      <c r="R104" s="34"/>
      <c r="T104" s="34"/>
    </row>
    <row r="105" spans="4:20" x14ac:dyDescent="0.2">
      <c r="D105" s="34"/>
      <c r="F105" s="34"/>
      <c r="H105" s="34"/>
      <c r="J105" s="34"/>
      <c r="L105" s="34"/>
      <c r="N105" s="34"/>
      <c r="P105" s="34"/>
      <c r="R105" s="34"/>
      <c r="T105" s="34"/>
    </row>
    <row r="106" spans="4:20" x14ac:dyDescent="0.2">
      <c r="D106" s="34"/>
      <c r="F106" s="34"/>
      <c r="H106" s="34"/>
      <c r="J106" s="34"/>
      <c r="L106" s="34"/>
      <c r="N106" s="34"/>
      <c r="P106" s="34"/>
      <c r="R106" s="34"/>
      <c r="T106" s="34"/>
    </row>
    <row r="107" spans="4:20" x14ac:dyDescent="0.2">
      <c r="D107" s="34"/>
      <c r="F107" s="34"/>
      <c r="H107" s="34"/>
      <c r="J107" s="34"/>
      <c r="L107" s="34"/>
      <c r="N107" s="34"/>
      <c r="P107" s="34"/>
      <c r="R107" s="34"/>
      <c r="T107" s="34"/>
    </row>
    <row r="108" spans="4:20" x14ac:dyDescent="0.2">
      <c r="D108" s="34"/>
      <c r="F108" s="34"/>
      <c r="H108" s="34"/>
      <c r="J108" s="34"/>
      <c r="L108" s="34"/>
      <c r="N108" s="34"/>
      <c r="P108" s="34"/>
      <c r="R108" s="34"/>
      <c r="T108" s="34"/>
    </row>
    <row r="109" spans="4:20" x14ac:dyDescent="0.2">
      <c r="D109" s="34"/>
      <c r="F109" s="34"/>
      <c r="H109" s="34"/>
      <c r="J109" s="34"/>
      <c r="L109" s="34"/>
      <c r="N109" s="34"/>
      <c r="P109" s="34"/>
      <c r="R109" s="34"/>
      <c r="T109" s="34"/>
    </row>
    <row r="110" spans="4:20" x14ac:dyDescent="0.2">
      <c r="D110" s="34"/>
      <c r="F110" s="34"/>
      <c r="H110" s="34"/>
      <c r="J110" s="34"/>
      <c r="L110" s="34"/>
      <c r="N110" s="34"/>
      <c r="P110" s="34"/>
      <c r="R110" s="34"/>
      <c r="T110" s="34"/>
    </row>
    <row r="111" spans="4:20" x14ac:dyDescent="0.2">
      <c r="D111" s="34"/>
      <c r="F111" s="34"/>
      <c r="H111" s="34"/>
      <c r="J111" s="34"/>
      <c r="L111" s="34"/>
      <c r="N111" s="34"/>
      <c r="P111" s="34"/>
      <c r="R111" s="34"/>
      <c r="T111" s="34"/>
    </row>
    <row r="112" spans="4:20" x14ac:dyDescent="0.2">
      <c r="D112" s="34"/>
      <c r="F112" s="34"/>
      <c r="H112" s="34"/>
      <c r="J112" s="34"/>
      <c r="L112" s="34"/>
      <c r="N112" s="34"/>
      <c r="P112" s="34"/>
      <c r="R112" s="34"/>
      <c r="T112" s="34"/>
    </row>
    <row r="113" spans="4:20" x14ac:dyDescent="0.2">
      <c r="D113" s="34"/>
      <c r="F113" s="34"/>
      <c r="H113" s="34"/>
      <c r="J113" s="34"/>
      <c r="L113" s="34"/>
      <c r="N113" s="34"/>
      <c r="P113" s="34"/>
      <c r="R113" s="34"/>
      <c r="T113" s="34"/>
    </row>
    <row r="114" spans="4:20" x14ac:dyDescent="0.2">
      <c r="D114" s="34"/>
      <c r="F114" s="34"/>
      <c r="H114" s="34"/>
      <c r="J114" s="34"/>
      <c r="L114" s="34"/>
      <c r="N114" s="34"/>
      <c r="P114" s="34"/>
      <c r="R114" s="34"/>
      <c r="T114" s="34"/>
    </row>
    <row r="115" spans="4:20" x14ac:dyDescent="0.2">
      <c r="D115" s="34"/>
      <c r="F115" s="34"/>
      <c r="H115" s="34"/>
      <c r="J115" s="34"/>
      <c r="L115" s="34"/>
      <c r="N115" s="34"/>
      <c r="P115" s="34"/>
      <c r="R115" s="34"/>
      <c r="T115" s="34"/>
    </row>
    <row r="116" spans="4:20" x14ac:dyDescent="0.2">
      <c r="D116" s="34"/>
      <c r="F116" s="34"/>
      <c r="H116" s="34"/>
      <c r="J116" s="34"/>
      <c r="L116" s="34"/>
      <c r="N116" s="34"/>
      <c r="P116" s="34"/>
      <c r="R116" s="34"/>
      <c r="T116" s="34"/>
    </row>
    <row r="117" spans="4:20" x14ac:dyDescent="0.2">
      <c r="D117" s="34"/>
      <c r="F117" s="34"/>
      <c r="H117" s="34"/>
      <c r="J117" s="34"/>
      <c r="L117" s="34"/>
      <c r="N117" s="34"/>
      <c r="P117" s="34"/>
      <c r="R117" s="34"/>
      <c r="T117" s="34"/>
    </row>
    <row r="118" spans="4:20" x14ac:dyDescent="0.2">
      <c r="D118" s="34"/>
      <c r="F118" s="34"/>
      <c r="H118" s="34"/>
      <c r="J118" s="34"/>
      <c r="L118" s="34"/>
      <c r="N118" s="34"/>
      <c r="P118" s="34"/>
      <c r="R118" s="34"/>
      <c r="T118" s="34"/>
    </row>
    <row r="119" spans="4:20" x14ac:dyDescent="0.2">
      <c r="D119" s="34"/>
      <c r="F119" s="34"/>
      <c r="H119" s="34"/>
      <c r="J119" s="34"/>
      <c r="L119" s="34"/>
      <c r="N119" s="34"/>
      <c r="P119" s="34"/>
      <c r="R119" s="34"/>
      <c r="T119" s="34"/>
    </row>
    <row r="120" spans="4:20" x14ac:dyDescent="0.2">
      <c r="D120" s="34"/>
      <c r="F120" s="34"/>
      <c r="H120" s="34"/>
      <c r="J120" s="34"/>
      <c r="L120" s="34"/>
      <c r="N120" s="34"/>
      <c r="P120" s="34"/>
      <c r="R120" s="34"/>
      <c r="T120" s="34"/>
    </row>
    <row r="121" spans="4:20" x14ac:dyDescent="0.2">
      <c r="D121" s="34"/>
      <c r="F121" s="34"/>
      <c r="H121" s="34"/>
      <c r="J121" s="34"/>
      <c r="L121" s="34"/>
      <c r="N121" s="34"/>
      <c r="P121" s="34"/>
      <c r="R121" s="34"/>
      <c r="T121" s="34"/>
    </row>
    <row r="122" spans="4:20" x14ac:dyDescent="0.2">
      <c r="D122" s="34"/>
      <c r="F122" s="34"/>
      <c r="H122" s="34"/>
      <c r="J122" s="34"/>
      <c r="L122" s="34"/>
      <c r="N122" s="34"/>
      <c r="P122" s="34"/>
      <c r="R122" s="34"/>
      <c r="T122" s="34"/>
    </row>
    <row r="123" spans="4:20" x14ac:dyDescent="0.2">
      <c r="D123" s="34"/>
      <c r="F123" s="34"/>
      <c r="H123" s="34"/>
      <c r="J123" s="34"/>
      <c r="L123" s="34"/>
      <c r="N123" s="34"/>
      <c r="P123" s="34"/>
      <c r="R123" s="34"/>
      <c r="T123" s="34"/>
    </row>
    <row r="124" spans="4:20" x14ac:dyDescent="0.2">
      <c r="D124" s="34"/>
      <c r="F124" s="34"/>
      <c r="H124" s="34"/>
      <c r="J124" s="34"/>
      <c r="L124" s="34"/>
      <c r="N124" s="34"/>
      <c r="P124" s="34"/>
      <c r="R124" s="34"/>
      <c r="T124" s="34"/>
    </row>
    <row r="125" spans="4:20" x14ac:dyDescent="0.2">
      <c r="D125" s="34"/>
      <c r="F125" s="34"/>
      <c r="H125" s="34"/>
      <c r="J125" s="34"/>
      <c r="L125" s="34"/>
      <c r="N125" s="34"/>
      <c r="P125" s="34"/>
      <c r="R125" s="34"/>
      <c r="T125" s="34"/>
    </row>
    <row r="126" spans="4:20" x14ac:dyDescent="0.2">
      <c r="D126" s="34"/>
      <c r="F126" s="34"/>
      <c r="H126" s="34"/>
      <c r="J126" s="34"/>
      <c r="L126" s="34"/>
      <c r="N126" s="34"/>
      <c r="P126" s="34"/>
      <c r="R126" s="34"/>
      <c r="T126" s="34"/>
    </row>
    <row r="127" spans="4:20" x14ac:dyDescent="0.2">
      <c r="D127" s="34"/>
      <c r="F127" s="34"/>
      <c r="H127" s="34"/>
      <c r="J127" s="34"/>
      <c r="L127" s="34"/>
      <c r="N127" s="34"/>
      <c r="P127" s="34"/>
      <c r="R127" s="34"/>
      <c r="T127" s="34"/>
    </row>
    <row r="128" spans="4:20" x14ac:dyDescent="0.2">
      <c r="D128" s="34"/>
      <c r="F128" s="34"/>
      <c r="H128" s="34"/>
      <c r="J128" s="34"/>
      <c r="L128" s="34"/>
      <c r="N128" s="34"/>
      <c r="P128" s="34"/>
      <c r="R128" s="34"/>
      <c r="T128" s="34"/>
    </row>
    <row r="129" spans="4:20" x14ac:dyDescent="0.2">
      <c r="D129" s="34"/>
      <c r="F129" s="34"/>
      <c r="H129" s="34"/>
      <c r="J129" s="34"/>
      <c r="L129" s="34"/>
      <c r="N129" s="34"/>
      <c r="P129" s="34"/>
      <c r="R129" s="34"/>
      <c r="T129" s="34"/>
    </row>
    <row r="130" spans="4:20" x14ac:dyDescent="0.2">
      <c r="D130" s="34"/>
      <c r="F130" s="34"/>
      <c r="H130" s="34"/>
      <c r="J130" s="34"/>
      <c r="L130" s="34"/>
      <c r="N130" s="34"/>
      <c r="P130" s="34"/>
      <c r="R130" s="34"/>
      <c r="T130" s="34"/>
    </row>
    <row r="131" spans="4:20" x14ac:dyDescent="0.2">
      <c r="D131" s="34"/>
      <c r="F131" s="34"/>
      <c r="H131" s="34"/>
      <c r="J131" s="34"/>
      <c r="L131" s="34"/>
      <c r="N131" s="34"/>
      <c r="P131" s="34"/>
      <c r="R131" s="34"/>
      <c r="T131" s="34"/>
    </row>
    <row r="132" spans="4:20" x14ac:dyDescent="0.2">
      <c r="D132" s="34"/>
      <c r="F132" s="34"/>
      <c r="H132" s="34"/>
      <c r="J132" s="34"/>
      <c r="L132" s="34"/>
      <c r="N132" s="34"/>
      <c r="P132" s="34"/>
      <c r="R132" s="34"/>
      <c r="T132" s="34"/>
    </row>
    <row r="133" spans="4:20" x14ac:dyDescent="0.2">
      <c r="D133" s="34"/>
      <c r="F133" s="34"/>
      <c r="H133" s="34"/>
      <c r="J133" s="34"/>
      <c r="L133" s="34"/>
      <c r="N133" s="34"/>
      <c r="P133" s="34"/>
      <c r="R133" s="34"/>
      <c r="T133" s="34"/>
    </row>
    <row r="134" spans="4:20" x14ac:dyDescent="0.2">
      <c r="D134" s="34"/>
      <c r="F134" s="34"/>
      <c r="H134" s="34"/>
      <c r="J134" s="34"/>
      <c r="L134" s="34"/>
      <c r="N134" s="34"/>
      <c r="P134" s="34"/>
      <c r="R134" s="34"/>
      <c r="T134" s="34"/>
    </row>
    <row r="135" spans="4:20" x14ac:dyDescent="0.2">
      <c r="D135" s="34"/>
      <c r="F135" s="34"/>
      <c r="H135" s="34"/>
      <c r="J135" s="34"/>
      <c r="L135" s="34"/>
      <c r="N135" s="34"/>
      <c r="P135" s="34"/>
      <c r="R135" s="34"/>
      <c r="T135" s="34"/>
    </row>
    <row r="136" spans="4:20" x14ac:dyDescent="0.2">
      <c r="D136" s="34"/>
      <c r="F136" s="34"/>
      <c r="H136" s="34"/>
      <c r="J136" s="34"/>
      <c r="L136" s="34"/>
      <c r="N136" s="34"/>
      <c r="P136" s="34"/>
      <c r="R136" s="34"/>
      <c r="T136" s="34"/>
    </row>
    <row r="137" spans="4:20" x14ac:dyDescent="0.2">
      <c r="D137" s="34"/>
      <c r="F137" s="34"/>
      <c r="H137" s="34"/>
      <c r="J137" s="34"/>
      <c r="L137" s="34"/>
      <c r="N137" s="34"/>
      <c r="P137" s="34"/>
      <c r="R137" s="34"/>
      <c r="T137" s="34"/>
    </row>
    <row r="138" spans="4:20" x14ac:dyDescent="0.2">
      <c r="D138" s="34"/>
      <c r="F138" s="34"/>
      <c r="H138" s="34"/>
      <c r="J138" s="34"/>
      <c r="L138" s="34"/>
      <c r="N138" s="34"/>
      <c r="P138" s="34"/>
      <c r="R138" s="34"/>
      <c r="T138" s="34"/>
    </row>
    <row r="139" spans="4:20" x14ac:dyDescent="0.2">
      <c r="D139" s="34"/>
      <c r="F139" s="34"/>
      <c r="H139" s="34"/>
      <c r="J139" s="34"/>
      <c r="L139" s="34"/>
      <c r="N139" s="34"/>
      <c r="P139" s="34"/>
      <c r="R139" s="34"/>
      <c r="T139" s="34"/>
    </row>
    <row r="140" spans="4:20" x14ac:dyDescent="0.2">
      <c r="D140" s="34"/>
      <c r="F140" s="34"/>
      <c r="H140" s="34"/>
      <c r="J140" s="34"/>
      <c r="L140" s="34"/>
      <c r="N140" s="34"/>
      <c r="P140" s="34"/>
      <c r="R140" s="34"/>
      <c r="T140" s="34"/>
    </row>
    <row r="141" spans="4:20" x14ac:dyDescent="0.2">
      <c r="D141" s="34"/>
      <c r="F141" s="34"/>
      <c r="H141" s="34"/>
      <c r="J141" s="34"/>
      <c r="L141" s="34"/>
      <c r="N141" s="34"/>
      <c r="P141" s="34"/>
      <c r="R141" s="34"/>
      <c r="T141" s="34"/>
    </row>
    <row r="142" spans="4:20" x14ac:dyDescent="0.2">
      <c r="D142" s="34"/>
      <c r="F142" s="34"/>
      <c r="H142" s="34"/>
      <c r="J142" s="34"/>
      <c r="L142" s="34"/>
      <c r="N142" s="34"/>
      <c r="P142" s="34"/>
      <c r="R142" s="34"/>
      <c r="T142" s="34"/>
    </row>
    <row r="143" spans="4:20" x14ac:dyDescent="0.2">
      <c r="D143" s="34"/>
      <c r="F143" s="34"/>
      <c r="H143" s="34"/>
      <c r="J143" s="34"/>
      <c r="L143" s="34"/>
      <c r="N143" s="34"/>
      <c r="P143" s="34"/>
      <c r="R143" s="34"/>
      <c r="T143" s="34"/>
    </row>
    <row r="144" spans="4:20" x14ac:dyDescent="0.2">
      <c r="D144" s="34"/>
      <c r="F144" s="34"/>
      <c r="H144" s="34"/>
      <c r="J144" s="34"/>
      <c r="L144" s="34"/>
      <c r="N144" s="34"/>
      <c r="P144" s="34"/>
      <c r="R144" s="34"/>
      <c r="T144" s="34"/>
    </row>
    <row r="145" spans="4:20" x14ac:dyDescent="0.2">
      <c r="D145" s="34"/>
      <c r="F145" s="34"/>
      <c r="H145" s="34"/>
      <c r="J145" s="34"/>
      <c r="L145" s="34"/>
      <c r="N145" s="34"/>
      <c r="P145" s="34"/>
      <c r="R145" s="34"/>
      <c r="T145" s="34"/>
    </row>
    <row r="146" spans="4:20" x14ac:dyDescent="0.2">
      <c r="D146" s="34"/>
      <c r="F146" s="34"/>
      <c r="H146" s="34"/>
      <c r="J146" s="34"/>
      <c r="L146" s="34"/>
      <c r="N146" s="34"/>
      <c r="P146" s="34"/>
      <c r="R146" s="34"/>
      <c r="T146" s="34"/>
    </row>
    <row r="147" spans="4:20" x14ac:dyDescent="0.2">
      <c r="D147" s="34"/>
      <c r="F147" s="34"/>
      <c r="H147" s="34"/>
      <c r="J147" s="34"/>
      <c r="L147" s="34"/>
      <c r="N147" s="34"/>
      <c r="P147" s="34"/>
      <c r="R147" s="34"/>
      <c r="T147" s="34"/>
    </row>
    <row r="148" spans="4:20" x14ac:dyDescent="0.2">
      <c r="D148" s="34"/>
      <c r="F148" s="34"/>
      <c r="H148" s="34"/>
      <c r="J148" s="34"/>
      <c r="L148" s="34"/>
      <c r="N148" s="34"/>
      <c r="P148" s="34"/>
      <c r="R148" s="34"/>
      <c r="T148" s="34"/>
    </row>
    <row r="149" spans="4:20" x14ac:dyDescent="0.2">
      <c r="D149" s="34"/>
      <c r="F149" s="34"/>
      <c r="H149" s="34"/>
      <c r="J149" s="34"/>
      <c r="L149" s="34"/>
      <c r="N149" s="34"/>
      <c r="P149" s="34"/>
      <c r="R149" s="34"/>
      <c r="T149" s="34"/>
    </row>
    <row r="150" spans="4:20" x14ac:dyDescent="0.2">
      <c r="D150" s="34"/>
      <c r="F150" s="34"/>
      <c r="H150" s="34"/>
      <c r="J150" s="34"/>
      <c r="L150" s="34"/>
      <c r="N150" s="34"/>
      <c r="P150" s="34"/>
      <c r="R150" s="34"/>
      <c r="T150" s="34"/>
    </row>
    <row r="151" spans="4:20" x14ac:dyDescent="0.2">
      <c r="D151" s="34"/>
      <c r="F151" s="34"/>
      <c r="H151" s="34"/>
      <c r="J151" s="34"/>
      <c r="L151" s="34"/>
      <c r="N151" s="34"/>
      <c r="P151" s="34"/>
      <c r="R151" s="34"/>
      <c r="T151" s="34"/>
    </row>
    <row r="152" spans="4:20" x14ac:dyDescent="0.2">
      <c r="D152" s="34"/>
      <c r="F152" s="34"/>
      <c r="H152" s="34"/>
      <c r="J152" s="34"/>
      <c r="L152" s="34"/>
      <c r="N152" s="34"/>
      <c r="P152" s="34"/>
      <c r="R152" s="34"/>
      <c r="T152" s="34"/>
    </row>
    <row r="153" spans="4:20" x14ac:dyDescent="0.2">
      <c r="D153" s="34"/>
      <c r="F153" s="34"/>
      <c r="H153" s="34"/>
      <c r="J153" s="34"/>
      <c r="L153" s="34"/>
      <c r="N153" s="34"/>
      <c r="P153" s="34"/>
      <c r="R153" s="34"/>
      <c r="T153" s="34"/>
    </row>
    <row r="154" spans="4:20" x14ac:dyDescent="0.2">
      <c r="D154" s="34"/>
      <c r="F154" s="34"/>
      <c r="H154" s="34"/>
      <c r="J154" s="34"/>
      <c r="L154" s="34"/>
      <c r="N154" s="34"/>
      <c r="P154" s="34"/>
      <c r="R154" s="34"/>
      <c r="T154" s="34"/>
    </row>
    <row r="155" spans="4:20" x14ac:dyDescent="0.2">
      <c r="D155" s="34"/>
      <c r="F155" s="34"/>
      <c r="H155" s="34"/>
      <c r="J155" s="34"/>
      <c r="L155" s="34"/>
      <c r="N155" s="34"/>
      <c r="P155" s="34"/>
      <c r="R155" s="34"/>
      <c r="T155" s="34"/>
    </row>
    <row r="156" spans="4:20" x14ac:dyDescent="0.2">
      <c r="D156" s="34"/>
      <c r="F156" s="34"/>
      <c r="H156" s="34"/>
      <c r="J156" s="34"/>
      <c r="L156" s="34"/>
      <c r="N156" s="34"/>
      <c r="P156" s="34"/>
      <c r="R156" s="34"/>
      <c r="T156" s="34"/>
    </row>
    <row r="157" spans="4:20" x14ac:dyDescent="0.2">
      <c r="D157" s="34"/>
      <c r="F157" s="34"/>
      <c r="H157" s="34"/>
      <c r="J157" s="34"/>
      <c r="L157" s="34"/>
      <c r="N157" s="34"/>
      <c r="P157" s="34"/>
      <c r="R157" s="34"/>
      <c r="T157" s="34"/>
    </row>
    <row r="158" spans="4:20" x14ac:dyDescent="0.2">
      <c r="D158" s="34"/>
      <c r="F158" s="34"/>
      <c r="H158" s="34"/>
      <c r="J158" s="34"/>
      <c r="L158" s="34"/>
      <c r="N158" s="34"/>
      <c r="P158" s="34"/>
      <c r="R158" s="34"/>
      <c r="T158" s="34"/>
    </row>
    <row r="159" spans="4:20" x14ac:dyDescent="0.2">
      <c r="D159" s="34"/>
      <c r="F159" s="34"/>
      <c r="H159" s="34"/>
      <c r="J159" s="34"/>
      <c r="L159" s="34"/>
      <c r="N159" s="34"/>
      <c r="P159" s="34"/>
      <c r="R159" s="34"/>
      <c r="T159" s="34"/>
    </row>
    <row r="160" spans="4:20" x14ac:dyDescent="0.2">
      <c r="D160" s="34"/>
      <c r="F160" s="34"/>
      <c r="H160" s="34"/>
      <c r="J160" s="34"/>
      <c r="L160" s="34"/>
      <c r="N160" s="34"/>
      <c r="P160" s="34"/>
      <c r="R160" s="34"/>
      <c r="T160" s="34"/>
    </row>
    <row r="161" spans="4:20" x14ac:dyDescent="0.2">
      <c r="D161" s="34"/>
      <c r="F161" s="34"/>
      <c r="H161" s="34"/>
      <c r="J161" s="34"/>
      <c r="L161" s="34"/>
      <c r="N161" s="34"/>
      <c r="P161" s="34"/>
      <c r="R161" s="34"/>
      <c r="T161" s="34"/>
    </row>
    <row r="162" spans="4:20" x14ac:dyDescent="0.2">
      <c r="D162" s="34"/>
      <c r="F162" s="34"/>
      <c r="H162" s="34"/>
      <c r="J162" s="34"/>
      <c r="L162" s="34"/>
      <c r="N162" s="34"/>
      <c r="P162" s="34"/>
      <c r="R162" s="34"/>
      <c r="T162" s="34"/>
    </row>
    <row r="163" spans="4:20" x14ac:dyDescent="0.2">
      <c r="D163" s="34"/>
      <c r="F163" s="34"/>
      <c r="H163" s="34"/>
      <c r="J163" s="34"/>
      <c r="L163" s="34"/>
      <c r="N163" s="34"/>
      <c r="P163" s="34"/>
      <c r="R163" s="34"/>
      <c r="T163" s="34"/>
    </row>
    <row r="164" spans="4:20" x14ac:dyDescent="0.2">
      <c r="D164" s="34"/>
      <c r="F164" s="34"/>
      <c r="H164" s="34"/>
      <c r="J164" s="34"/>
      <c r="L164" s="34"/>
      <c r="N164" s="34"/>
      <c r="P164" s="34"/>
      <c r="R164" s="34"/>
      <c r="T164" s="34"/>
    </row>
    <row r="165" spans="4:20" x14ac:dyDescent="0.2">
      <c r="D165" s="34"/>
      <c r="F165" s="34"/>
      <c r="H165" s="34"/>
      <c r="J165" s="34"/>
      <c r="L165" s="34"/>
      <c r="N165" s="34"/>
      <c r="P165" s="34"/>
      <c r="R165" s="34"/>
      <c r="T165" s="34"/>
    </row>
    <row r="166" spans="4:20" x14ac:dyDescent="0.2">
      <c r="D166" s="34"/>
      <c r="F166" s="34"/>
      <c r="H166" s="34"/>
      <c r="J166" s="34"/>
      <c r="L166" s="34"/>
      <c r="N166" s="34"/>
      <c r="P166" s="34"/>
      <c r="R166" s="34"/>
      <c r="T166" s="34"/>
    </row>
    <row r="167" spans="4:20" x14ac:dyDescent="0.2">
      <c r="D167" s="34"/>
      <c r="F167" s="34"/>
      <c r="H167" s="34"/>
      <c r="J167" s="34"/>
      <c r="L167" s="34"/>
      <c r="N167" s="34"/>
      <c r="P167" s="34"/>
      <c r="R167" s="34"/>
      <c r="T167" s="34"/>
    </row>
    <row r="168" spans="4:20" x14ac:dyDescent="0.2">
      <c r="D168" s="34"/>
      <c r="F168" s="34"/>
      <c r="H168" s="34"/>
      <c r="J168" s="34"/>
      <c r="L168" s="34"/>
      <c r="N168" s="34"/>
      <c r="P168" s="34"/>
      <c r="R168" s="34"/>
      <c r="T168" s="34"/>
    </row>
    <row r="169" spans="4:20" x14ac:dyDescent="0.2">
      <c r="D169" s="34"/>
      <c r="F169" s="34"/>
      <c r="H169" s="34"/>
      <c r="J169" s="34"/>
      <c r="L169" s="34"/>
      <c r="N169" s="34"/>
      <c r="P169" s="34"/>
      <c r="R169" s="34"/>
      <c r="T169" s="34"/>
    </row>
    <row r="170" spans="4:20" x14ac:dyDescent="0.2">
      <c r="D170" s="34"/>
      <c r="F170" s="34"/>
      <c r="H170" s="34"/>
      <c r="J170" s="34"/>
      <c r="L170" s="34"/>
      <c r="N170" s="34"/>
      <c r="P170" s="34"/>
      <c r="R170" s="34"/>
      <c r="T170" s="34"/>
    </row>
    <row r="171" spans="4:20" x14ac:dyDescent="0.2">
      <c r="D171" s="34"/>
      <c r="F171" s="34"/>
      <c r="H171" s="34"/>
      <c r="J171" s="34"/>
      <c r="L171" s="34"/>
      <c r="N171" s="34"/>
      <c r="P171" s="34"/>
      <c r="R171" s="34"/>
      <c r="T171" s="34"/>
    </row>
    <row r="172" spans="4:20" x14ac:dyDescent="0.2">
      <c r="D172" s="34"/>
      <c r="F172" s="34"/>
      <c r="H172" s="34"/>
      <c r="J172" s="34"/>
      <c r="L172" s="34"/>
      <c r="N172" s="34"/>
      <c r="P172" s="34"/>
      <c r="R172" s="34"/>
      <c r="T172" s="34"/>
    </row>
    <row r="173" spans="4:20" x14ac:dyDescent="0.2">
      <c r="D173" s="34"/>
      <c r="F173" s="34"/>
      <c r="H173" s="34"/>
      <c r="J173" s="34"/>
      <c r="L173" s="34"/>
      <c r="N173" s="34"/>
      <c r="P173" s="34"/>
      <c r="R173" s="34"/>
      <c r="T173" s="34"/>
    </row>
    <row r="174" spans="4:20" x14ac:dyDescent="0.2">
      <c r="D174" s="34"/>
      <c r="F174" s="34"/>
      <c r="H174" s="34"/>
      <c r="J174" s="34"/>
      <c r="L174" s="34"/>
      <c r="N174" s="34"/>
      <c r="P174" s="34"/>
      <c r="R174" s="34"/>
      <c r="T174" s="34"/>
    </row>
    <row r="175" spans="4:20" x14ac:dyDescent="0.2">
      <c r="D175" s="34"/>
      <c r="F175" s="34"/>
      <c r="H175" s="34"/>
      <c r="J175" s="34"/>
      <c r="L175" s="34"/>
      <c r="N175" s="34"/>
      <c r="P175" s="34"/>
      <c r="R175" s="34"/>
      <c r="T175" s="34"/>
    </row>
    <row r="176" spans="4:20" x14ac:dyDescent="0.2">
      <c r="D176" s="34"/>
      <c r="F176" s="34"/>
      <c r="H176" s="34"/>
      <c r="J176" s="34"/>
      <c r="L176" s="34"/>
      <c r="N176" s="34"/>
      <c r="P176" s="34"/>
      <c r="R176" s="34"/>
      <c r="T176" s="34"/>
    </row>
    <row r="177" spans="4:20" x14ac:dyDescent="0.2">
      <c r="D177" s="34"/>
      <c r="F177" s="34"/>
      <c r="H177" s="34"/>
      <c r="J177" s="34"/>
      <c r="L177" s="34"/>
      <c r="N177" s="34"/>
      <c r="P177" s="34"/>
      <c r="R177" s="34"/>
      <c r="T177" s="34"/>
    </row>
    <row r="178" spans="4:20" x14ac:dyDescent="0.2">
      <c r="D178" s="34"/>
      <c r="F178" s="34"/>
      <c r="H178" s="34"/>
      <c r="J178" s="34"/>
      <c r="L178" s="34"/>
      <c r="N178" s="34"/>
      <c r="P178" s="34"/>
      <c r="R178" s="34"/>
      <c r="T178" s="34"/>
    </row>
    <row r="179" spans="4:20" x14ac:dyDescent="0.2">
      <c r="D179" s="34"/>
      <c r="F179" s="34"/>
      <c r="H179" s="34"/>
      <c r="J179" s="34"/>
      <c r="L179" s="34"/>
      <c r="N179" s="34"/>
      <c r="P179" s="34"/>
      <c r="R179" s="34"/>
      <c r="T179" s="34"/>
    </row>
    <row r="180" spans="4:20" x14ac:dyDescent="0.2">
      <c r="D180" s="34"/>
      <c r="F180" s="34"/>
      <c r="H180" s="34"/>
      <c r="J180" s="34"/>
      <c r="L180" s="34"/>
      <c r="N180" s="34"/>
      <c r="P180" s="34"/>
      <c r="R180" s="34"/>
      <c r="T180" s="34"/>
    </row>
    <row r="181" spans="4:20" x14ac:dyDescent="0.2">
      <c r="D181" s="34"/>
      <c r="F181" s="34"/>
      <c r="H181" s="34"/>
      <c r="J181" s="34"/>
      <c r="L181" s="34"/>
      <c r="N181" s="34"/>
      <c r="P181" s="34"/>
      <c r="R181" s="34"/>
      <c r="T181" s="34"/>
    </row>
    <row r="182" spans="4:20" x14ac:dyDescent="0.2">
      <c r="D182" s="34"/>
      <c r="F182" s="34"/>
      <c r="H182" s="34"/>
      <c r="J182" s="34"/>
      <c r="L182" s="34"/>
      <c r="N182" s="34"/>
      <c r="P182" s="34"/>
      <c r="R182" s="34"/>
      <c r="T182" s="34"/>
    </row>
    <row r="183" spans="4:20" x14ac:dyDescent="0.2">
      <c r="D183" s="34"/>
      <c r="F183" s="34"/>
      <c r="H183" s="34"/>
      <c r="J183" s="34"/>
      <c r="L183" s="34"/>
      <c r="N183" s="34"/>
      <c r="P183" s="34"/>
      <c r="R183" s="34"/>
      <c r="T183" s="34"/>
    </row>
    <row r="184" spans="4:20" x14ac:dyDescent="0.2">
      <c r="D184" s="34"/>
      <c r="F184" s="34"/>
      <c r="H184" s="34"/>
      <c r="J184" s="34"/>
      <c r="L184" s="34"/>
      <c r="N184" s="34"/>
      <c r="P184" s="34"/>
      <c r="R184" s="34"/>
      <c r="T184" s="34"/>
    </row>
    <row r="185" spans="4:20" x14ac:dyDescent="0.2">
      <c r="D185" s="34"/>
      <c r="F185" s="34"/>
      <c r="H185" s="34"/>
      <c r="J185" s="34"/>
      <c r="L185" s="34"/>
      <c r="N185" s="34"/>
      <c r="P185" s="34"/>
      <c r="R185" s="34"/>
      <c r="T185" s="34"/>
    </row>
    <row r="186" spans="4:20" x14ac:dyDescent="0.2">
      <c r="D186" s="34"/>
      <c r="F186" s="34"/>
      <c r="H186" s="34"/>
      <c r="J186" s="34"/>
      <c r="L186" s="34"/>
      <c r="N186" s="34"/>
      <c r="P186" s="34"/>
      <c r="R186" s="34"/>
      <c r="T186" s="34"/>
    </row>
    <row r="187" spans="4:20" x14ac:dyDescent="0.2">
      <c r="D187" s="34"/>
      <c r="F187" s="34"/>
      <c r="H187" s="34"/>
      <c r="J187" s="34"/>
      <c r="L187" s="34"/>
      <c r="N187" s="34"/>
      <c r="P187" s="34"/>
      <c r="R187" s="34"/>
      <c r="T187" s="34"/>
    </row>
    <row r="188" spans="4:20" x14ac:dyDescent="0.2">
      <c r="D188" s="34"/>
      <c r="F188" s="34"/>
      <c r="H188" s="34"/>
      <c r="J188" s="34"/>
      <c r="L188" s="34"/>
      <c r="N188" s="34"/>
      <c r="P188" s="34"/>
      <c r="R188" s="34"/>
      <c r="T188" s="34"/>
    </row>
    <row r="189" spans="4:20" x14ac:dyDescent="0.2">
      <c r="D189" s="34"/>
      <c r="F189" s="34"/>
      <c r="H189" s="34"/>
      <c r="J189" s="34"/>
      <c r="L189" s="34"/>
      <c r="N189" s="34"/>
      <c r="P189" s="34"/>
      <c r="R189" s="34"/>
      <c r="T189" s="34"/>
    </row>
    <row r="190" spans="4:20" x14ac:dyDescent="0.2">
      <c r="D190" s="34"/>
      <c r="F190" s="34"/>
      <c r="H190" s="34"/>
      <c r="J190" s="34"/>
      <c r="L190" s="34"/>
      <c r="N190" s="34"/>
      <c r="P190" s="34"/>
      <c r="R190" s="34"/>
      <c r="T190" s="34"/>
    </row>
    <row r="191" spans="4:20" x14ac:dyDescent="0.2">
      <c r="D191" s="34"/>
      <c r="F191" s="34"/>
      <c r="H191" s="34"/>
      <c r="J191" s="34"/>
      <c r="L191" s="34"/>
      <c r="N191" s="34"/>
      <c r="P191" s="34"/>
      <c r="R191" s="34"/>
      <c r="T191" s="34"/>
    </row>
    <row r="192" spans="4:20" x14ac:dyDescent="0.2">
      <c r="D192" s="34"/>
      <c r="F192" s="34"/>
      <c r="H192" s="34"/>
      <c r="J192" s="34"/>
      <c r="L192" s="34"/>
      <c r="N192" s="34"/>
      <c r="P192" s="34"/>
      <c r="R192" s="34"/>
      <c r="T192" s="34"/>
    </row>
    <row r="193" spans="4:20" x14ac:dyDescent="0.2">
      <c r="D193" s="34"/>
      <c r="F193" s="34"/>
      <c r="H193" s="34"/>
      <c r="J193" s="34"/>
      <c r="L193" s="34"/>
      <c r="N193" s="34"/>
      <c r="P193" s="34"/>
      <c r="R193" s="34"/>
      <c r="T193" s="34"/>
    </row>
    <row r="194" spans="4:20" x14ac:dyDescent="0.2">
      <c r="D194" s="34"/>
      <c r="F194" s="34"/>
      <c r="H194" s="34"/>
      <c r="J194" s="34"/>
      <c r="L194" s="34"/>
      <c r="N194" s="34"/>
      <c r="P194" s="34"/>
      <c r="R194" s="34"/>
      <c r="T194" s="34"/>
    </row>
    <row r="195" spans="4:20" x14ac:dyDescent="0.2">
      <c r="D195" s="34"/>
      <c r="F195" s="34"/>
      <c r="H195" s="34"/>
      <c r="J195" s="34"/>
      <c r="L195" s="34"/>
      <c r="N195" s="34"/>
      <c r="P195" s="34"/>
      <c r="R195" s="34"/>
      <c r="T195" s="34"/>
    </row>
    <row r="196" spans="4:20" x14ac:dyDescent="0.2">
      <c r="D196" s="34"/>
      <c r="F196" s="34"/>
      <c r="H196" s="34"/>
      <c r="J196" s="34"/>
      <c r="L196" s="34"/>
      <c r="N196" s="34"/>
      <c r="P196" s="34"/>
      <c r="R196" s="34"/>
      <c r="T196" s="34"/>
    </row>
    <row r="197" spans="4:20" x14ac:dyDescent="0.2">
      <c r="D197" s="34"/>
      <c r="F197" s="34"/>
      <c r="H197" s="34"/>
      <c r="J197" s="34"/>
      <c r="L197" s="34"/>
      <c r="N197" s="34"/>
      <c r="P197" s="34"/>
      <c r="R197" s="34"/>
      <c r="T197" s="34"/>
    </row>
    <row r="198" spans="4:20" x14ac:dyDescent="0.2">
      <c r="D198" s="34"/>
      <c r="F198" s="34"/>
      <c r="H198" s="34"/>
      <c r="J198" s="34"/>
      <c r="L198" s="34"/>
      <c r="N198" s="34"/>
      <c r="P198" s="34"/>
      <c r="R198" s="34"/>
      <c r="T198" s="34"/>
    </row>
    <row r="199" spans="4:20" x14ac:dyDescent="0.2">
      <c r="D199" s="34"/>
      <c r="F199" s="34"/>
      <c r="H199" s="34"/>
      <c r="J199" s="34"/>
      <c r="L199" s="34"/>
      <c r="N199" s="34"/>
      <c r="P199" s="34"/>
      <c r="R199" s="34"/>
      <c r="T199" s="34"/>
    </row>
    <row r="200" spans="4:20" x14ac:dyDescent="0.2">
      <c r="D200" s="34"/>
      <c r="F200" s="34"/>
      <c r="H200" s="34"/>
      <c r="J200" s="34"/>
      <c r="L200" s="34"/>
      <c r="N200" s="34"/>
      <c r="P200" s="34"/>
      <c r="R200" s="34"/>
      <c r="T200" s="34"/>
    </row>
    <row r="201" spans="4:20" x14ac:dyDescent="0.2">
      <c r="D201" s="34"/>
      <c r="F201" s="34"/>
      <c r="H201" s="34"/>
      <c r="J201" s="34"/>
      <c r="L201" s="34"/>
      <c r="N201" s="34"/>
      <c r="P201" s="34"/>
      <c r="R201" s="34"/>
      <c r="T201" s="34"/>
    </row>
    <row r="202" spans="4:20" x14ac:dyDescent="0.2">
      <c r="D202" s="34"/>
      <c r="F202" s="34"/>
      <c r="H202" s="34"/>
      <c r="J202" s="34"/>
      <c r="L202" s="34"/>
      <c r="N202" s="34"/>
      <c r="P202" s="34"/>
      <c r="R202" s="34"/>
      <c r="T202" s="34"/>
    </row>
    <row r="203" spans="4:20" x14ac:dyDescent="0.2">
      <c r="D203" s="34"/>
      <c r="F203" s="34"/>
      <c r="H203" s="34"/>
      <c r="J203" s="34"/>
      <c r="L203" s="34"/>
      <c r="N203" s="34"/>
      <c r="P203" s="34"/>
      <c r="R203" s="34"/>
      <c r="T203" s="34"/>
    </row>
    <row r="204" spans="4:20" x14ac:dyDescent="0.2">
      <c r="D204" s="34"/>
      <c r="F204" s="34"/>
      <c r="H204" s="34"/>
      <c r="J204" s="34"/>
      <c r="L204" s="34"/>
      <c r="N204" s="34"/>
      <c r="P204" s="34"/>
      <c r="R204" s="34"/>
      <c r="T204" s="34"/>
    </row>
    <row r="205" spans="4:20" x14ac:dyDescent="0.2">
      <c r="D205" s="34"/>
      <c r="F205" s="34"/>
      <c r="H205" s="34"/>
      <c r="J205" s="34"/>
      <c r="L205" s="34"/>
      <c r="N205" s="34"/>
      <c r="P205" s="34"/>
      <c r="R205" s="34"/>
      <c r="T205" s="34"/>
    </row>
    <row r="206" spans="4:20" x14ac:dyDescent="0.2">
      <c r="D206" s="34"/>
      <c r="F206" s="34"/>
      <c r="H206" s="34"/>
      <c r="J206" s="34"/>
      <c r="L206" s="34"/>
      <c r="N206" s="34"/>
      <c r="P206" s="34"/>
      <c r="R206" s="34"/>
      <c r="T206" s="34"/>
    </row>
    <row r="207" spans="4:20" x14ac:dyDescent="0.2">
      <c r="D207" s="34"/>
      <c r="F207" s="34"/>
      <c r="H207" s="34"/>
      <c r="J207" s="34"/>
      <c r="L207" s="34"/>
      <c r="N207" s="34"/>
      <c r="P207" s="34"/>
      <c r="R207" s="34"/>
      <c r="T207" s="34"/>
    </row>
    <row r="208" spans="4:20" x14ac:dyDescent="0.2">
      <c r="D208" s="34"/>
      <c r="F208" s="34"/>
      <c r="H208" s="34"/>
      <c r="J208" s="34"/>
      <c r="L208" s="34"/>
      <c r="N208" s="34"/>
      <c r="P208" s="34"/>
      <c r="R208" s="34"/>
      <c r="T208" s="34"/>
    </row>
    <row r="209" spans="4:20" x14ac:dyDescent="0.2">
      <c r="D209" s="34"/>
      <c r="F209" s="34"/>
      <c r="H209" s="34"/>
      <c r="J209" s="34"/>
      <c r="L209" s="34"/>
      <c r="N209" s="34"/>
      <c r="P209" s="34"/>
      <c r="R209" s="34"/>
      <c r="T209" s="34"/>
    </row>
    <row r="210" spans="4:20" x14ac:dyDescent="0.2">
      <c r="D210" s="34"/>
      <c r="F210" s="34"/>
      <c r="H210" s="34"/>
      <c r="J210" s="34"/>
      <c r="L210" s="34"/>
      <c r="N210" s="34"/>
      <c r="P210" s="34"/>
      <c r="R210" s="34"/>
      <c r="T210" s="34"/>
    </row>
    <row r="211" spans="4:20" x14ac:dyDescent="0.2">
      <c r="D211" s="34"/>
      <c r="F211" s="34"/>
      <c r="H211" s="34"/>
      <c r="J211" s="34"/>
      <c r="L211" s="34"/>
      <c r="N211" s="34"/>
      <c r="P211" s="34"/>
      <c r="R211" s="34"/>
      <c r="T211" s="34"/>
    </row>
    <row r="212" spans="4:20" x14ac:dyDescent="0.2">
      <c r="D212" s="34"/>
      <c r="F212" s="34"/>
      <c r="H212" s="34"/>
      <c r="J212" s="34"/>
      <c r="L212" s="34"/>
      <c r="N212" s="34"/>
      <c r="P212" s="34"/>
      <c r="R212" s="34"/>
      <c r="T212" s="34"/>
    </row>
    <row r="213" spans="4:20" x14ac:dyDescent="0.2">
      <c r="D213" s="34"/>
      <c r="F213" s="34"/>
      <c r="H213" s="34"/>
      <c r="J213" s="34"/>
      <c r="L213" s="34"/>
      <c r="N213" s="34"/>
      <c r="P213" s="34"/>
      <c r="R213" s="34"/>
      <c r="T213" s="34"/>
    </row>
    <row r="214" spans="4:20" x14ac:dyDescent="0.2">
      <c r="D214" s="34"/>
      <c r="F214" s="34"/>
      <c r="H214" s="34"/>
      <c r="J214" s="34"/>
      <c r="L214" s="34"/>
      <c r="N214" s="34"/>
      <c r="P214" s="34"/>
      <c r="R214" s="34"/>
      <c r="T214" s="34"/>
    </row>
    <row r="215" spans="4:20" x14ac:dyDescent="0.2">
      <c r="D215" s="34"/>
      <c r="F215" s="34"/>
      <c r="H215" s="34"/>
      <c r="J215" s="34"/>
      <c r="L215" s="34"/>
      <c r="N215" s="34"/>
      <c r="P215" s="34"/>
      <c r="R215" s="34"/>
      <c r="T215" s="34"/>
    </row>
    <row r="216" spans="4:20" x14ac:dyDescent="0.2">
      <c r="D216" s="34"/>
      <c r="F216" s="34"/>
      <c r="H216" s="34"/>
      <c r="J216" s="34"/>
      <c r="L216" s="34"/>
      <c r="N216" s="34"/>
      <c r="P216" s="34"/>
      <c r="R216" s="34"/>
      <c r="T216" s="34"/>
    </row>
    <row r="217" spans="4:20" x14ac:dyDescent="0.2">
      <c r="D217" s="34"/>
      <c r="F217" s="34"/>
      <c r="H217" s="34"/>
      <c r="J217" s="34"/>
      <c r="L217" s="34"/>
      <c r="N217" s="34"/>
      <c r="P217" s="34"/>
      <c r="R217" s="34"/>
      <c r="T217" s="34"/>
    </row>
    <row r="218" spans="4:20" x14ac:dyDescent="0.2">
      <c r="D218" s="34"/>
      <c r="F218" s="34"/>
      <c r="H218" s="34"/>
      <c r="J218" s="34"/>
      <c r="L218" s="34"/>
      <c r="N218" s="34"/>
      <c r="P218" s="34"/>
      <c r="R218" s="34"/>
      <c r="T218" s="34"/>
    </row>
    <row r="219" spans="4:20" x14ac:dyDescent="0.2">
      <c r="D219" s="34"/>
      <c r="F219" s="34"/>
      <c r="H219" s="34"/>
      <c r="J219" s="34"/>
      <c r="L219" s="34"/>
      <c r="N219" s="34"/>
      <c r="P219" s="34"/>
      <c r="R219" s="34"/>
      <c r="T219" s="34"/>
    </row>
    <row r="220" spans="4:20" x14ac:dyDescent="0.2">
      <c r="D220" s="34"/>
      <c r="F220" s="34"/>
      <c r="H220" s="34"/>
      <c r="J220" s="34"/>
      <c r="L220" s="34"/>
      <c r="N220" s="34"/>
      <c r="P220" s="34"/>
      <c r="R220" s="34"/>
      <c r="T220" s="34"/>
    </row>
    <row r="221" spans="4:20" x14ac:dyDescent="0.2">
      <c r="D221" s="34"/>
      <c r="F221" s="34"/>
      <c r="H221" s="34"/>
      <c r="J221" s="34"/>
      <c r="L221" s="34"/>
      <c r="N221" s="34"/>
      <c r="P221" s="34"/>
      <c r="R221" s="34"/>
      <c r="T221" s="34"/>
    </row>
    <row r="222" spans="4:20" x14ac:dyDescent="0.2">
      <c r="D222" s="34"/>
      <c r="F222" s="34"/>
      <c r="H222" s="34"/>
      <c r="J222" s="34"/>
      <c r="L222" s="34"/>
      <c r="N222" s="34"/>
      <c r="P222" s="34"/>
      <c r="R222" s="34"/>
      <c r="T222" s="34"/>
    </row>
    <row r="223" spans="4:20" x14ac:dyDescent="0.2">
      <c r="D223" s="34"/>
      <c r="F223" s="34"/>
      <c r="H223" s="34"/>
      <c r="J223" s="34"/>
      <c r="L223" s="34"/>
      <c r="N223" s="34"/>
      <c r="P223" s="34"/>
      <c r="R223" s="34"/>
      <c r="T223" s="34"/>
    </row>
    <row r="224" spans="4:20" x14ac:dyDescent="0.2">
      <c r="D224" s="34"/>
      <c r="F224" s="34"/>
      <c r="H224" s="34"/>
      <c r="J224" s="34"/>
      <c r="L224" s="34"/>
      <c r="N224" s="34"/>
      <c r="P224" s="34"/>
      <c r="R224" s="34"/>
      <c r="T224" s="34"/>
    </row>
    <row r="225" spans="4:20" x14ac:dyDescent="0.2">
      <c r="D225" s="34"/>
      <c r="F225" s="34"/>
      <c r="H225" s="34"/>
      <c r="J225" s="34"/>
      <c r="L225" s="34"/>
      <c r="N225" s="34"/>
      <c r="P225" s="34"/>
      <c r="R225" s="34"/>
      <c r="T225" s="34"/>
    </row>
    <row r="226" spans="4:20" x14ac:dyDescent="0.2">
      <c r="D226" s="34"/>
      <c r="F226" s="34"/>
      <c r="H226" s="34"/>
      <c r="J226" s="34"/>
      <c r="L226" s="34"/>
      <c r="N226" s="34"/>
      <c r="P226" s="34"/>
      <c r="R226" s="34"/>
      <c r="T226" s="34"/>
    </row>
    <row r="227" spans="4:20" x14ac:dyDescent="0.2">
      <c r="D227" s="34"/>
      <c r="F227" s="34"/>
      <c r="H227" s="34"/>
      <c r="J227" s="34"/>
      <c r="L227" s="34"/>
      <c r="N227" s="34"/>
      <c r="P227" s="34"/>
      <c r="R227" s="34"/>
      <c r="T227" s="34"/>
    </row>
    <row r="228" spans="4:20" x14ac:dyDescent="0.2">
      <c r="D228" s="34"/>
      <c r="F228" s="34"/>
      <c r="H228" s="34"/>
      <c r="J228" s="34"/>
      <c r="L228" s="34"/>
      <c r="N228" s="34"/>
      <c r="P228" s="34"/>
      <c r="R228" s="34"/>
      <c r="T228" s="34"/>
    </row>
    <row r="229" spans="4:20" x14ac:dyDescent="0.2">
      <c r="D229" s="34"/>
      <c r="F229" s="34"/>
      <c r="H229" s="34"/>
      <c r="J229" s="34"/>
      <c r="L229" s="34"/>
      <c r="N229" s="34"/>
      <c r="P229" s="34"/>
      <c r="R229" s="34"/>
      <c r="T229" s="34"/>
    </row>
    <row r="230" spans="4:20" x14ac:dyDescent="0.2">
      <c r="D230" s="34"/>
      <c r="F230" s="34"/>
      <c r="H230" s="34"/>
      <c r="J230" s="34"/>
      <c r="L230" s="34"/>
      <c r="N230" s="34"/>
      <c r="P230" s="34"/>
      <c r="R230" s="34"/>
      <c r="T230" s="34"/>
    </row>
    <row r="231" spans="4:20" x14ac:dyDescent="0.2">
      <c r="D231" s="34"/>
      <c r="F231" s="34"/>
      <c r="H231" s="34"/>
      <c r="J231" s="34"/>
      <c r="L231" s="34"/>
      <c r="N231" s="34"/>
      <c r="P231" s="34"/>
      <c r="R231" s="34"/>
      <c r="T231" s="34"/>
    </row>
    <row r="232" spans="4:20" x14ac:dyDescent="0.2">
      <c r="D232" s="34"/>
      <c r="F232" s="34"/>
      <c r="H232" s="34"/>
      <c r="J232" s="34"/>
      <c r="L232" s="34"/>
      <c r="N232" s="34"/>
      <c r="P232" s="34"/>
      <c r="R232" s="34"/>
      <c r="T232" s="34"/>
    </row>
    <row r="233" spans="4:20" x14ac:dyDescent="0.2">
      <c r="D233" s="34"/>
      <c r="F233" s="34"/>
      <c r="H233" s="34"/>
      <c r="J233" s="34"/>
      <c r="L233" s="34"/>
      <c r="N233" s="34"/>
      <c r="P233" s="34"/>
      <c r="R233" s="34"/>
      <c r="T233" s="34"/>
    </row>
    <row r="234" spans="4:20" x14ac:dyDescent="0.2">
      <c r="D234" s="34"/>
      <c r="F234" s="34"/>
      <c r="H234" s="34"/>
      <c r="J234" s="34"/>
      <c r="L234" s="34"/>
      <c r="N234" s="34"/>
      <c r="P234" s="34"/>
      <c r="R234" s="34"/>
      <c r="T234" s="34"/>
    </row>
    <row r="235" spans="4:20" x14ac:dyDescent="0.2">
      <c r="D235" s="34"/>
      <c r="F235" s="34"/>
      <c r="H235" s="34"/>
      <c r="J235" s="34"/>
      <c r="L235" s="34"/>
      <c r="N235" s="34"/>
      <c r="P235" s="34"/>
      <c r="R235" s="34"/>
      <c r="T235" s="34"/>
    </row>
    <row r="236" spans="4:20" x14ac:dyDescent="0.2">
      <c r="D236" s="34"/>
      <c r="F236" s="34"/>
      <c r="H236" s="34"/>
      <c r="J236" s="34"/>
      <c r="L236" s="34"/>
      <c r="N236" s="34"/>
      <c r="P236" s="34"/>
      <c r="R236" s="34"/>
      <c r="T236" s="34"/>
    </row>
    <row r="237" spans="4:20" x14ac:dyDescent="0.2">
      <c r="D237" s="34"/>
      <c r="F237" s="34"/>
      <c r="H237" s="34"/>
      <c r="J237" s="34"/>
      <c r="L237" s="34"/>
      <c r="N237" s="34"/>
      <c r="P237" s="34"/>
      <c r="R237" s="34"/>
      <c r="T237" s="34"/>
    </row>
    <row r="238" spans="4:20" x14ac:dyDescent="0.2">
      <c r="D238" s="34"/>
      <c r="F238" s="34"/>
      <c r="H238" s="34"/>
      <c r="J238" s="34"/>
      <c r="L238" s="34"/>
      <c r="N238" s="34"/>
      <c r="P238" s="34"/>
      <c r="R238" s="34"/>
      <c r="T238" s="34"/>
    </row>
    <row r="239" spans="4:20" x14ac:dyDescent="0.2">
      <c r="D239" s="34"/>
      <c r="F239" s="34"/>
      <c r="H239" s="34"/>
      <c r="J239" s="34"/>
      <c r="L239" s="34"/>
      <c r="N239" s="34"/>
      <c r="P239" s="34"/>
      <c r="R239" s="34"/>
      <c r="T239" s="34"/>
    </row>
    <row r="240" spans="4:20" x14ac:dyDescent="0.2">
      <c r="D240" s="34"/>
      <c r="F240" s="34"/>
      <c r="H240" s="34"/>
      <c r="J240" s="34"/>
      <c r="L240" s="34"/>
      <c r="N240" s="34"/>
      <c r="P240" s="34"/>
      <c r="R240" s="34"/>
      <c r="T240" s="34"/>
    </row>
    <row r="241" spans="4:20" x14ac:dyDescent="0.2">
      <c r="D241" s="34"/>
      <c r="F241" s="34"/>
      <c r="H241" s="34"/>
      <c r="J241" s="34"/>
      <c r="L241" s="34"/>
      <c r="N241" s="34"/>
      <c r="P241" s="34"/>
      <c r="R241" s="34"/>
      <c r="T241" s="34"/>
    </row>
    <row r="242" spans="4:20" x14ac:dyDescent="0.2">
      <c r="D242" s="34"/>
      <c r="F242" s="34"/>
      <c r="H242" s="34"/>
      <c r="J242" s="34"/>
      <c r="L242" s="34"/>
      <c r="N242" s="34"/>
      <c r="P242" s="34"/>
      <c r="R242" s="34"/>
      <c r="T242" s="34"/>
    </row>
    <row r="243" spans="4:20" x14ac:dyDescent="0.2">
      <c r="D243" s="34"/>
      <c r="F243" s="34"/>
      <c r="H243" s="34"/>
      <c r="J243" s="34"/>
      <c r="L243" s="34"/>
      <c r="N243" s="34"/>
      <c r="P243" s="34"/>
      <c r="R243" s="34"/>
      <c r="T243" s="34"/>
    </row>
    <row r="244" spans="4:20" x14ac:dyDescent="0.2">
      <c r="D244" s="34"/>
      <c r="F244" s="34"/>
      <c r="H244" s="34"/>
      <c r="J244" s="34"/>
      <c r="L244" s="34"/>
      <c r="N244" s="34"/>
      <c r="P244" s="34"/>
      <c r="R244" s="34"/>
      <c r="T244" s="34"/>
    </row>
    <row r="245" spans="4:20" x14ac:dyDescent="0.2">
      <c r="D245" s="34"/>
      <c r="F245" s="34"/>
      <c r="H245" s="34"/>
      <c r="J245" s="34"/>
      <c r="L245" s="34"/>
      <c r="N245" s="34"/>
      <c r="P245" s="34"/>
      <c r="R245" s="34"/>
      <c r="T245" s="34"/>
    </row>
    <row r="246" spans="4:20" x14ac:dyDescent="0.2">
      <c r="D246" s="34"/>
      <c r="F246" s="34"/>
      <c r="H246" s="34"/>
      <c r="J246" s="34"/>
      <c r="L246" s="34"/>
      <c r="N246" s="34"/>
      <c r="P246" s="34"/>
      <c r="R246" s="34"/>
      <c r="T246" s="34"/>
    </row>
    <row r="247" spans="4:20" x14ac:dyDescent="0.2">
      <c r="D247" s="34"/>
      <c r="F247" s="34"/>
      <c r="H247" s="34"/>
      <c r="J247" s="34"/>
      <c r="L247" s="34"/>
      <c r="N247" s="34"/>
      <c r="P247" s="34"/>
      <c r="R247" s="34"/>
      <c r="T247" s="34"/>
    </row>
    <row r="248" spans="4:20" x14ac:dyDescent="0.2">
      <c r="D248" s="34"/>
      <c r="F248" s="34"/>
      <c r="H248" s="34"/>
      <c r="J248" s="34"/>
      <c r="L248" s="34"/>
      <c r="N248" s="34"/>
      <c r="P248" s="34"/>
      <c r="R248" s="34"/>
      <c r="T248" s="34"/>
    </row>
    <row r="249" spans="4:20" x14ac:dyDescent="0.2">
      <c r="D249" s="34"/>
      <c r="F249" s="34"/>
      <c r="H249" s="34"/>
      <c r="J249" s="34"/>
      <c r="L249" s="34"/>
      <c r="N249" s="34"/>
      <c r="P249" s="34"/>
      <c r="R249" s="34"/>
      <c r="T249" s="34"/>
    </row>
    <row r="250" spans="4:20" x14ac:dyDescent="0.2">
      <c r="D250" s="34"/>
      <c r="F250" s="34"/>
      <c r="H250" s="34"/>
      <c r="J250" s="34"/>
      <c r="L250" s="34"/>
      <c r="N250" s="34"/>
      <c r="P250" s="34"/>
      <c r="R250" s="34"/>
      <c r="T250" s="34"/>
    </row>
    <row r="251" spans="4:20" x14ac:dyDescent="0.2">
      <c r="D251" s="34"/>
      <c r="F251" s="34"/>
      <c r="H251" s="34"/>
      <c r="J251" s="34"/>
      <c r="L251" s="34"/>
      <c r="N251" s="34"/>
      <c r="P251" s="34"/>
      <c r="R251" s="34"/>
      <c r="T251" s="34"/>
    </row>
    <row r="252" spans="4:20" x14ac:dyDescent="0.2">
      <c r="D252" s="34"/>
      <c r="F252" s="34"/>
      <c r="H252" s="34"/>
      <c r="J252" s="34"/>
      <c r="L252" s="34"/>
      <c r="N252" s="34"/>
      <c r="P252" s="34"/>
      <c r="R252" s="34"/>
      <c r="T252" s="34"/>
    </row>
    <row r="253" spans="4:20" x14ac:dyDescent="0.2">
      <c r="D253" s="34"/>
      <c r="F253" s="34"/>
      <c r="H253" s="34"/>
      <c r="J253" s="34"/>
      <c r="L253" s="34"/>
      <c r="N253" s="34"/>
      <c r="P253" s="34"/>
      <c r="R253" s="34"/>
      <c r="T253" s="34"/>
    </row>
    <row r="254" spans="4:20" x14ac:dyDescent="0.2">
      <c r="D254" s="34"/>
      <c r="F254" s="34"/>
      <c r="H254" s="34"/>
      <c r="J254" s="34"/>
      <c r="L254" s="34"/>
      <c r="N254" s="34"/>
      <c r="P254" s="34"/>
      <c r="R254" s="34"/>
      <c r="T254" s="34"/>
    </row>
    <row r="255" spans="4:20" x14ac:dyDescent="0.2">
      <c r="D255" s="34"/>
      <c r="F255" s="34"/>
      <c r="H255" s="34"/>
      <c r="J255" s="34"/>
      <c r="L255" s="34"/>
      <c r="N255" s="34"/>
      <c r="P255" s="34"/>
      <c r="R255" s="34"/>
      <c r="T255" s="34"/>
    </row>
    <row r="256" spans="4:20" x14ac:dyDescent="0.2">
      <c r="D256" s="34"/>
      <c r="F256" s="34"/>
      <c r="H256" s="34"/>
      <c r="J256" s="34"/>
      <c r="L256" s="34"/>
      <c r="N256" s="34"/>
      <c r="P256" s="34"/>
      <c r="R256" s="34"/>
      <c r="T256" s="34"/>
    </row>
    <row r="257" spans="4:20" x14ac:dyDescent="0.2">
      <c r="D257" s="34"/>
      <c r="F257" s="34"/>
      <c r="H257" s="34"/>
      <c r="J257" s="34"/>
      <c r="L257" s="34"/>
      <c r="N257" s="34"/>
      <c r="P257" s="34"/>
      <c r="R257" s="34"/>
      <c r="T257" s="34"/>
    </row>
    <row r="258" spans="4:20" x14ac:dyDescent="0.2">
      <c r="D258" s="34"/>
      <c r="F258" s="34"/>
      <c r="H258" s="34"/>
      <c r="J258" s="34"/>
      <c r="L258" s="34"/>
      <c r="N258" s="34"/>
      <c r="P258" s="34"/>
      <c r="R258" s="34"/>
      <c r="T258" s="34"/>
    </row>
    <row r="259" spans="4:20" x14ac:dyDescent="0.2">
      <c r="D259" s="34"/>
      <c r="F259" s="34"/>
      <c r="H259" s="34"/>
      <c r="J259" s="34"/>
      <c r="L259" s="34"/>
      <c r="N259" s="34"/>
      <c r="P259" s="34"/>
      <c r="R259" s="34"/>
      <c r="T259" s="34"/>
    </row>
    <row r="260" spans="4:20" x14ac:dyDescent="0.2">
      <c r="D260" s="34"/>
      <c r="F260" s="34"/>
      <c r="H260" s="34"/>
      <c r="J260" s="34"/>
      <c r="L260" s="34"/>
      <c r="N260" s="34"/>
      <c r="P260" s="34"/>
      <c r="R260" s="34"/>
      <c r="T260" s="34"/>
    </row>
    <row r="261" spans="4:20" x14ac:dyDescent="0.2">
      <c r="D261" s="34"/>
      <c r="F261" s="34"/>
      <c r="H261" s="34"/>
      <c r="J261" s="34"/>
      <c r="L261" s="34"/>
      <c r="N261" s="34"/>
      <c r="P261" s="34"/>
      <c r="R261" s="34"/>
      <c r="T261" s="34"/>
    </row>
  </sheetData>
  <mergeCells count="3">
    <mergeCell ref="A1:S1"/>
    <mergeCell ref="A2:S2"/>
    <mergeCell ref="A3:S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zoomScale="90" zoomScaleNormal="90" workbookViewId="0">
      <selection sqref="A1:N1"/>
    </sheetView>
  </sheetViews>
  <sheetFormatPr defaultRowHeight="12.75" x14ac:dyDescent="0.2"/>
  <cols>
    <col min="1" max="1" width="39.85546875" style="3" bestFit="1" customWidth="1"/>
    <col min="2" max="2" width="25.42578125" style="14" customWidth="1"/>
    <col min="3" max="3" width="1.7109375" style="3" customWidth="1"/>
    <col min="4" max="4" width="18.140625" style="14" customWidth="1"/>
    <col min="5" max="5" width="1.7109375" style="3" customWidth="1"/>
    <col min="6" max="6" width="24" style="14" customWidth="1"/>
    <col min="7" max="7" width="1.7109375" style="3" customWidth="1"/>
    <col min="8" max="8" width="20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4" width="19.42578125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87" customFormat="1" ht="15.75" x14ac:dyDescent="0.25">
      <c r="A2" s="103" t="s">
        <v>3632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6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6" x14ac:dyDescent="0.2">
      <c r="B6" s="25" t="s">
        <v>2</v>
      </c>
      <c r="H6" s="25" t="s">
        <v>3</v>
      </c>
      <c r="L6" s="25" t="s">
        <v>4</v>
      </c>
      <c r="P6" s="12" t="s">
        <v>3633</v>
      </c>
    </row>
    <row r="7" spans="1:16" x14ac:dyDescent="0.2">
      <c r="A7" s="12" t="s">
        <v>3634</v>
      </c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3635</v>
      </c>
      <c r="P7" s="10" t="s">
        <v>3636</v>
      </c>
    </row>
    <row r="8" spans="1:16" x14ac:dyDescent="0.2">
      <c r="A8" s="12" t="s">
        <v>3637</v>
      </c>
      <c r="B8" s="11"/>
      <c r="D8" s="11"/>
      <c r="F8" s="11"/>
      <c r="H8" s="11"/>
      <c r="J8" s="11"/>
      <c r="L8" s="11"/>
    </row>
    <row r="9" spans="1:16" x14ac:dyDescent="0.2">
      <c r="A9" s="12" t="s">
        <v>3638</v>
      </c>
    </row>
    <row r="10" spans="1:16" x14ac:dyDescent="0.2">
      <c r="A10" s="12" t="s">
        <v>12</v>
      </c>
    </row>
    <row r="11" spans="1:16" x14ac:dyDescent="0.2">
      <c r="A11" s="3" t="s">
        <v>146</v>
      </c>
      <c r="B11" s="14">
        <f>'KY_Cost by Plant Acct P8 (REG)'!B11+'VA_Cost by Plant Acct P10 (REG)'!B11+'TN_Cost by Plant Acct P12 (REG)'!B11</f>
        <v>2168929.31</v>
      </c>
      <c r="C11" s="89"/>
      <c r="D11" s="14">
        <f>'KY_Cost by Plant Acct P8 (REG)'!D11+'VA_Cost by Plant Acct P10 (REG)'!D11+'TN_Cost by Plant Acct P12 (REG)'!D11</f>
        <v>0</v>
      </c>
      <c r="E11" s="89"/>
      <c r="F11" s="14">
        <f>'KY_Cost by Plant Acct P8 (REG)'!F11+'VA_Cost by Plant Acct P10 (REG)'!F11+'TN_Cost by Plant Acct P12 (REG)'!F11</f>
        <v>0</v>
      </c>
      <c r="G11" s="89"/>
      <c r="H11" s="14">
        <f>'KY_Cost by Plant Acct P8 (REG)'!H11+'VA_Cost by Plant Acct P10 (REG)'!H11+'TN_Cost by Plant Acct P12 (REG)'!H11</f>
        <v>0</v>
      </c>
      <c r="I11" s="89"/>
      <c r="J11" s="14">
        <f t="shared" ref="J11:J27" si="0">H11+F11+D11</f>
        <v>0</v>
      </c>
      <c r="K11" s="89"/>
      <c r="L11" s="14">
        <f t="shared" ref="L11:L27" si="1">J11+B11</f>
        <v>2168929.31</v>
      </c>
      <c r="N11" s="15">
        <f>'KY_Res by Plant Acct P16(REG)'!R10+'KY_Res by Plant Acct P16(REG)'!R11+'VA_Res by Plant Acct P17(REG)'!R10+'TN_Res by Plant Acct P18(REG)'!R10</f>
        <v>-1483915.1199999996</v>
      </c>
      <c r="P11" s="15">
        <f t="shared" ref="P11:P27" si="2">L11+N11</f>
        <v>685014.19000000041</v>
      </c>
    </row>
    <row r="12" spans="1:16" x14ac:dyDescent="0.2">
      <c r="A12" s="3" t="s">
        <v>147</v>
      </c>
      <c r="B12" s="14">
        <f>'KY_Cost by Plant Acct P8 (REG)'!B12+'KY_Cost by Plant Acct P8 (REG)'!B120+'VA_Cost by Plant Acct P10 (REG)'!B12+'TN_Cost by Plant Acct P12 (REG)'!B12</f>
        <v>5560045.7000000011</v>
      </c>
      <c r="C12" s="89"/>
      <c r="D12" s="14">
        <f>'KY_Cost by Plant Acct P8 (REG)'!D12+'KY_Cost by Plant Acct P8 (REG)'!D120+'VA_Cost by Plant Acct P10 (REG)'!D12+'TN_Cost by Plant Acct P12 (REG)'!D12</f>
        <v>250252.80000000002</v>
      </c>
      <c r="E12" s="89"/>
      <c r="F12" s="14">
        <f>'KY_Cost by Plant Acct P8 (REG)'!F12+'VA_Cost by Plant Acct P10 (REG)'!F12+'TN_Cost by Plant Acct P12 (REG)'!F12</f>
        <v>-14378.77</v>
      </c>
      <c r="G12" s="89"/>
      <c r="H12" s="14">
        <f>'KY_Cost by Plant Acct P8 (REG)'!H12+'KY_Cost by Plant Acct P8 (REG)'!H120+'VA_Cost by Plant Acct P10 (REG)'!H12+'TN_Cost by Plant Acct P12 (REG)'!H12</f>
        <v>-240853.29</v>
      </c>
      <c r="I12" s="89"/>
      <c r="J12" s="14">
        <f t="shared" si="0"/>
        <v>-4979.2599999999802</v>
      </c>
      <c r="K12" s="89"/>
      <c r="L12" s="14">
        <f t="shared" si="1"/>
        <v>5555066.4400000013</v>
      </c>
      <c r="N12" s="15">
        <f>'KY_Res by Plant Acct P16(REG)'!R12</f>
        <v>-7.2759576141834259E-12</v>
      </c>
      <c r="P12" s="15">
        <f t="shared" si="2"/>
        <v>5555066.4400000013</v>
      </c>
    </row>
    <row r="13" spans="1:16" x14ac:dyDescent="0.2">
      <c r="A13" s="3" t="s">
        <v>148</v>
      </c>
      <c r="B13" s="14">
        <f>'KY_Cost by Plant Acct P8 (REG)'!B13+'KY_Cost by Plant Acct P8 (REG)'!B121+'VA_Cost by Plant Acct P10 (REG)'!B13+'TN_Cost by Plant Acct P12 (REG)'!B13+'VA_Cost by Plant Acct P10 (REG)'!B62</f>
        <v>12752990.720000001</v>
      </c>
      <c r="C13" s="89"/>
      <c r="D13" s="14">
        <f>'KY_Cost by Plant Acct P8 (REG)'!D13+'KY_Cost by Plant Acct P8 (REG)'!D121+'VA_Cost by Plant Acct P10 (REG)'!D13+'TN_Cost by Plant Acct P12 (REG)'!D13+'VA_Cost by Plant Acct P10 (REG)'!D62</f>
        <v>1807106.3200000003</v>
      </c>
      <c r="E13" s="89"/>
      <c r="F13" s="14">
        <f>'KY_Cost by Plant Acct P8 (REG)'!F13+'VA_Cost by Plant Acct P10 (REG)'!F13+'TN_Cost by Plant Acct P12 (REG)'!F13</f>
        <v>-74538.539999999994</v>
      </c>
      <c r="G13" s="89"/>
      <c r="H13" s="14">
        <f>'KY_Cost by Plant Acct P8 (REG)'!H13+'KY_Cost by Plant Acct P8 (REG)'!H121+'VA_Cost by Plant Acct P10 (REG)'!H13+'TN_Cost by Plant Acct P12 (REG)'!H13+'VA_Cost by Plant Acct P10 (REG)'!H62</f>
        <v>-73624.78</v>
      </c>
      <c r="I13" s="89"/>
      <c r="J13" s="14">
        <f t="shared" si="0"/>
        <v>1658943.0000000002</v>
      </c>
      <c r="K13" s="89"/>
      <c r="L13" s="14">
        <f t="shared" si="1"/>
        <v>14411933.720000001</v>
      </c>
      <c r="N13" s="15">
        <f>'KY_Res by Plant Acct P16(REG)'!R13+'VA_Res by Plant Acct P17(REG)'!R11+'TN_Res by Plant Acct P18(REG)'!R11</f>
        <v>-2602141.7499999995</v>
      </c>
      <c r="P13" s="15">
        <f t="shared" si="2"/>
        <v>11809791.970000001</v>
      </c>
    </row>
    <row r="14" spans="1:16" x14ac:dyDescent="0.2">
      <c r="A14" s="3" t="s">
        <v>149</v>
      </c>
      <c r="B14" s="14">
        <f>'KY_Cost by Plant Acct P8 (REG)'!B14+'KY_Cost by Plant Acct P8 (REG)'!B122+'VA_Cost by Plant Acct P10 (REG)'!B14+'VA_Cost by Plant Acct P10 (REG)'!B63+'TN_Cost by Plant Acct P12 (REG)'!B14+'TN_Cost by Plant Acct P12 (REG)'!B38</f>
        <v>187778407.26000002</v>
      </c>
      <c r="C14" s="89"/>
      <c r="D14" s="14">
        <f>'KY_Cost by Plant Acct P8 (REG)'!D14+'KY_Cost by Plant Acct P8 (REG)'!D122+'VA_Cost by Plant Acct P10 (REG)'!D14+'VA_Cost by Plant Acct P10 (REG)'!D63+'TN_Cost by Plant Acct P12 (REG)'!D14+'TN_Cost by Plant Acct P12 (REG)'!D38</f>
        <v>12834657.560000001</v>
      </c>
      <c r="E14" s="89"/>
      <c r="F14" s="14">
        <f>'KY_Cost by Plant Acct P8 (REG)'!F14+'KY_Cost by Plant Acct P8 (REG)'!F122+'VA_Cost by Plant Acct P10 (REG)'!F14+'VA_Cost by Plant Acct P10 (REG)'!F63+'TN_Cost by Plant Acct P12 (REG)'!F14+'TN_Cost by Plant Acct P12 (REG)'!F38</f>
        <v>-1908263.7500000002</v>
      </c>
      <c r="G14" s="89"/>
      <c r="H14" s="14">
        <f>'KY_Cost by Plant Acct P8 (REG)'!H14+'KY_Cost by Plant Acct P8 (REG)'!H122+'VA_Cost by Plant Acct P10 (REG)'!H14+'VA_Cost by Plant Acct P10 (REG)'!H63+'TN_Cost by Plant Acct P12 (REG)'!H14+'TN_Cost by Plant Acct P12 (REG)'!H38</f>
        <v>-669308.88</v>
      </c>
      <c r="I14" s="89"/>
      <c r="J14" s="14">
        <f t="shared" si="0"/>
        <v>10257084.93</v>
      </c>
      <c r="K14" s="89"/>
      <c r="L14" s="14">
        <f t="shared" si="1"/>
        <v>198035492.19000003</v>
      </c>
      <c r="N14" s="15">
        <f>'KY_Res by Plant Acct P16(REG)'!R14+'VA_Res by Plant Acct P17(REG)'!R12+'TN_Res by Plant Acct P18(REG)'!R12</f>
        <v>-52226501.169999979</v>
      </c>
      <c r="P14" s="15">
        <f t="shared" si="2"/>
        <v>145808991.02000004</v>
      </c>
    </row>
    <row r="15" spans="1:16" x14ac:dyDescent="0.2">
      <c r="A15" s="3" t="s">
        <v>150</v>
      </c>
      <c r="B15" s="14">
        <f>'KY_Cost by Plant Acct P8 (REG)'!B15+'KY_Cost by Plant Acct P8 (REG)'!B123+'VA_Cost by Plant Acct P10 (REG)'!B15+'TN_Cost by Plant Acct P12 (REG)'!B15+'VA_Cost by Plant Acct P10 (REG)'!B64</f>
        <v>376412777.64999992</v>
      </c>
      <c r="C15" s="89"/>
      <c r="D15" s="14">
        <f>'KY_Cost by Plant Acct P8 (REG)'!D15+'KY_Cost by Plant Acct P8 (REG)'!D123+'VA_Cost by Plant Acct P10 (REG)'!D15+'TN_Cost by Plant Acct P12 (REG)'!D15+'VA_Cost by Plant Acct P10 (REG)'!D64</f>
        <v>14537061.24</v>
      </c>
      <c r="E15" s="89"/>
      <c r="F15" s="14">
        <f>'KY_Cost by Plant Acct P8 (REG)'!F15+'VA_Cost by Plant Acct P10 (REG)'!F15+'TN_Cost by Plant Acct P12 (REG)'!F15</f>
        <v>-1857902.1500000001</v>
      </c>
      <c r="G15" s="89"/>
      <c r="H15" s="14">
        <f>'KY_Cost by Plant Acct P8 (REG)'!H15+'KY_Cost by Plant Acct P8 (REG)'!H123+'VA_Cost by Plant Acct P10 (REG)'!H15+'TN_Cost by Plant Acct P12 (REG)'!H15+'VA_Cost by Plant Acct P10 (REG)'!H64</f>
        <v>0</v>
      </c>
      <c r="I15" s="89"/>
      <c r="J15" s="14">
        <f t="shared" si="0"/>
        <v>12679159.09</v>
      </c>
      <c r="K15" s="89"/>
      <c r="L15" s="14">
        <f t="shared" si="1"/>
        <v>389091936.73999989</v>
      </c>
      <c r="N15" s="15">
        <f>'KY_Res by Plant Acct P16(REG)'!R16+'KY_Res by Plant Acct P16(REG)'!R17+'VA_Res by Plant Acct P17(REG)'!R13+'TN_Res by Plant Acct P18(REG)'!R13+'KY_Res by Plant Acct P16(REG)'!R15</f>
        <v>-163859970.62999997</v>
      </c>
      <c r="P15" s="15">
        <f t="shared" si="2"/>
        <v>225231966.10999992</v>
      </c>
    </row>
    <row r="16" spans="1:16" x14ac:dyDescent="0.2">
      <c r="A16" s="3" t="s">
        <v>151</v>
      </c>
      <c r="B16" s="14">
        <f>'KY_Cost by Plant Acct P8 (REG)'!B16+'KY_Cost by Plant Acct P8 (REG)'!B124+'VA_Cost by Plant Acct P10 (REG)'!B16+'TN_Cost by Plant Acct P12 (REG)'!B16+'VA_Cost by Plant Acct P10 (REG)'!B65</f>
        <v>355489781.38999999</v>
      </c>
      <c r="C16" s="89"/>
      <c r="D16" s="14">
        <f>'KY_Cost by Plant Acct P8 (REG)'!D16+'KY_Cost by Plant Acct P8 (REG)'!D124+'VA_Cost by Plant Acct P10 (REG)'!D16+'TN_Cost by Plant Acct P12 (REG)'!D16+'VA_Cost by Plant Acct P10 (REG)'!D65</f>
        <v>22237747.649999999</v>
      </c>
      <c r="E16" s="89"/>
      <c r="F16" s="14">
        <f>'KY_Cost by Plant Acct P8 (REG)'!F16+'VA_Cost by Plant Acct P10 (REG)'!F16+'TN_Cost by Plant Acct P12 (REG)'!F16</f>
        <v>-8166161.6900000004</v>
      </c>
      <c r="G16" s="89"/>
      <c r="H16" s="14">
        <f>'KY_Cost by Plant Acct P8 (REG)'!H16+'KY_Cost by Plant Acct P8 (REG)'!H124+'VA_Cost by Plant Acct P10 (REG)'!H16+'TN_Cost by Plant Acct P12 (REG)'!H16+'VA_Cost by Plant Acct P10 (REG)'!H65</f>
        <v>0</v>
      </c>
      <c r="I16" s="89"/>
      <c r="J16" s="14">
        <f t="shared" si="0"/>
        <v>14071585.959999997</v>
      </c>
      <c r="K16" s="89"/>
      <c r="L16" s="14">
        <f t="shared" si="1"/>
        <v>369561367.34999996</v>
      </c>
      <c r="N16" s="15">
        <f>'KY_Res by Plant Acct P16(REG)'!R18+'KY_Res by Plant Acct P16(REG)'!R19+'VA_Res by Plant Acct P17(REG)'!R14+'TN_Res by Plant Acct P18(REG)'!R14+'KY_Res by Plant Acct P16(REG)'!R20</f>
        <v>-117931669.28999996</v>
      </c>
      <c r="P16" s="15">
        <f t="shared" si="2"/>
        <v>251629698.06</v>
      </c>
    </row>
    <row r="17" spans="1:16" x14ac:dyDescent="0.2">
      <c r="A17" s="3" t="s">
        <v>152</v>
      </c>
      <c r="B17" s="14">
        <f>'KY_Cost by Plant Acct P8 (REG)'!B17+'KY_Cost by Plant Acct P8 (REG)'!B125+'TN_Cost by Plant Acct P12 (REG)'!B17+'VA_Cost by Plant Acct P10 (REG)'!B66</f>
        <v>2390171.0599999996</v>
      </c>
      <c r="C17" s="89"/>
      <c r="D17" s="14">
        <f>'KY_Cost by Plant Acct P8 (REG)'!D17+'KY_Cost by Plant Acct P8 (REG)'!D125+'TN_Cost by Plant Acct P12 (REG)'!D17+'VA_Cost by Plant Acct P10 (REG)'!D66</f>
        <v>0</v>
      </c>
      <c r="E17" s="89"/>
      <c r="F17" s="14">
        <f>'KY_Cost by Plant Acct P8 (REG)'!F17+'TN_Cost by Plant Acct P12 (REG)'!F17</f>
        <v>0</v>
      </c>
      <c r="G17" s="89"/>
      <c r="H17" s="14">
        <f>'KY_Cost by Plant Acct P8 (REG)'!H17+'KY_Cost by Plant Acct P8 (REG)'!H125+'TN_Cost by Plant Acct P12 (REG)'!H17+'VA_Cost by Plant Acct P10 (REG)'!H66</f>
        <v>0</v>
      </c>
      <c r="I17" s="89"/>
      <c r="J17" s="14">
        <f t="shared" si="0"/>
        <v>0</v>
      </c>
      <c r="K17" s="89"/>
      <c r="L17" s="14">
        <f t="shared" si="1"/>
        <v>2390171.0599999996</v>
      </c>
      <c r="N17" s="15">
        <f>'KY_Res by Plant Acct P16(REG)'!R21+'VA_Res by Plant Acct P17(REG)'!R15+'TN_Res by Plant Acct P18(REG)'!R15+'KY_Res by Plant Acct P16(REG)'!R22</f>
        <v>-951110.31</v>
      </c>
      <c r="P17" s="15">
        <f t="shared" si="2"/>
        <v>1439060.7499999995</v>
      </c>
    </row>
    <row r="18" spans="1:16" x14ac:dyDescent="0.2">
      <c r="A18" s="3" t="s">
        <v>153</v>
      </c>
      <c r="B18" s="14">
        <f>'KY_Cost by Plant Acct P8 (REG)'!B18+'KY_Cost by Plant Acct P8 (REG)'!B126+'VA_Cost by Plant Acct P10 (REG)'!B17+'TN_Cost by Plant Acct P12 (REG)'!B18+'VA_Cost by Plant Acct P10 (REG)'!B67</f>
        <v>189460534.02000004</v>
      </c>
      <c r="C18" s="89"/>
      <c r="D18" s="14">
        <f>'KY_Cost by Plant Acct P8 (REG)'!D18+'KY_Cost by Plant Acct P8 (REG)'!D126+'VA_Cost by Plant Acct P10 (REG)'!D17+'TN_Cost by Plant Acct P12 (REG)'!D18+'VA_Cost by Plant Acct P10 (REG)'!D67</f>
        <v>5671600.2199999997</v>
      </c>
      <c r="E18" s="89"/>
      <c r="F18" s="14">
        <f>'KY_Cost by Plant Acct P8 (REG)'!F18+'VA_Cost by Plant Acct P10 (REG)'!F17+'TN_Cost by Plant Acct P12 (REG)'!F18</f>
        <v>-879783.42999999993</v>
      </c>
      <c r="G18" s="89"/>
      <c r="H18" s="14">
        <f>'KY_Cost by Plant Acct P8 (REG)'!H18+'KY_Cost by Plant Acct P8 (REG)'!H126+'VA_Cost by Plant Acct P10 (REG)'!H17+'TN_Cost by Plant Acct P12 (REG)'!H18+'VA_Cost by Plant Acct P10 (REG)'!H67</f>
        <v>0</v>
      </c>
      <c r="I18" s="89"/>
      <c r="J18" s="14">
        <f t="shared" si="0"/>
        <v>4791816.79</v>
      </c>
      <c r="K18" s="89"/>
      <c r="L18" s="14">
        <f t="shared" si="1"/>
        <v>194252350.81000003</v>
      </c>
      <c r="N18" s="15">
        <f>'KY_Res by Plant Acct P16(REG)'!R23+'VA_Res by Plant Acct P17(REG)'!R16+'TN_Res by Plant Acct P18(REG)'!R16+'KY_Res by Plant Acct P16(REG)'!R24</f>
        <v>-47730292.129999988</v>
      </c>
      <c r="P18" s="15">
        <f t="shared" si="2"/>
        <v>146522058.68000004</v>
      </c>
    </row>
    <row r="19" spans="1:16" x14ac:dyDescent="0.2">
      <c r="A19" s="3" t="s">
        <v>154</v>
      </c>
      <c r="B19" s="14">
        <f>'KY_Cost by Plant Acct P8 (REG)'!B19+'KY_Cost by Plant Acct P8 (REG)'!B127+'VA_Cost by Plant Acct P10 (REG)'!B18+'TN_Cost by Plant Acct P12 (REG)'!B19+'VA_Cost by Plant Acct P10 (REG)'!B68</f>
        <v>314659522.31</v>
      </c>
      <c r="C19" s="89"/>
      <c r="D19" s="14">
        <f>'KY_Cost by Plant Acct P8 (REG)'!D19+'KY_Cost by Plant Acct P8 (REG)'!D127+'VA_Cost by Plant Acct P10 (REG)'!D18+'TN_Cost by Plant Acct P12 (REG)'!D19+'VA_Cost by Plant Acct P10 (REG)'!D68</f>
        <v>8580215.0099999998</v>
      </c>
      <c r="E19" s="89"/>
      <c r="F19" s="14">
        <f>'KY_Cost by Plant Acct P8 (REG)'!F19+'VA_Cost by Plant Acct P10 (REG)'!F18+'TN_Cost by Plant Acct P12 (REG)'!F19</f>
        <v>-9593062.4699999988</v>
      </c>
      <c r="G19" s="89"/>
      <c r="H19" s="14">
        <f>'KY_Cost by Plant Acct P8 (REG)'!H19+'KY_Cost by Plant Acct P8 (REG)'!H127+'VA_Cost by Plant Acct P10 (REG)'!H18+'TN_Cost by Plant Acct P12 (REG)'!H19+'VA_Cost by Plant Acct P10 (REG)'!H68</f>
        <v>0</v>
      </c>
      <c r="I19" s="89"/>
      <c r="J19" s="14">
        <f t="shared" si="0"/>
        <v>-1012847.459999999</v>
      </c>
      <c r="K19" s="89"/>
      <c r="L19" s="14">
        <f t="shared" si="1"/>
        <v>313646674.85000002</v>
      </c>
      <c r="N19" s="15">
        <f>'KY_Res by Plant Acct P16(REG)'!R25+'VA_Res by Plant Acct P17(REG)'!R17+'TN_Res by Plant Acct P18(REG)'!R17</f>
        <v>-144080264.25999999</v>
      </c>
      <c r="P19" s="15">
        <f t="shared" si="2"/>
        <v>169566410.59000003</v>
      </c>
    </row>
    <row r="20" spans="1:16" x14ac:dyDescent="0.2">
      <c r="A20" s="3" t="s">
        <v>155</v>
      </c>
      <c r="B20" s="14">
        <f>'KY_Cost by Plant Acct P8 (REG)'!B20+'KY_Cost by Plant Acct P8 (REG)'!B128+'VA_Cost by Plant Acct P10 (REG)'!B19+'TN_Cost by Plant Acct P12 (REG)'!B20+'VA_Cost by Plant Acct P10 (REG)'!B69</f>
        <v>103477574.77</v>
      </c>
      <c r="C20" s="89"/>
      <c r="D20" s="14">
        <f>'KY_Cost by Plant Acct P8 (REG)'!D20+'KY_Cost by Plant Acct P8 (REG)'!D128+'VA_Cost by Plant Acct P10 (REG)'!D19+'TN_Cost by Plant Acct P12 (REG)'!D20+'VA_Cost by Plant Acct P10 (REG)'!D69</f>
        <v>10971658.339999998</v>
      </c>
      <c r="E20" s="89"/>
      <c r="F20" s="14">
        <f>'KY_Cost by Plant Acct P8 (REG)'!F20+'VA_Cost by Plant Acct P10 (REG)'!F19+'TN_Cost by Plant Acct P12 (REG)'!F20</f>
        <v>-80976.81</v>
      </c>
      <c r="G20" s="89"/>
      <c r="H20" s="14">
        <f>'KY_Cost by Plant Acct P8 (REG)'!H20+'KY_Cost by Plant Acct P8 (REG)'!H128+'VA_Cost by Plant Acct P10 (REG)'!H19+'TN_Cost by Plant Acct P12 (REG)'!H20+'VA_Cost by Plant Acct P10 (REG)'!H69</f>
        <v>0</v>
      </c>
      <c r="I20" s="89"/>
      <c r="J20" s="14">
        <f t="shared" si="0"/>
        <v>10890681.529999997</v>
      </c>
      <c r="K20" s="89"/>
      <c r="L20" s="14">
        <f t="shared" si="1"/>
        <v>114368256.3</v>
      </c>
      <c r="N20" s="15">
        <f>'KY_Res by Plant Acct P16(REG)'!R26+'VA_Res by Plant Acct P17(REG)'!R18+'TN_Res by Plant Acct P18(REG)'!R18</f>
        <v>-64025682.920000009</v>
      </c>
      <c r="P20" s="15">
        <f t="shared" si="2"/>
        <v>50342573.379999988</v>
      </c>
    </row>
    <row r="21" spans="1:16" x14ac:dyDescent="0.2">
      <c r="A21" s="3" t="s">
        <v>156</v>
      </c>
      <c r="B21" s="14">
        <f>'KY_Cost by Plant Acct P8 (REG)'!B21+'VA_Cost by Plant Acct P10 (REG)'!B20+'TN_Cost by Plant Acct P12 (REG)'!B21+'KY_Cost by Plant Acct P8 (REG)'!B129+'VA_Cost by Plant Acct P10 (REG)'!B70</f>
        <v>78257156.989999995</v>
      </c>
      <c r="C21" s="14">
        <f>'KY_Cost by Plant Acct P8 (REG)'!C21+'VA_Cost by Plant Acct P10 (REG)'!C20+'TN_Cost by Plant Acct P12 (REG)'!C21+'KY_Cost by Plant Acct P8 (REG)'!C129+'VA_Cost by Plant Acct P10 (REG)'!C70</f>
        <v>0</v>
      </c>
      <c r="D21" s="14">
        <f>'KY_Cost by Plant Acct P8 (REG)'!D21+'VA_Cost by Plant Acct P10 (REG)'!D20+'TN_Cost by Plant Acct P12 (REG)'!D21+'KY_Cost by Plant Acct P8 (REG)'!D129+'VA_Cost by Plant Acct P10 (REG)'!D70</f>
        <v>1102091.17</v>
      </c>
      <c r="E21" s="14">
        <f>'KY_Cost by Plant Acct P8 (REG)'!E21+'VA_Cost by Plant Acct P10 (REG)'!E20+'TN_Cost by Plant Acct P12 (REG)'!E21+'KY_Cost by Plant Acct P8 (REG)'!E129+'VA_Cost by Plant Acct P10 (REG)'!E70</f>
        <v>0</v>
      </c>
      <c r="F21" s="14">
        <f>'KY_Cost by Plant Acct P8 (REG)'!F21+'VA_Cost by Plant Acct P10 (REG)'!F20+'TN_Cost by Plant Acct P12 (REG)'!F21+'KY_Cost by Plant Acct P8 (REG)'!F129+'VA_Cost by Plant Acct P10 (REG)'!F70</f>
        <v>-1993750.74</v>
      </c>
      <c r="G21" s="14">
        <f>'KY_Cost by Plant Acct P8 (REG)'!G21+'VA_Cost by Plant Acct P10 (REG)'!G20+'TN_Cost by Plant Acct P12 (REG)'!G21+'KY_Cost by Plant Acct P8 (REG)'!G129+'VA_Cost by Plant Acct P10 (REG)'!G70</f>
        <v>0</v>
      </c>
      <c r="H21" s="14">
        <f>'KY_Cost by Plant Acct P8 (REG)'!H21+'VA_Cost by Plant Acct P10 (REG)'!H20+'TN_Cost by Plant Acct P12 (REG)'!H21+'KY_Cost by Plant Acct P8 (REG)'!H129+'VA_Cost by Plant Acct P10 (REG)'!H70</f>
        <v>-10915004.949999999</v>
      </c>
      <c r="I21" s="89"/>
      <c r="J21" s="14">
        <f t="shared" si="0"/>
        <v>-11806664.52</v>
      </c>
      <c r="K21" s="89"/>
      <c r="L21" s="14">
        <f t="shared" si="1"/>
        <v>66450492.469999999</v>
      </c>
      <c r="N21" s="15">
        <f>'KY_Res by Plant Acct P16(REG)'!R27+'VA_Res by Plant Acct P17(REG)'!R19+'TN_Res by Plant Acct P18(REG)'!R19</f>
        <v>-33796799.170000009</v>
      </c>
      <c r="P21" s="15">
        <f t="shared" si="2"/>
        <v>32653693.29999999</v>
      </c>
    </row>
    <row r="22" spans="1:16" x14ac:dyDescent="0.2">
      <c r="A22" s="43" t="s">
        <v>157</v>
      </c>
      <c r="B22" s="14">
        <f>'KY_Cost by Plant Acct P8 (REG)'!B22+'KY_Cost by Plant Acct P8 (REG)'!B130</f>
        <v>999778.0199999999</v>
      </c>
      <c r="C22" s="89"/>
      <c r="D22" s="14">
        <f>'KY_Cost by Plant Acct P8 (REG)'!D22+'KY_Cost by Plant Acct P8 (REG)'!D130</f>
        <v>169824.85</v>
      </c>
      <c r="E22" s="14">
        <f>'KY_Cost by Plant Acct P8 (REG)'!E22+'VA_Cost by Plant Acct P10 (REG)'!E22+'TN_Cost by Plant Acct P12 (REG)'!E23+'KY_Cost by Plant Acct P8 (REG)'!E130+'VA_Cost by Plant Acct P10 (REG)'!E71</f>
        <v>0</v>
      </c>
      <c r="F22" s="14">
        <f>'KY_Cost by Plant Acct P8 (REG)'!F22+'KY_Cost by Plant Acct P8 (REG)'!F130</f>
        <v>0</v>
      </c>
      <c r="G22" s="14">
        <f>'KY_Cost by Plant Acct P8 (REG)'!G22+'VA_Cost by Plant Acct P10 (REG)'!G22+'TN_Cost by Plant Acct P12 (REG)'!G23+'KY_Cost by Plant Acct P8 (REG)'!G130+'VA_Cost by Plant Acct P10 (REG)'!G71</f>
        <v>0</v>
      </c>
      <c r="H22" s="14">
        <f>'KY_Cost by Plant Acct P8 (REG)'!H22+'KY_Cost by Plant Acct P8 (REG)'!H130</f>
        <v>0</v>
      </c>
      <c r="I22" s="89"/>
      <c r="J22" s="14">
        <f t="shared" si="0"/>
        <v>169824.85</v>
      </c>
      <c r="K22" s="89"/>
      <c r="L22" s="14">
        <f t="shared" si="1"/>
        <v>1169602.8699999999</v>
      </c>
      <c r="N22" s="15">
        <f>'KY_Res by Plant Acct P16(REG)'!R28</f>
        <v>-72934.78</v>
      </c>
      <c r="P22" s="15">
        <f t="shared" si="2"/>
        <v>1096668.0899999999</v>
      </c>
    </row>
    <row r="23" spans="1:16" x14ac:dyDescent="0.2">
      <c r="A23" s="43" t="s">
        <v>158</v>
      </c>
      <c r="B23" s="14">
        <f>'KY_Cost by Plant Acct P8 (REG)'!B23+'VA_Cost by Plant Acct P10 (REG)'!B21+'TN_Cost by Plant Acct P12 (REG)'!B22</f>
        <v>0</v>
      </c>
      <c r="C23" s="89"/>
      <c r="D23" s="14">
        <f>'KY_Cost by Plant Acct P8 (REG)'!D23+'VA_Cost by Plant Acct P10 (REG)'!D21+'TN_Cost by Plant Acct P12 (REG)'!D22</f>
        <v>348945.1</v>
      </c>
      <c r="E23" s="14"/>
      <c r="F23" s="14">
        <f>'KY_Cost by Plant Acct P8 (REG)'!F23+'VA_Cost by Plant Acct P10 (REG)'!F21+'TN_Cost by Plant Acct P12 (REG)'!F22</f>
        <v>-56276.28</v>
      </c>
      <c r="G23" s="14"/>
      <c r="H23" s="14">
        <f>'KY_Cost by Plant Acct P8 (REG)'!H23+'VA_Cost by Plant Acct P10 (REG)'!H21+'TN_Cost by Plant Acct P12 (REG)'!H22</f>
        <v>10915004.949999999</v>
      </c>
      <c r="I23" s="89"/>
      <c r="J23" s="14">
        <f t="shared" si="0"/>
        <v>11207673.77</v>
      </c>
      <c r="K23" s="89"/>
      <c r="L23" s="14">
        <f t="shared" si="1"/>
        <v>11207673.77</v>
      </c>
      <c r="N23" s="15">
        <f>'KY_Res by Plant Acct P16(REG)'!R29+'VA_Res by Plant Acct P17(REG)'!R20+'TN_Res by Plant Acct P18(REG)'!R20</f>
        <v>-5345492.3099999996</v>
      </c>
      <c r="P23" s="15">
        <f t="shared" si="2"/>
        <v>5862181.46</v>
      </c>
    </row>
    <row r="24" spans="1:16" x14ac:dyDescent="0.2">
      <c r="A24" s="3" t="s">
        <v>159</v>
      </c>
      <c r="B24" s="14">
        <f>'KY_Cost by Plant Acct P8 (REG)'!B24+'VA_Cost by Plant Acct P10 (REG)'!B22+'TN_Cost by Plant Acct P12 (REG)'!B23+'KY_Cost by Plant Acct P8 (REG)'!B131</f>
        <v>0</v>
      </c>
      <c r="C24" s="89"/>
      <c r="D24" s="14">
        <f>'KY_Cost by Plant Acct P8 (REG)'!D24+'VA_Cost by Plant Acct P10 (REG)'!D22+'TN_Cost by Plant Acct P12 (REG)'!D23+'KY_Cost by Plant Acct P8 (REG)'!D131</f>
        <v>6164.11</v>
      </c>
      <c r="E24" s="89"/>
      <c r="F24" s="14">
        <f>'KY_Cost by Plant Acct P8 (REG)'!F24+'VA_Cost by Plant Acct P10 (REG)'!F22+'TN_Cost by Plant Acct P12 (REG)'!F23+'KY_Cost by Plant Acct P8 (REG)'!F131</f>
        <v>0</v>
      </c>
      <c r="G24" s="89"/>
      <c r="H24" s="14">
        <f>'KY_Cost by Plant Acct P8 (REG)'!H24+'VA_Cost by Plant Acct P10 (REG)'!H22+'TN_Cost by Plant Acct P12 (REG)'!H23+'KY_Cost by Plant Acct P8 (REG)'!H131</f>
        <v>0</v>
      </c>
      <c r="I24" s="89"/>
      <c r="J24" s="14">
        <f t="shared" si="0"/>
        <v>6164.11</v>
      </c>
      <c r="K24" s="89"/>
      <c r="L24" s="14">
        <f t="shared" si="1"/>
        <v>6164.11</v>
      </c>
      <c r="N24" s="15">
        <f>'KY_Res by Plant Acct P16(REG)'!R30+'VA_Res by Plant Acct P17(REG)'!R21+'TN_Res by Plant Acct P18(REG)'!R21</f>
        <v>-30.940000006034953</v>
      </c>
      <c r="P24" s="15">
        <f t="shared" si="2"/>
        <v>6133.1699999939647</v>
      </c>
    </row>
    <row r="25" spans="1:16" x14ac:dyDescent="0.2">
      <c r="A25" s="3" t="s">
        <v>160</v>
      </c>
      <c r="B25" s="14">
        <f>'KY_Cost by Plant Acct P8 (REG)'!B25+'KY_Cost by Plant Acct P8 (REG)'!B132+'VA_Cost by Plant Acct P10 (REG)'!B23+'VA_Cost by Plant Acct P10 (REG)'!B71</f>
        <v>116439693.81</v>
      </c>
      <c r="C25" s="90"/>
      <c r="D25" s="14">
        <f>'KY_Cost by Plant Acct P8 (REG)'!D25+'KY_Cost by Plant Acct P8 (REG)'!D132+'VA_Cost by Plant Acct P10 (REG)'!D23+'VA_Cost by Plant Acct P10 (REG)'!D71</f>
        <v>5239367.1400000006</v>
      </c>
      <c r="E25" s="90"/>
      <c r="F25" s="14">
        <f>'KY_Cost by Plant Acct P8 (REG)'!F25+'VA_Cost by Plant Acct P10 (REG)'!F23</f>
        <v>-816112.82</v>
      </c>
      <c r="G25" s="90"/>
      <c r="H25" s="14">
        <f>'KY_Cost by Plant Acct P8 (REG)'!H25+'KY_Cost by Plant Acct P8 (REG)'!H132+'VA_Cost by Plant Acct P10 (REG)'!H23+'VA_Cost by Plant Acct P10 (REG)'!H71</f>
        <v>0</v>
      </c>
      <c r="I25" s="90"/>
      <c r="J25" s="17">
        <f t="shared" si="0"/>
        <v>4423254.32</v>
      </c>
      <c r="K25" s="90"/>
      <c r="L25" s="17">
        <f t="shared" si="1"/>
        <v>120862948.13</v>
      </c>
      <c r="N25" s="15">
        <f>'KY_Res by Plant Acct P16(REG)'!R31+'VA_Res by Plant Acct P17(REG)'!R22</f>
        <v>-40957940.659999989</v>
      </c>
      <c r="P25" s="15">
        <f t="shared" si="2"/>
        <v>79905007.469999999</v>
      </c>
    </row>
    <row r="26" spans="1:16" x14ac:dyDescent="0.2">
      <c r="A26" s="3" t="s">
        <v>161</v>
      </c>
      <c r="B26" s="17">
        <f>'KY_Cost by Plant Acct P8 (REG)'!B26</f>
        <v>622146.49</v>
      </c>
      <c r="C26" s="90"/>
      <c r="D26" s="17">
        <f>'KY_Cost by Plant Acct P8 (REG)'!D26</f>
        <v>0</v>
      </c>
      <c r="E26" s="90"/>
      <c r="F26" s="17">
        <f>'KY_Cost by Plant Acct P8 (REG)'!F26</f>
        <v>0</v>
      </c>
      <c r="G26" s="90"/>
      <c r="H26" s="17">
        <f>'KY_Cost by Plant Acct P8 (REG)'!H26</f>
        <v>19555.349999999999</v>
      </c>
      <c r="I26" s="90"/>
      <c r="J26" s="17">
        <f t="shared" si="0"/>
        <v>19555.349999999999</v>
      </c>
      <c r="K26" s="90"/>
      <c r="L26" s="17">
        <f t="shared" si="1"/>
        <v>641701.84</v>
      </c>
      <c r="M26" s="59"/>
      <c r="N26" s="60">
        <f>'KY_Res by Plant Acct P16(REG)'!R32</f>
        <v>-35412.499999999964</v>
      </c>
      <c r="O26" s="59"/>
      <c r="P26" s="60">
        <f t="shared" si="2"/>
        <v>606289.34</v>
      </c>
    </row>
    <row r="27" spans="1:16" x14ac:dyDescent="0.2">
      <c r="A27" s="73" t="s">
        <v>162</v>
      </c>
      <c r="B27" s="17">
        <f>'KY_Cost by Plant Acct P8 (REG)'!B27</f>
        <v>71256.579999999958</v>
      </c>
      <c r="C27" s="90"/>
      <c r="D27" s="17">
        <f>'KY_Cost by Plant Acct P8 (REG)'!D27</f>
        <v>0</v>
      </c>
      <c r="E27" s="90"/>
      <c r="F27" s="17">
        <f>'KY_Cost by Plant Acct P8 (REG)'!F27</f>
        <v>-1700.75</v>
      </c>
      <c r="G27" s="90"/>
      <c r="H27" s="17">
        <f>'KY_Cost by Plant Acct P8 (REG)'!H27</f>
        <v>-41067.300000000003</v>
      </c>
      <c r="I27" s="90"/>
      <c r="J27" s="17">
        <f t="shared" si="0"/>
        <v>-42768.05</v>
      </c>
      <c r="K27" s="90"/>
      <c r="L27" s="17">
        <f t="shared" si="1"/>
        <v>28488.529999999955</v>
      </c>
      <c r="N27" s="60">
        <f>'KY_Res by Plant Acct P16(REG)'!R33</f>
        <v>-89944.499999999985</v>
      </c>
      <c r="P27" s="60">
        <f t="shared" si="2"/>
        <v>-61455.97000000003</v>
      </c>
    </row>
    <row r="28" spans="1:16" x14ac:dyDescent="0.2">
      <c r="B28" s="18">
        <f>SUM(B11:B27)</f>
        <v>1746540766.0799997</v>
      </c>
      <c r="C28" s="90"/>
      <c r="D28" s="18">
        <f>SUM(D11:D27)</f>
        <v>83756691.50999999</v>
      </c>
      <c r="E28" s="90"/>
      <c r="F28" s="18">
        <f>SUM(F11:F27)</f>
        <v>-25442908.199999996</v>
      </c>
      <c r="G28" s="90"/>
      <c r="H28" s="18">
        <f>SUM(H11:H27)</f>
        <v>-1005298.8999999993</v>
      </c>
      <c r="I28" s="90"/>
      <c r="J28" s="18">
        <f>SUM(J11:J27)</f>
        <v>57308484.410000011</v>
      </c>
      <c r="K28" s="90"/>
      <c r="L28" s="18">
        <f>SUM(L11:L27)</f>
        <v>1803849250.4899993</v>
      </c>
      <c r="N28" s="18">
        <f>SUM(N11:N27)</f>
        <v>-675190102.43999982</v>
      </c>
      <c r="P28" s="18">
        <f>SUM(P11:P27)</f>
        <v>1128659148.05</v>
      </c>
    </row>
    <row r="29" spans="1:16" x14ac:dyDescent="0.2">
      <c r="B29" s="17"/>
      <c r="C29" s="90"/>
      <c r="D29" s="17"/>
      <c r="E29" s="90"/>
      <c r="F29" s="17"/>
      <c r="G29" s="90"/>
      <c r="H29" s="17"/>
      <c r="I29" s="90"/>
      <c r="J29" s="17"/>
      <c r="K29" s="90"/>
      <c r="L29" s="17"/>
    </row>
    <row r="30" spans="1:16" x14ac:dyDescent="0.2">
      <c r="A30" s="12" t="s">
        <v>13</v>
      </c>
      <c r="B30" s="17"/>
      <c r="C30" s="90"/>
      <c r="D30" s="17"/>
      <c r="E30" s="90"/>
      <c r="F30" s="17"/>
      <c r="G30" s="90"/>
      <c r="H30" s="17"/>
      <c r="I30" s="90"/>
      <c r="J30" s="17"/>
      <c r="K30" s="90"/>
      <c r="L30" s="17"/>
    </row>
    <row r="31" spans="1:16" x14ac:dyDescent="0.2">
      <c r="A31" s="43" t="s">
        <v>164</v>
      </c>
      <c r="B31" s="14">
        <f>'KY_Cost by Plant Acct P8 (REG)'!B31+'VA_Cost by Plant Acct P10 (REG)'!B27</f>
        <v>3430116.51</v>
      </c>
      <c r="C31" s="89"/>
      <c r="D31" s="14">
        <f>'KY_Cost by Plant Acct P8 (REG)'!D31+'VA_Cost by Plant Acct P10 (REG)'!D27</f>
        <v>99552</v>
      </c>
      <c r="E31" s="89"/>
      <c r="F31" s="14">
        <f>'KY_Cost by Plant Acct P8 (REG)'!F31+'VA_Cost by Plant Acct P10 (REG)'!F27</f>
        <v>0</v>
      </c>
      <c r="G31" s="89"/>
      <c r="H31" s="14">
        <f>'KY_Cost by Plant Acct P8 (REG)'!H31+'VA_Cost by Plant Acct P10 (REG)'!H27</f>
        <v>-131956.31</v>
      </c>
      <c r="I31" s="89"/>
      <c r="J31" s="14">
        <f t="shared" ref="J31:J47" si="3">H31+F31+D31</f>
        <v>-32404.309999999998</v>
      </c>
      <c r="K31" s="89"/>
      <c r="L31" s="14">
        <f t="shared" ref="L31:L47" si="4">J31+B31</f>
        <v>3397712.1999999997</v>
      </c>
      <c r="N31" s="15">
        <f>'KY_Res by Plant Acct P16(REG)'!R37</f>
        <v>1.8189894035458565E-12</v>
      </c>
      <c r="P31" s="15">
        <f t="shared" ref="P31:P47" si="5">L31+N31</f>
        <v>3397712.1999999997</v>
      </c>
    </row>
    <row r="32" spans="1:16" x14ac:dyDescent="0.2">
      <c r="A32" s="3" t="s">
        <v>165</v>
      </c>
      <c r="B32" s="35">
        <f>'KY_Cost by Plant Acct P8 (REG)'!B32+'VA_Cost by Plant Acct P10 (REG)'!B28+'KY_Cost by Plant Acct P8 (REG)'!B136+'VA_Cost by Plant Acct P10 (REG)'!B75</f>
        <v>58722160.280000001</v>
      </c>
      <c r="C32" s="89"/>
      <c r="D32" s="35">
        <f>'KY_Cost by Plant Acct P8 (REG)'!D32+'VA_Cost by Plant Acct P10 (REG)'!D28+'KY_Cost by Plant Acct P8 (REG)'!D136+'VA_Cost by Plant Acct P10 (REG)'!D75</f>
        <v>3959517.27</v>
      </c>
      <c r="E32" s="89"/>
      <c r="F32" s="35">
        <f>'KY_Cost by Plant Acct P8 (REG)'!F32+'VA_Cost by Plant Acct P10 (REG)'!F28+'KY_Cost by Plant Acct P8 (REG)'!F136+'VA_Cost by Plant Acct P10 (REG)'!F75</f>
        <v>-150168.47</v>
      </c>
      <c r="G32" s="89"/>
      <c r="H32" s="35">
        <f>'KY_Cost by Plant Acct P8 (REG)'!H32+'VA_Cost by Plant Acct P10 (REG)'!H28+'KY_Cost by Plant Acct P8 (REG)'!H136+'VA_Cost by Plant Acct P10 (REG)'!H75</f>
        <v>5134.63</v>
      </c>
      <c r="I32" s="89"/>
      <c r="J32" s="14">
        <f>H32+F32+D32</f>
        <v>3814483.43</v>
      </c>
      <c r="K32" s="89"/>
      <c r="L32" s="14">
        <f>J32+B32</f>
        <v>62536643.710000001</v>
      </c>
      <c r="N32" s="15">
        <f>'KY_Res by Plant Acct P16(REG)'!R38+'VA_Res by Plant Acct P17(REG)'!R26+'KY_Res by Plant Acct P16(REG)'!R41+'KY_Res by Plant Acct P16(REG)'!R39+'KY_Res by Plant Acct P16(REG)'!R40+'KY_Res by Plant Acct P16(REG)'!R42</f>
        <v>-12665455.200000003</v>
      </c>
      <c r="P32" s="15">
        <f t="shared" si="5"/>
        <v>49871188.509999998</v>
      </c>
    </row>
    <row r="33" spans="1:16" x14ac:dyDescent="0.2">
      <c r="A33" s="3" t="s">
        <v>166</v>
      </c>
      <c r="B33" s="14">
        <f>'KY_Cost by Plant Acct P8 (REG)'!B33+'VA_Cost by Plant Acct P10 (REG)'!B29</f>
        <v>481743.87</v>
      </c>
      <c r="C33" s="14">
        <f>'KY_Cost by Plant Acct P8 (REG)'!C33+'VA_Cost by Plant Acct P10 (REG)'!C29</f>
        <v>0</v>
      </c>
      <c r="D33" s="14">
        <f>'KY_Cost by Plant Acct P8 (REG)'!D33+'VA_Cost by Plant Acct P10 (REG)'!D29</f>
        <v>0</v>
      </c>
      <c r="E33" s="89"/>
      <c r="F33" s="14">
        <f>'KY_Cost by Plant Acct P8 (REG)'!F33+'VA_Cost by Plant Acct P10 (REG)'!F29</f>
        <v>-3924.94</v>
      </c>
      <c r="G33" s="89"/>
      <c r="H33" s="14">
        <f>'KY_Cost by Plant Acct P8 (REG)'!H33+'VA_Cost by Plant Acct P10 (REG)'!H29</f>
        <v>-5134.63</v>
      </c>
      <c r="I33" s="89"/>
      <c r="J33" s="14">
        <f t="shared" si="3"/>
        <v>-9059.57</v>
      </c>
      <c r="K33" s="89"/>
      <c r="L33" s="14">
        <f t="shared" si="4"/>
        <v>472684.3</v>
      </c>
      <c r="N33" s="15">
        <f>'KY_Res by Plant Acct P16(REG)'!R65+'VA_Res by Plant Acct P17(REG)'!R29</f>
        <v>-399077.11000000004</v>
      </c>
      <c r="P33" s="15">
        <f t="shared" si="5"/>
        <v>73607.189999999944</v>
      </c>
    </row>
    <row r="34" spans="1:16" x14ac:dyDescent="0.2">
      <c r="A34" s="3" t="s">
        <v>167</v>
      </c>
      <c r="B34" s="14">
        <f>'KY_Cost by Plant Acct P8 (REG)'!B34+'KY_Cost by Plant Acct P8 (REG)'!B137+'VA_Cost by Plant Acct P10 (REG)'!B30</f>
        <v>10442585.990000002</v>
      </c>
      <c r="C34" s="89"/>
      <c r="D34" s="14">
        <f>'KY_Cost by Plant Acct P8 (REG)'!D34+'KY_Cost by Plant Acct P8 (REG)'!D137+'VA_Cost by Plant Acct P10 (REG)'!D30</f>
        <v>420743.42000000004</v>
      </c>
      <c r="E34" s="89"/>
      <c r="F34" s="14">
        <f>'KY_Cost by Plant Acct P8 (REG)'!F34+'KY_Cost by Plant Acct P8 (REG)'!F137+'VA_Cost by Plant Acct P10 (REG)'!F30</f>
        <v>-283354.86</v>
      </c>
      <c r="G34" s="89"/>
      <c r="H34" s="14">
        <f>'KY_Cost by Plant Acct P8 (REG)'!H34+'KY_Cost by Plant Acct P8 (REG)'!H137+'VA_Cost by Plant Acct P10 (REG)'!H30</f>
        <v>0</v>
      </c>
      <c r="I34" s="89"/>
      <c r="J34" s="14">
        <f t="shared" si="3"/>
        <v>137388.56000000006</v>
      </c>
      <c r="K34" s="89"/>
      <c r="L34" s="14">
        <f t="shared" si="4"/>
        <v>10579974.550000003</v>
      </c>
      <c r="N34" s="15">
        <f>'KY_Res by Plant Acct P16(REG)'!R66+'VA_Res by Plant Acct P17(REG)'!R30</f>
        <v>-5212900.1599999983</v>
      </c>
      <c r="P34" s="15">
        <f t="shared" si="5"/>
        <v>5367074.3900000043</v>
      </c>
    </row>
    <row r="35" spans="1:16" x14ac:dyDescent="0.2">
      <c r="A35" s="3" t="s">
        <v>168</v>
      </c>
      <c r="B35" s="14">
        <f>'KY_Cost by Plant Acct P8 (REG)'!B35+'KY_Cost by Plant Acct P8 (REG)'!B138+'VA_Cost by Plant Acct P10 (REG)'!B31</f>
        <v>26594020.549999993</v>
      </c>
      <c r="C35" s="89"/>
      <c r="D35" s="14">
        <f>'KY_Cost by Plant Acct P8 (REG)'!D35+'KY_Cost by Plant Acct P8 (REG)'!D138+'VA_Cost by Plant Acct P10 (REG)'!D31</f>
        <v>585892.83999999985</v>
      </c>
      <c r="E35" s="89"/>
      <c r="F35" s="14">
        <f>'KY_Cost by Plant Acct P8 (REG)'!F35+'KY_Cost by Plant Acct P8 (REG)'!F138+'VA_Cost by Plant Acct P10 (REG)'!F31</f>
        <v>-4079972.85</v>
      </c>
      <c r="G35" s="89"/>
      <c r="H35" s="14">
        <f>'KY_Cost by Plant Acct P8 (REG)'!H35+'KY_Cost by Plant Acct P8 (REG)'!H138+'VA_Cost by Plant Acct P10 (REG)'!H31</f>
        <v>0</v>
      </c>
      <c r="I35" s="89"/>
      <c r="J35" s="14">
        <f t="shared" si="3"/>
        <v>-3494080.0100000002</v>
      </c>
      <c r="K35" s="89"/>
      <c r="L35" s="14">
        <f t="shared" si="4"/>
        <v>23099940.539999992</v>
      </c>
      <c r="N35" s="15">
        <f>'KY_Res by Plant Acct P16(REG)'!R67+'VA_Res by Plant Acct P17(REG)'!R31</f>
        <v>-15527644.560000002</v>
      </c>
      <c r="P35" s="15">
        <f t="shared" si="5"/>
        <v>7572295.9799999893</v>
      </c>
    </row>
    <row r="36" spans="1:16" x14ac:dyDescent="0.2">
      <c r="A36" s="3" t="s">
        <v>169</v>
      </c>
      <c r="B36" s="14">
        <f>'KY_Cost by Plant Acct P8 (REG)'!B36+'KY_Cost by Plant Acct P8 (REG)'!B139</f>
        <v>0</v>
      </c>
      <c r="C36" s="89"/>
      <c r="D36" s="14">
        <f>'KY_Cost by Plant Acct P8 (REG)'!D36+'KY_Cost by Plant Acct P8 (REG)'!D139</f>
        <v>0</v>
      </c>
      <c r="E36" s="89"/>
      <c r="F36" s="14">
        <f>'KY_Cost by Plant Acct P8 (REG)'!F36+'KY_Cost by Plant Acct P8 (REG)'!F139</f>
        <v>0</v>
      </c>
      <c r="G36" s="89"/>
      <c r="H36" s="14">
        <f>'KY_Cost by Plant Acct P8 (REG)'!H36+'KY_Cost by Plant Acct P8 (REG)'!H139</f>
        <v>0</v>
      </c>
      <c r="I36" s="89"/>
      <c r="J36" s="14">
        <f t="shared" si="3"/>
        <v>0</v>
      </c>
      <c r="K36" s="89"/>
      <c r="L36" s="14">
        <f t="shared" si="4"/>
        <v>0</v>
      </c>
      <c r="N36" s="15">
        <f>'KY_Res by Plant Acct P16(REG)'!R68</f>
        <v>0</v>
      </c>
      <c r="P36" s="15">
        <f t="shared" si="5"/>
        <v>0</v>
      </c>
    </row>
    <row r="37" spans="1:16" x14ac:dyDescent="0.2">
      <c r="A37" s="3" t="s">
        <v>170</v>
      </c>
      <c r="B37" s="14">
        <f>'KY_Cost by Plant Acct P8 (REG)'!B37+'KY_Cost by Plant Acct P8 (REG)'!B140</f>
        <v>4412177.9000000004</v>
      </c>
      <c r="C37" s="89"/>
      <c r="D37" s="14">
        <f>'KY_Cost by Plant Acct P8 (REG)'!D37+'KY_Cost by Plant Acct P8 (REG)'!D140</f>
        <v>1049009.9200000002</v>
      </c>
      <c r="E37" s="89"/>
      <c r="F37" s="14">
        <f>'KY_Cost by Plant Acct P8 (REG)'!F37+'KY_Cost by Plant Acct P8 (REG)'!F140</f>
        <v>-878964.66</v>
      </c>
      <c r="G37" s="89"/>
      <c r="H37" s="14">
        <f>'KY_Cost by Plant Acct P8 (REG)'!H37+'KY_Cost by Plant Acct P8 (REG)'!H140</f>
        <v>0</v>
      </c>
      <c r="I37" s="89"/>
      <c r="J37" s="14">
        <f t="shared" si="3"/>
        <v>170045.26000000013</v>
      </c>
      <c r="K37" s="89"/>
      <c r="L37" s="14">
        <f t="shared" si="4"/>
        <v>4582223.16</v>
      </c>
      <c r="N37" s="15">
        <f>'KY_Res by Plant Acct P16(REG)'!R69</f>
        <v>-550928.85999999952</v>
      </c>
      <c r="P37" s="15">
        <f t="shared" si="5"/>
        <v>4031294.3000000007</v>
      </c>
    </row>
    <row r="38" spans="1:16" x14ac:dyDescent="0.2">
      <c r="A38" s="3" t="s">
        <v>171</v>
      </c>
      <c r="B38" s="14">
        <f>'KY_Cost by Plant Acct P8 (REG)'!B38+'VA_Cost by Plant Acct P10 (REG)'!B32</f>
        <v>1339258.0699999989</v>
      </c>
      <c r="C38" s="89"/>
      <c r="D38" s="14">
        <f>'KY_Cost by Plant Acct P8 (REG)'!D38+'VA_Cost by Plant Acct P10 (REG)'!D32</f>
        <v>149526.26</v>
      </c>
      <c r="E38" s="89"/>
      <c r="F38" s="14">
        <f>'KY_Cost by Plant Acct P8 (REG)'!F38+'VA_Cost by Plant Acct P10 (REG)'!F32</f>
        <v>-38921.74</v>
      </c>
      <c r="G38" s="89"/>
      <c r="H38" s="14">
        <f>'KY_Cost by Plant Acct P8 (REG)'!H38+'VA_Cost by Plant Acct P10 (REG)'!H32</f>
        <v>0</v>
      </c>
      <c r="I38" s="89"/>
      <c r="J38" s="14">
        <f t="shared" si="3"/>
        <v>110604.52000000002</v>
      </c>
      <c r="K38" s="89"/>
      <c r="L38" s="14">
        <f t="shared" si="4"/>
        <v>1449862.5899999989</v>
      </c>
      <c r="N38" s="15">
        <f>'KY_Res by Plant Acct P16(REG)'!R71+'VA_Res by Plant Acct P17(REG)'!R32+'KY_Res by Plant Acct P16(REG)'!R70</f>
        <v>-922037.88999999629</v>
      </c>
      <c r="P38" s="15">
        <f t="shared" si="5"/>
        <v>527824.70000000263</v>
      </c>
    </row>
    <row r="39" spans="1:16" x14ac:dyDescent="0.2">
      <c r="A39" s="3" t="s">
        <v>172</v>
      </c>
      <c r="B39" s="14">
        <f>'KY_Cost by Plant Acct P8 (REG)'!B39</f>
        <v>5824837.5900000008</v>
      </c>
      <c r="C39" s="89"/>
      <c r="D39" s="14">
        <f>'KY_Cost by Plant Acct P8 (REG)'!D39</f>
        <v>0</v>
      </c>
      <c r="E39" s="89"/>
      <c r="F39" s="14">
        <f>'KY_Cost by Plant Acct P8 (REG)'!F39</f>
        <v>-27677.5</v>
      </c>
      <c r="G39" s="89"/>
      <c r="H39" s="14">
        <f>'KY_Cost by Plant Acct P8 (REG)'!H39</f>
        <v>0</v>
      </c>
      <c r="I39" s="89"/>
      <c r="J39" s="14">
        <f>H39+F39+D39</f>
        <v>-27677.5</v>
      </c>
      <c r="K39" s="89"/>
      <c r="L39" s="14">
        <f>J39+B39</f>
        <v>5797160.0900000008</v>
      </c>
      <c r="N39" s="15">
        <f>'KY_Res by Plant Acct P16(REG)'!R72</f>
        <v>-3276806.6300000008</v>
      </c>
      <c r="P39" s="15">
        <f>L39+N39</f>
        <v>2520353.46</v>
      </c>
    </row>
    <row r="40" spans="1:16" x14ac:dyDescent="0.2">
      <c r="A40" s="3" t="s">
        <v>173</v>
      </c>
      <c r="B40" s="14">
        <f>'KY_Cost by Plant Acct P8 (REG)'!B40+'KY_Cost by Plant Acct P8 (REG)'!B141+'VA_Cost by Plant Acct P10 (REG)'!B33</f>
        <v>910970.78999999992</v>
      </c>
      <c r="C40" s="89"/>
      <c r="D40" s="14">
        <f>'KY_Cost by Plant Acct P8 (REG)'!D40+'KY_Cost by Plant Acct P8 (REG)'!D141+'VA_Cost by Plant Acct P10 (REG)'!D33</f>
        <v>0</v>
      </c>
      <c r="E40" s="89"/>
      <c r="F40" s="14">
        <f>'KY_Cost by Plant Acct P8 (REG)'!F40+'KY_Cost by Plant Acct P8 (REG)'!F141+'VA_Cost by Plant Acct P10 (REG)'!F33</f>
        <v>0</v>
      </c>
      <c r="G40" s="89"/>
      <c r="H40" s="14">
        <f>'KY_Cost by Plant Acct P8 (REG)'!H40+'KY_Cost by Plant Acct P8 (REG)'!H141+'VA_Cost by Plant Acct P10 (REG)'!H33</f>
        <v>0</v>
      </c>
      <c r="I40" s="89"/>
      <c r="J40" s="14">
        <f t="shared" si="3"/>
        <v>0</v>
      </c>
      <c r="K40" s="89"/>
      <c r="L40" s="14">
        <f t="shared" si="4"/>
        <v>910970.78999999992</v>
      </c>
      <c r="N40" s="15">
        <f>'KY_Res by Plant Acct P16(REG)'!R73+'VA_Res by Plant Acct P17(REG)'!R33</f>
        <v>-422586.27000000008</v>
      </c>
      <c r="P40" s="15">
        <f t="shared" si="5"/>
        <v>488384.51999999984</v>
      </c>
    </row>
    <row r="41" spans="1:16" x14ac:dyDescent="0.2">
      <c r="A41" s="3" t="s">
        <v>174</v>
      </c>
      <c r="B41" s="14">
        <f>'KY_Cost by Plant Acct P8 (REG)'!B41+'KY_Cost by Plant Acct P8 (REG)'!B142+'VA_Cost by Plant Acct P10 (REG)'!B34+'VA_Cost by Plant Acct P10 (REG)'!B76</f>
        <v>12666873.83</v>
      </c>
      <c r="C41" s="89"/>
      <c r="D41" s="14">
        <f>'KY_Cost by Plant Acct P8 (REG)'!D41+'KY_Cost by Plant Acct P8 (REG)'!D142+'VA_Cost by Plant Acct P10 (REG)'!D34+'VA_Cost by Plant Acct P10 (REG)'!D76</f>
        <v>910806.57000000007</v>
      </c>
      <c r="E41" s="89"/>
      <c r="F41" s="14">
        <f>'KY_Cost by Plant Acct P8 (REG)'!F41+'KY_Cost by Plant Acct P8 (REG)'!F142+'VA_Cost by Plant Acct P10 (REG)'!F34+'VA_Cost by Plant Acct P10 (REG)'!F76</f>
        <v>-274113.84999999998</v>
      </c>
      <c r="G41" s="89"/>
      <c r="H41" s="14">
        <f>'KY_Cost by Plant Acct P8 (REG)'!H41+'KY_Cost by Plant Acct P8 (REG)'!H142+'VA_Cost by Plant Acct P10 (REG)'!H34+'VA_Cost by Plant Acct P10 (REG)'!H76</f>
        <v>0</v>
      </c>
      <c r="I41" s="89"/>
      <c r="J41" s="14">
        <f t="shared" si="3"/>
        <v>636692.72000000009</v>
      </c>
      <c r="K41" s="89"/>
      <c r="L41" s="14">
        <f t="shared" si="4"/>
        <v>13303566.550000001</v>
      </c>
      <c r="N41" s="15">
        <f>'KY_Res by Plant Acct P16(REG)'!R74+'VA_Res by Plant Acct P17(REG)'!R34</f>
        <v>-4295266.13</v>
      </c>
      <c r="P41" s="15">
        <f t="shared" si="5"/>
        <v>9008300.4200000018</v>
      </c>
    </row>
    <row r="42" spans="1:16" x14ac:dyDescent="0.2">
      <c r="A42" s="3" t="s">
        <v>175</v>
      </c>
      <c r="B42" s="14">
        <f>'KY_Cost by Plant Acct P8 (REG)'!B42+'VA_Cost by Plant Acct P10 (REG)'!B35</f>
        <v>0</v>
      </c>
      <c r="C42" s="89"/>
      <c r="D42" s="14">
        <f>'KY_Cost by Plant Acct P8 (REG)'!D42+'VA_Cost by Plant Acct P10 (REG)'!D35</f>
        <v>0</v>
      </c>
      <c r="E42" s="89"/>
      <c r="F42" s="14">
        <f>'KY_Cost by Plant Acct P8 (REG)'!F42+'VA_Cost by Plant Acct P10 (REG)'!F35</f>
        <v>0</v>
      </c>
      <c r="G42" s="89"/>
      <c r="H42" s="14">
        <f>'KY_Cost by Plant Acct P8 (REG)'!H42+'VA_Cost by Plant Acct P10 (REG)'!H35</f>
        <v>0</v>
      </c>
      <c r="I42" s="89"/>
      <c r="J42" s="14">
        <f t="shared" si="3"/>
        <v>0</v>
      </c>
      <c r="K42" s="89"/>
      <c r="L42" s="14">
        <f t="shared" si="4"/>
        <v>0</v>
      </c>
      <c r="N42" s="15">
        <f>'KY_Res by Plant Acct P16(REG)'!R75+'VA_Res by Plant Acct P17(REG)'!R35</f>
        <v>-4.6566128730773926E-10</v>
      </c>
      <c r="P42" s="15">
        <f t="shared" si="5"/>
        <v>-4.6566128730773926E-10</v>
      </c>
    </row>
    <row r="43" spans="1:16" x14ac:dyDescent="0.2">
      <c r="A43" s="43" t="s">
        <v>3639</v>
      </c>
      <c r="B43" s="14">
        <f>'KY_Cost by Plant Acct P8 (REG)'!B43+'KY_Cost by Plant Acct P8 (REG)'!B143+'VA_Cost by Plant Acct P10 (REG)'!B36+'VA_Cost by Plant Acct P10 (REG)'!B77</f>
        <v>2418392.5200000005</v>
      </c>
      <c r="C43" s="89"/>
      <c r="D43" s="14">
        <f>'KY_Cost by Plant Acct P8 (REG)'!D43+'KY_Cost by Plant Acct P8 (REG)'!D143+'VA_Cost by Plant Acct P10 (REG)'!D36+'VA_Cost by Plant Acct P10 (REG)'!D77</f>
        <v>1039623.2999999999</v>
      </c>
      <c r="E43" s="89"/>
      <c r="F43" s="14">
        <f>'KY_Cost by Plant Acct P8 (REG)'!F43+'KY_Cost by Plant Acct P8 (REG)'!F143+'VA_Cost by Plant Acct P10 (REG)'!F36+'VA_Cost by Plant Acct P10 (REG)'!F77</f>
        <v>0</v>
      </c>
      <c r="G43" s="89"/>
      <c r="H43" s="14">
        <f>'KY_Cost by Plant Acct P8 (REG)'!H43+'KY_Cost by Plant Acct P8 (REG)'!H143+'VA_Cost by Plant Acct P10 (REG)'!H36+'VA_Cost by Plant Acct P10 (REG)'!H77</f>
        <v>0</v>
      </c>
      <c r="I43" s="89"/>
      <c r="J43" s="14">
        <f t="shared" si="3"/>
        <v>1039623.2999999999</v>
      </c>
      <c r="K43" s="89"/>
      <c r="L43" s="14">
        <f t="shared" si="4"/>
        <v>3458015.8200000003</v>
      </c>
      <c r="N43" s="15">
        <f>'KY_Res by Plant Acct P16(REG)'!R76+'VA_Res by Plant Acct P17(REG)'!R36</f>
        <v>-1133042.2000000002</v>
      </c>
      <c r="P43" s="15">
        <f t="shared" si="5"/>
        <v>2324973.62</v>
      </c>
    </row>
    <row r="44" spans="1:16" x14ac:dyDescent="0.2">
      <c r="A44" s="3" t="s">
        <v>3640</v>
      </c>
      <c r="B44" s="14">
        <f>'KY_Cost by Plant Acct P8 (REG)'!B44+'KY_Cost by Plant Acct P8 (REG)'!B144+'VA_Cost by Plant Acct P10 (REG)'!B37+'VA_Cost by Plant Acct P10 (REG)'!B78</f>
        <v>29711436.999999996</v>
      </c>
      <c r="C44" s="89"/>
      <c r="D44" s="14">
        <f>'KY_Cost by Plant Acct P8 (REG)'!D44+'KY_Cost by Plant Acct P8 (REG)'!D144+'VA_Cost by Plant Acct P10 (REG)'!D37+'VA_Cost by Plant Acct P10 (REG)'!D78</f>
        <v>287268.35000000009</v>
      </c>
      <c r="E44" s="89"/>
      <c r="F44" s="14">
        <f>'KY_Cost by Plant Acct P8 (REG)'!F44+'KY_Cost by Plant Acct P8 (REG)'!F144+'VA_Cost by Plant Acct P10 (REG)'!F37+'VA_Cost by Plant Acct P10 (REG)'!F78</f>
        <v>-1916.55</v>
      </c>
      <c r="G44" s="89"/>
      <c r="H44" s="14">
        <f>'KY_Cost by Plant Acct P8 (REG)'!H44+'KY_Cost by Plant Acct P8 (REG)'!H144+'VA_Cost by Plant Acct P10 (REG)'!H37+'VA_Cost by Plant Acct P10 (REG)'!H78</f>
        <v>0</v>
      </c>
      <c r="I44" s="89"/>
      <c r="J44" s="14">
        <f t="shared" si="3"/>
        <v>285351.8000000001</v>
      </c>
      <c r="K44" s="89"/>
      <c r="L44" s="14">
        <f t="shared" si="4"/>
        <v>29996788.799999997</v>
      </c>
      <c r="N44" s="15">
        <f>'KY_Res by Plant Acct P16(REG)'!R77+'VA_Res by Plant Acct P17(REG)'!R37</f>
        <v>-11315606.33</v>
      </c>
      <c r="P44" s="15">
        <f t="shared" si="5"/>
        <v>18681182.469999999</v>
      </c>
    </row>
    <row r="45" spans="1:16" x14ac:dyDescent="0.2">
      <c r="A45" s="3" t="s">
        <v>3641</v>
      </c>
      <c r="B45" s="14">
        <f>'KY_Cost by Plant Acct P8 (REG)'!B45+'KY_Cost by Plant Acct P8 (REG)'!B145+'VA_Cost by Plant Acct P10 (REG)'!B79+'VA_Cost by Plant Acct P10 (REG)'!B38</f>
        <v>19070705.950000007</v>
      </c>
      <c r="C45" s="89"/>
      <c r="D45" s="14">
        <f>'KY_Cost by Plant Acct P8 (REG)'!D45+'KY_Cost by Plant Acct P8 (REG)'!D145+'VA_Cost by Plant Acct P10 (REG)'!D79+'VA_Cost by Plant Acct P10 (REG)'!D38</f>
        <v>201842.26</v>
      </c>
      <c r="E45" s="89"/>
      <c r="F45" s="14">
        <f>'KY_Cost by Plant Acct P8 (REG)'!F45+'KY_Cost by Plant Acct P8 (REG)'!F145+'VA_Cost by Plant Acct P10 (REG)'!F79+'VA_Cost by Plant Acct P10 (REG)'!F38</f>
        <v>0</v>
      </c>
      <c r="G45" s="89"/>
      <c r="H45" s="14">
        <f>'KY_Cost by Plant Acct P8 (REG)'!H45+'KY_Cost by Plant Acct P8 (REG)'!H145+'VA_Cost by Plant Acct P10 (REG)'!H79+'VA_Cost by Plant Acct P10 (REG)'!H38</f>
        <v>0</v>
      </c>
      <c r="I45" s="89"/>
      <c r="J45" s="14">
        <f t="shared" si="3"/>
        <v>201842.26</v>
      </c>
      <c r="K45" s="89"/>
      <c r="L45" s="14">
        <f t="shared" si="4"/>
        <v>19272548.210000008</v>
      </c>
      <c r="N45" s="15">
        <f>'KY_Res by Plant Acct P16(REG)'!R78+'VA_Res by Plant Acct P17(REG)'!R38</f>
        <v>-9151044.3200000003</v>
      </c>
      <c r="P45" s="15">
        <f t="shared" si="5"/>
        <v>10121503.890000008</v>
      </c>
    </row>
    <row r="46" spans="1:16" x14ac:dyDescent="0.2">
      <c r="A46" s="3" t="s">
        <v>179</v>
      </c>
      <c r="B46" s="14">
        <f>'KY_Cost by Plant Acct P8 (REG)'!B46+'KY_Cost by Plant Acct P8 (REG)'!B146</f>
        <v>6851712.21</v>
      </c>
      <c r="C46" s="89"/>
      <c r="D46" s="14">
        <f>'KY_Cost by Plant Acct P8 (REG)'!D46+'KY_Cost by Plant Acct P8 (REG)'!D146</f>
        <v>733114.8</v>
      </c>
      <c r="E46" s="89"/>
      <c r="F46" s="14">
        <f>'KY_Cost by Plant Acct P8 (REG)'!F46+'KY_Cost by Plant Acct P8 (REG)'!F146</f>
        <v>0</v>
      </c>
      <c r="G46" s="89"/>
      <c r="H46" s="14">
        <f>'KY_Cost by Plant Acct P8 (REG)'!H46+'KY_Cost by Plant Acct P8 (REG)'!H146</f>
        <v>0</v>
      </c>
      <c r="I46" s="89"/>
      <c r="J46" s="14">
        <f t="shared" si="3"/>
        <v>733114.8</v>
      </c>
      <c r="K46" s="89"/>
      <c r="L46" s="14">
        <f t="shared" si="4"/>
        <v>7584827.0099999998</v>
      </c>
      <c r="N46" s="15">
        <f>'KY_Res by Plant Acct P16(REG)'!R79</f>
        <v>-1585434.0499999998</v>
      </c>
      <c r="P46" s="15">
        <f t="shared" si="5"/>
        <v>5999392.96</v>
      </c>
    </row>
    <row r="47" spans="1:16" x14ac:dyDescent="0.2">
      <c r="A47" s="3" t="s">
        <v>180</v>
      </c>
      <c r="B47" s="16">
        <f>'KY_Cost by Plant Acct P8 (REG)'!B47+'VA_Cost by Plant Acct P10 (REG)'!B39</f>
        <v>0</v>
      </c>
      <c r="C47" s="90"/>
      <c r="D47" s="16">
        <f>'KY_Cost by Plant Acct P8 (REG)'!D47+'VA_Cost by Plant Acct P10 (REG)'!D39</f>
        <v>0</v>
      </c>
      <c r="E47" s="90"/>
      <c r="F47" s="16">
        <f>'KY_Cost by Plant Acct P8 (REG)'!F47+'VA_Cost by Plant Acct P10 (REG)'!F39</f>
        <v>0</v>
      </c>
      <c r="G47" s="90"/>
      <c r="H47" s="16">
        <f>'KY_Cost by Plant Acct P8 (REG)'!H47+'VA_Cost by Plant Acct P10 (REG)'!H39</f>
        <v>0</v>
      </c>
      <c r="I47" s="90"/>
      <c r="J47" s="16">
        <f t="shared" si="3"/>
        <v>0</v>
      </c>
      <c r="K47" s="90"/>
      <c r="L47" s="16">
        <f t="shared" si="4"/>
        <v>0</v>
      </c>
      <c r="N47" s="91">
        <f>'KY_Res by Plant Acct P16(REG)'!R80+'VA_Res by Plant Acct P17(REG)'!R39</f>
        <v>3.0850044741015381E-11</v>
      </c>
      <c r="P47" s="91">
        <f t="shared" si="5"/>
        <v>3.0850044741015381E-11</v>
      </c>
    </row>
    <row r="48" spans="1:16" x14ac:dyDescent="0.2">
      <c r="B48" s="17">
        <f>SUM(B31:B47)</f>
        <v>182876993.06000003</v>
      </c>
      <c r="C48" s="90"/>
      <c r="D48" s="17">
        <f>SUM(D31:D47)</f>
        <v>9436896.9900000002</v>
      </c>
      <c r="E48" s="90"/>
      <c r="F48" s="17">
        <f>SUM(F31:F47)</f>
        <v>-5739015.4199999999</v>
      </c>
      <c r="G48" s="90"/>
      <c r="H48" s="17">
        <f>SUM(H31:H47)</f>
        <v>-131956.31</v>
      </c>
      <c r="I48" s="90"/>
      <c r="J48" s="17">
        <f>SUM(J31:J47)</f>
        <v>3565925.2600000007</v>
      </c>
      <c r="K48" s="90"/>
      <c r="L48" s="17">
        <f>SUM(L31:L47)</f>
        <v>186442918.32000002</v>
      </c>
      <c r="N48" s="17">
        <f>SUM(N31:N47)</f>
        <v>-66457829.710000001</v>
      </c>
      <c r="P48" s="17">
        <f>SUM(P31:P47)</f>
        <v>119985088.61</v>
      </c>
    </row>
    <row r="49" spans="1:16" x14ac:dyDescent="0.2">
      <c r="B49" s="17"/>
      <c r="C49" s="90"/>
      <c r="D49" s="17"/>
      <c r="E49" s="90"/>
      <c r="F49" s="17"/>
      <c r="G49" s="90"/>
      <c r="H49" s="17"/>
      <c r="I49" s="90"/>
      <c r="J49" s="17"/>
      <c r="K49" s="90"/>
      <c r="L49" s="17"/>
    </row>
    <row r="50" spans="1:16" x14ac:dyDescent="0.2">
      <c r="A50" s="12" t="s">
        <v>14</v>
      </c>
      <c r="B50" s="17"/>
      <c r="C50" s="90"/>
      <c r="D50" s="17"/>
      <c r="E50" s="90"/>
      <c r="F50" s="17"/>
      <c r="G50" s="90"/>
      <c r="H50" s="17"/>
      <c r="I50" s="90"/>
      <c r="J50" s="17"/>
      <c r="K50" s="90"/>
      <c r="L50" s="17"/>
    </row>
    <row r="51" spans="1:16" x14ac:dyDescent="0.2">
      <c r="A51" s="43" t="s">
        <v>182</v>
      </c>
      <c r="B51" s="17">
        <f>'KY_Cost by Plant Acct P8 (REG)'!B51</f>
        <v>879311.47</v>
      </c>
      <c r="C51" s="90"/>
      <c r="D51" s="17">
        <f>'KY_Cost by Plant Acct P8 (REG)'!D51</f>
        <v>0</v>
      </c>
      <c r="E51" s="90"/>
      <c r="F51" s="17">
        <f>'KY_Cost by Plant Acct P8 (REG)'!F51</f>
        <v>-23675</v>
      </c>
      <c r="G51" s="90"/>
      <c r="H51" s="17">
        <f>'KY_Cost by Plant Acct P8 (REG)'!H51</f>
        <v>0</v>
      </c>
      <c r="I51" s="90"/>
      <c r="J51" s="17">
        <f t="shared" ref="J51:J58" si="6">H51+F51+D51</f>
        <v>-23675</v>
      </c>
      <c r="K51" s="90"/>
      <c r="L51" s="17">
        <f t="shared" ref="L51:L58" si="7">J51+B51</f>
        <v>855636.47</v>
      </c>
      <c r="N51" s="15">
        <f>'KY_Res by Plant Acct P16(REG)'!R84</f>
        <v>-912332.6</v>
      </c>
      <c r="P51" s="15">
        <f t="shared" ref="P51:P58" si="8">L51+N51</f>
        <v>-56696.130000000005</v>
      </c>
    </row>
    <row r="52" spans="1:16" x14ac:dyDescent="0.2">
      <c r="A52" s="3" t="s">
        <v>183</v>
      </c>
      <c r="B52" s="17">
        <f>'KY_Cost by Plant Acct P8 (REG)'!B52+'KY_Cost by Plant Acct P8 (REG)'!B150</f>
        <v>2999390.54</v>
      </c>
      <c r="C52" s="90"/>
      <c r="D52" s="17">
        <f>'KY_Cost by Plant Acct P8 (REG)'!D52+'KY_Cost by Plant Acct P8 (REG)'!D150</f>
        <v>0</v>
      </c>
      <c r="E52" s="90"/>
      <c r="F52" s="17">
        <f>'KY_Cost by Plant Acct P8 (REG)'!F52</f>
        <v>0</v>
      </c>
      <c r="G52" s="90"/>
      <c r="H52" s="17">
        <f>'KY_Cost by Plant Acct P8 (REG)'!H52</f>
        <v>0</v>
      </c>
      <c r="I52" s="90"/>
      <c r="J52" s="17">
        <f t="shared" si="6"/>
        <v>0</v>
      </c>
      <c r="K52" s="90"/>
      <c r="L52" s="17">
        <f t="shared" si="7"/>
        <v>2999390.54</v>
      </c>
      <c r="N52" s="15">
        <f>'KY_Res by Plant Acct P16(REG)'!R85</f>
        <v>-422367.01</v>
      </c>
      <c r="P52" s="15">
        <f t="shared" si="8"/>
        <v>2577023.5300000003</v>
      </c>
    </row>
    <row r="53" spans="1:16" x14ac:dyDescent="0.2">
      <c r="A53" s="3" t="s">
        <v>184</v>
      </c>
      <c r="B53" s="17">
        <f>'KY_Cost by Plant Acct P8 (REG)'!B53+'KY_Cost by Plant Acct P8 (REG)'!B151</f>
        <v>21885646.370000001</v>
      </c>
      <c r="C53" s="90"/>
      <c r="D53" s="17">
        <f>'KY_Cost by Plant Acct P8 (REG)'!D53+'KY_Cost by Plant Acct P8 (REG)'!D151</f>
        <v>0</v>
      </c>
      <c r="E53" s="90"/>
      <c r="F53" s="17">
        <f>'KY_Cost by Plant Acct P8 (REG)'!F53</f>
        <v>0</v>
      </c>
      <c r="G53" s="90"/>
      <c r="H53" s="17">
        <f>'KY_Cost by Plant Acct P8 (REG)'!H53</f>
        <v>0</v>
      </c>
      <c r="I53" s="90"/>
      <c r="J53" s="17">
        <f t="shared" si="6"/>
        <v>0</v>
      </c>
      <c r="K53" s="90"/>
      <c r="L53" s="17">
        <f t="shared" si="7"/>
        <v>21885646.370000001</v>
      </c>
      <c r="N53" s="15">
        <f>'KY_Res by Plant Acct P16(REG)'!R86</f>
        <v>-9316374.0499999989</v>
      </c>
      <c r="P53" s="15">
        <f t="shared" si="8"/>
        <v>12569272.320000002</v>
      </c>
    </row>
    <row r="54" spans="1:16" x14ac:dyDescent="0.2">
      <c r="A54" s="3" t="s">
        <v>185</v>
      </c>
      <c r="B54" s="17">
        <f>'KY_Cost by Plant Acct P8 (REG)'!B54+'KY_Cost by Plant Acct P8 (REG)'!B152</f>
        <v>14046741.58</v>
      </c>
      <c r="C54" s="90"/>
      <c r="D54" s="17">
        <f>'KY_Cost by Plant Acct P8 (REG)'!D54+'KY_Cost by Plant Acct P8 (REG)'!D152</f>
        <v>0</v>
      </c>
      <c r="E54" s="90"/>
      <c r="F54" s="17">
        <f>'KY_Cost by Plant Acct P8 (REG)'!F54</f>
        <v>0</v>
      </c>
      <c r="G54" s="90"/>
      <c r="H54" s="17">
        <f>'KY_Cost by Plant Acct P8 (REG)'!H54</f>
        <v>0</v>
      </c>
      <c r="I54" s="90"/>
      <c r="J54" s="17">
        <f t="shared" si="6"/>
        <v>0</v>
      </c>
      <c r="K54" s="90"/>
      <c r="L54" s="17">
        <f t="shared" si="7"/>
        <v>14046741.58</v>
      </c>
      <c r="N54" s="15">
        <f>'KY_Res by Plant Acct P16(REG)'!R87</f>
        <v>-1847208.1500000001</v>
      </c>
      <c r="P54" s="15">
        <f t="shared" si="8"/>
        <v>12199533.43</v>
      </c>
    </row>
    <row r="55" spans="1:16" x14ac:dyDescent="0.2">
      <c r="A55" s="3" t="s">
        <v>186</v>
      </c>
      <c r="B55" s="17">
        <f>'KY_Cost by Plant Acct P8 (REG)'!B55+'KY_Cost by Plant Acct P8 (REG)'!B153</f>
        <v>1362584.79</v>
      </c>
      <c r="C55" s="90"/>
      <c r="D55" s="17">
        <f>'KY_Cost by Plant Acct P8 (REG)'!D55+'KY_Cost by Plant Acct P8 (REG)'!D153</f>
        <v>19285.88</v>
      </c>
      <c r="E55" s="90"/>
      <c r="F55" s="17">
        <f>'KY_Cost by Plant Acct P8 (REG)'!F55</f>
        <v>0</v>
      </c>
      <c r="G55" s="90"/>
      <c r="H55" s="17">
        <f>'KY_Cost by Plant Acct P8 (REG)'!H55</f>
        <v>0</v>
      </c>
      <c r="I55" s="90"/>
      <c r="J55" s="17">
        <f t="shared" si="6"/>
        <v>19285.88</v>
      </c>
      <c r="K55" s="90"/>
      <c r="L55" s="17">
        <f t="shared" si="7"/>
        <v>1381870.67</v>
      </c>
      <c r="N55" s="15">
        <f>'KY_Res by Plant Acct P16(REG)'!R88</f>
        <v>-318309.33</v>
      </c>
      <c r="P55" s="15">
        <f t="shared" si="8"/>
        <v>1063561.3399999999</v>
      </c>
    </row>
    <row r="56" spans="1:16" x14ac:dyDescent="0.2">
      <c r="A56" s="3" t="s">
        <v>187</v>
      </c>
      <c r="B56" s="17">
        <f>'KY_Cost by Plant Acct P8 (REG)'!B56+'KY_Cost by Plant Acct P8 (REG)'!B154</f>
        <v>316946.74</v>
      </c>
      <c r="C56" s="90"/>
      <c r="D56" s="17">
        <f>'KY_Cost by Plant Acct P8 (REG)'!D56+'KY_Cost by Plant Acct P8 (REG)'!D154</f>
        <v>12427.44</v>
      </c>
      <c r="E56" s="90"/>
      <c r="F56" s="17">
        <f>'KY_Cost by Plant Acct P8 (REG)'!F56</f>
        <v>0</v>
      </c>
      <c r="G56" s="90"/>
      <c r="H56" s="17">
        <f>'KY_Cost by Plant Acct P8 (REG)'!H56</f>
        <v>0</v>
      </c>
      <c r="I56" s="90"/>
      <c r="J56" s="17">
        <f t="shared" si="6"/>
        <v>12427.44</v>
      </c>
      <c r="K56" s="90"/>
      <c r="L56" s="17">
        <f t="shared" si="7"/>
        <v>329374.18</v>
      </c>
      <c r="N56" s="15">
        <f>'KY_Res by Plant Acct P16(REG)'!R89</f>
        <v>-143553.80999999997</v>
      </c>
      <c r="P56" s="15">
        <f t="shared" si="8"/>
        <v>185820.37000000002</v>
      </c>
    </row>
    <row r="57" spans="1:16" x14ac:dyDescent="0.2">
      <c r="A57" s="3" t="s">
        <v>188</v>
      </c>
      <c r="B57" s="17">
        <f>'KY_Cost by Plant Acct P8 (REG)'!B57+'KY_Cost by Plant Acct P8 (REG)'!B155</f>
        <v>234509.12999999998</v>
      </c>
      <c r="C57" s="90"/>
      <c r="D57" s="17">
        <f>'KY_Cost by Plant Acct P8 (REG)'!D57+'KY_Cost by Plant Acct P8 (REG)'!D155</f>
        <v>0</v>
      </c>
      <c r="E57" s="90"/>
      <c r="F57" s="17">
        <f>'KY_Cost by Plant Acct P8 (REG)'!F57</f>
        <v>0</v>
      </c>
      <c r="G57" s="90"/>
      <c r="H57" s="17">
        <f>'KY_Cost by Plant Acct P8 (REG)'!H57</f>
        <v>0</v>
      </c>
      <c r="I57" s="90"/>
      <c r="J57" s="17">
        <f t="shared" si="6"/>
        <v>0</v>
      </c>
      <c r="K57" s="90"/>
      <c r="L57" s="17">
        <f t="shared" si="7"/>
        <v>234509.12999999998</v>
      </c>
      <c r="N57" s="15">
        <f>'KY_Res by Plant Acct P16(REG)'!R90</f>
        <v>-88014.799999999988</v>
      </c>
      <c r="P57" s="15">
        <f t="shared" si="8"/>
        <v>146494.32999999999</v>
      </c>
    </row>
    <row r="58" spans="1:16" x14ac:dyDescent="0.2">
      <c r="A58" s="3" t="s">
        <v>189</v>
      </c>
      <c r="B58" s="16">
        <f>'KY_Cost by Plant Acct P8 (REG)'!B58</f>
        <v>645787.99</v>
      </c>
      <c r="C58" s="90"/>
      <c r="D58" s="16">
        <f>'KY_Cost by Plant Acct P8 (REG)'!D58</f>
        <v>0</v>
      </c>
      <c r="E58" s="90"/>
      <c r="F58" s="16">
        <f>'KY_Cost by Plant Acct P8 (REG)'!F58</f>
        <v>0</v>
      </c>
      <c r="G58" s="90"/>
      <c r="H58" s="16">
        <f>'KY_Cost by Plant Acct P8 (REG)'!H58</f>
        <v>0</v>
      </c>
      <c r="I58" s="90"/>
      <c r="J58" s="16">
        <f t="shared" si="6"/>
        <v>0</v>
      </c>
      <c r="K58" s="90"/>
      <c r="L58" s="16">
        <f t="shared" si="7"/>
        <v>645787.99</v>
      </c>
      <c r="N58" s="91">
        <f>'KY_Res by Plant Acct P16(REG)'!R91</f>
        <v>-37589.950000000012</v>
      </c>
      <c r="P58" s="91">
        <f t="shared" si="8"/>
        <v>608198.04</v>
      </c>
    </row>
    <row r="59" spans="1:16" x14ac:dyDescent="0.2">
      <c r="B59" s="17">
        <f>SUM(B51:B58)</f>
        <v>42370918.610000007</v>
      </c>
      <c r="C59" s="90"/>
      <c r="D59" s="17">
        <f>SUM(D51:D58)</f>
        <v>31713.32</v>
      </c>
      <c r="E59" s="90"/>
      <c r="F59" s="17">
        <f>SUM(F51:F58)</f>
        <v>-23675</v>
      </c>
      <c r="G59" s="90"/>
      <c r="H59" s="17">
        <f>SUM(H51:H58)</f>
        <v>0</v>
      </c>
      <c r="I59" s="90"/>
      <c r="J59" s="17">
        <f>SUM(J51:J58)</f>
        <v>8038.3200000000015</v>
      </c>
      <c r="K59" s="90"/>
      <c r="L59" s="17">
        <f>SUM(L51:L58)</f>
        <v>42378956.930000007</v>
      </c>
      <c r="N59" s="17">
        <f>SUM(N51:N58)</f>
        <v>-13085749.699999999</v>
      </c>
      <c r="P59" s="17">
        <f>SUM(P51:P58)</f>
        <v>29293207.23</v>
      </c>
    </row>
    <row r="60" spans="1:16" x14ac:dyDescent="0.2">
      <c r="B60" s="17"/>
      <c r="C60" s="90"/>
      <c r="D60" s="17"/>
      <c r="E60" s="90"/>
      <c r="F60" s="17"/>
      <c r="G60" s="90"/>
      <c r="H60" s="17"/>
      <c r="I60" s="90"/>
      <c r="J60" s="17"/>
      <c r="K60" s="90"/>
      <c r="L60" s="17"/>
    </row>
    <row r="61" spans="1:16" x14ac:dyDescent="0.2">
      <c r="A61" s="12" t="s">
        <v>15</v>
      </c>
      <c r="B61" s="17"/>
      <c r="C61" s="90"/>
      <c r="D61" s="17"/>
      <c r="E61" s="90"/>
      <c r="F61" s="17"/>
      <c r="G61" s="90"/>
      <c r="H61" s="17"/>
      <c r="I61" s="90"/>
      <c r="J61" s="17"/>
      <c r="K61" s="90"/>
      <c r="L61" s="17"/>
    </row>
    <row r="62" spans="1:16" x14ac:dyDescent="0.2">
      <c r="A62" s="43" t="s">
        <v>191</v>
      </c>
      <c r="B62" s="17">
        <f>'KY_Cost by Plant Acct P8 (REG)'!B62+'VA_Cost by Plant Acct P10 (REG)'!B43</f>
        <v>44455.58</v>
      </c>
      <c r="C62" s="90"/>
      <c r="D62" s="17">
        <f>'KY_Cost by Plant Acct P8 (REG)'!D62+'VA_Cost by Plant Acct P10 (REG)'!D43</f>
        <v>0</v>
      </c>
      <c r="E62" s="90"/>
      <c r="F62" s="17">
        <f>'KY_Cost by Plant Acct P8 (REG)'!F62+'VA_Cost by Plant Acct P10 (REG)'!F43</f>
        <v>0</v>
      </c>
      <c r="G62" s="90"/>
      <c r="H62" s="17">
        <f>'KY_Cost by Plant Acct P8 (REG)'!H62+'VA_Cost by Plant Acct P10 (REG)'!H43</f>
        <v>0</v>
      </c>
      <c r="I62" s="90"/>
      <c r="J62" s="17">
        <f>H62+F62+D62</f>
        <v>0</v>
      </c>
      <c r="K62" s="90"/>
      <c r="L62" s="17">
        <f>J62+B62</f>
        <v>44455.58</v>
      </c>
      <c r="N62" s="15">
        <f>'KY_Res by Plant Acct P16(REG)'!R473</f>
        <v>0</v>
      </c>
      <c r="P62" s="15">
        <f>L62+N62</f>
        <v>44455.58</v>
      </c>
    </row>
    <row r="63" spans="1:16" x14ac:dyDescent="0.2">
      <c r="A63" s="3" t="s">
        <v>192</v>
      </c>
      <c r="B63" s="17">
        <f>'KY_Cost by Plant Acct P8 (REG)'!B63</f>
        <v>55918.829999999994</v>
      </c>
      <c r="C63" s="90"/>
      <c r="D63" s="17">
        <f>'KY_Cost by Plant Acct P8 (REG)'!D63</f>
        <v>0</v>
      </c>
      <c r="E63" s="90"/>
      <c r="F63" s="17">
        <f>'KY_Cost by Plant Acct P8 (REG)'!F63</f>
        <v>0</v>
      </c>
      <c r="G63" s="90"/>
      <c r="H63" s="17">
        <f>'KY_Cost by Plant Acct P8 (REG)'!H63</f>
        <v>0</v>
      </c>
      <c r="I63" s="90"/>
      <c r="J63" s="17">
        <f>H63+F63+D63</f>
        <v>0</v>
      </c>
      <c r="K63" s="90"/>
      <c r="L63" s="17">
        <f>J63+B63</f>
        <v>55918.829999999994</v>
      </c>
      <c r="N63" s="15">
        <f>'KY_Res by Plant Acct P16(REG)'!R474+'KY_Res by Plant Acct P16(REG)'!R475</f>
        <v>-69345.47</v>
      </c>
      <c r="P63" s="15">
        <f>L63+N63</f>
        <v>-13426.640000000007</v>
      </c>
    </row>
    <row r="64" spans="1:16" x14ac:dyDescent="0.2">
      <c r="A64" s="3" t="s">
        <v>193</v>
      </c>
      <c r="B64" s="17">
        <f>'KY_Cost by Plant Acct P8 (REG)'!B64+'KY_Cost by Plant Acct P8 (REG)'!B159</f>
        <v>57120555.82</v>
      </c>
      <c r="C64" s="90"/>
      <c r="D64" s="17">
        <f>'KY_Cost by Plant Acct P8 (REG)'!D64+'KY_Cost by Plant Acct P8 (REG)'!D159</f>
        <v>13438017.5</v>
      </c>
      <c r="E64" s="90"/>
      <c r="F64" s="17">
        <f>'KY_Cost by Plant Acct P8 (REG)'!F64</f>
        <v>-7464577.3600000003</v>
      </c>
      <c r="G64" s="90"/>
      <c r="H64" s="17">
        <f>'KY_Cost by Plant Acct P8 (REG)'!H64</f>
        <v>0</v>
      </c>
      <c r="I64" s="90"/>
      <c r="J64" s="17">
        <f>H64+F64+D64</f>
        <v>5973440.1399999997</v>
      </c>
      <c r="K64" s="90"/>
      <c r="L64" s="17">
        <f>J64+B64</f>
        <v>63093995.960000001</v>
      </c>
      <c r="N64" s="15">
        <f>'KY_Res by Plant Acct P16(REG)'!R476</f>
        <v>-22964374.25</v>
      </c>
      <c r="P64" s="15">
        <f>L64+N64</f>
        <v>40129621.710000001</v>
      </c>
    </row>
    <row r="65" spans="1:16" x14ac:dyDescent="0.2">
      <c r="A65" s="3" t="s">
        <v>194</v>
      </c>
      <c r="B65" s="16">
        <f>'KY_Cost by Plant Acct P8 (REG)'!B65+'KY_Cost by Plant Acct P8 (REG)'!B160</f>
        <v>41045494.530000001</v>
      </c>
      <c r="C65" s="90"/>
      <c r="D65" s="16">
        <f>'KY_Cost by Plant Acct P8 (REG)'!D65+'KY_Cost by Plant Acct P8 (REG)'!D160</f>
        <v>14448869.460000001</v>
      </c>
      <c r="E65" s="90"/>
      <c r="F65" s="16">
        <f>'KY_Cost by Plant Acct P8 (REG)'!F65</f>
        <v>0</v>
      </c>
      <c r="G65" s="90"/>
      <c r="H65" s="16">
        <f>'KY_Cost by Plant Acct P8 (REG)'!H65</f>
        <v>0</v>
      </c>
      <c r="I65" s="90"/>
      <c r="J65" s="16">
        <f>H65+F65+D65</f>
        <v>14448869.460000001</v>
      </c>
      <c r="K65" s="90"/>
      <c r="L65" s="16">
        <f>J65+B65</f>
        <v>55494363.990000002</v>
      </c>
      <c r="N65" s="91">
        <f>'KY_Res by Plant Acct P16(REG)'!R477</f>
        <v>-35670939.509999998</v>
      </c>
      <c r="P65" s="91">
        <f>L65+N65</f>
        <v>19823424.480000004</v>
      </c>
    </row>
    <row r="66" spans="1:16" x14ac:dyDescent="0.2">
      <c r="B66" s="17">
        <f>SUM(B62:B65)</f>
        <v>98266424.75999999</v>
      </c>
      <c r="C66" s="90"/>
      <c r="D66" s="17">
        <f>SUM(D62:D65)</f>
        <v>27886886.960000001</v>
      </c>
      <c r="E66" s="90"/>
      <c r="F66" s="17">
        <f>SUM(F62:F65)</f>
        <v>-7464577.3600000003</v>
      </c>
      <c r="G66" s="90"/>
      <c r="H66" s="17">
        <f>SUM(H62:H65)</f>
        <v>0</v>
      </c>
      <c r="I66" s="90"/>
      <c r="J66" s="17">
        <f>SUM(J62:J65)</f>
        <v>20422309.600000001</v>
      </c>
      <c r="K66" s="90"/>
      <c r="L66" s="17">
        <f>SUM(L62:L65)</f>
        <v>118688734.36</v>
      </c>
      <c r="N66" s="17">
        <f>SUM(N62:N65)</f>
        <v>-58704659.229999997</v>
      </c>
      <c r="P66" s="17">
        <f>SUM(P62:P65)</f>
        <v>59984075.130000003</v>
      </c>
    </row>
    <row r="67" spans="1:16" x14ac:dyDescent="0.2">
      <c r="B67" s="17"/>
      <c r="C67" s="90"/>
      <c r="D67" s="17"/>
      <c r="E67" s="90"/>
      <c r="F67" s="17"/>
      <c r="G67" s="90"/>
      <c r="H67" s="17"/>
      <c r="I67" s="90"/>
      <c r="J67" s="17"/>
      <c r="K67" s="90"/>
      <c r="L67" s="17"/>
    </row>
    <row r="68" spans="1:16" x14ac:dyDescent="0.2">
      <c r="A68" s="12" t="s">
        <v>16</v>
      </c>
      <c r="B68" s="17"/>
      <c r="C68" s="90"/>
      <c r="D68" s="17"/>
      <c r="E68" s="90"/>
      <c r="F68" s="17"/>
      <c r="G68" s="90"/>
      <c r="H68" s="17"/>
      <c r="I68" s="90"/>
      <c r="J68" s="17"/>
      <c r="K68" s="90"/>
      <c r="L68" s="17"/>
    </row>
    <row r="69" spans="1:16" x14ac:dyDescent="0.2">
      <c r="A69" s="3" t="s">
        <v>196</v>
      </c>
      <c r="B69" s="17">
        <f>'KY_Cost by Plant Acct P8 (REG)'!B69</f>
        <v>176409.31</v>
      </c>
      <c r="C69" s="90"/>
      <c r="D69" s="17">
        <f>'KY_Cost by Plant Acct P8 (REG)'!D69</f>
        <v>0</v>
      </c>
      <c r="E69" s="90"/>
      <c r="F69" s="17">
        <f>'KY_Cost by Plant Acct P8 (REG)'!F69</f>
        <v>0</v>
      </c>
      <c r="G69" s="90"/>
      <c r="H69" s="17">
        <f>'KY_Cost by Plant Acct P8 (REG)'!H69</f>
        <v>0</v>
      </c>
      <c r="I69" s="90"/>
      <c r="J69" s="17">
        <f t="shared" ref="J69:J79" si="9">H69+F69+D69</f>
        <v>0</v>
      </c>
      <c r="K69" s="90"/>
      <c r="L69" s="17">
        <f t="shared" ref="L69:L78" si="10">J69+B69</f>
        <v>176409.31</v>
      </c>
      <c r="N69" s="15">
        <f>'KY_Res by Plant Acct P16(REG)'!R95</f>
        <v>-124391.50000000003</v>
      </c>
      <c r="P69" s="15">
        <f t="shared" ref="P69:P79" si="11">L69+N69</f>
        <v>52017.809999999969</v>
      </c>
    </row>
    <row r="70" spans="1:16" x14ac:dyDescent="0.2">
      <c r="A70" s="3" t="s">
        <v>197</v>
      </c>
      <c r="B70" s="17">
        <f>'KY_Cost by Plant Acct P8 (REG)'!B70</f>
        <v>297169.20999999996</v>
      </c>
      <c r="C70" s="90"/>
      <c r="D70" s="17">
        <f>'KY_Cost by Plant Acct P8 (REG)'!D70</f>
        <v>0</v>
      </c>
      <c r="E70" s="90"/>
      <c r="F70" s="17">
        <f>'KY_Cost by Plant Acct P8 (REG)'!F70</f>
        <v>0</v>
      </c>
      <c r="G70" s="90"/>
      <c r="H70" s="17">
        <f>'KY_Cost by Plant Acct P8 (REG)'!H70</f>
        <v>0</v>
      </c>
      <c r="I70" s="90"/>
      <c r="J70" s="17">
        <f t="shared" si="9"/>
        <v>0</v>
      </c>
      <c r="K70" s="90"/>
      <c r="L70" s="17">
        <f t="shared" si="10"/>
        <v>297169.20999999996</v>
      </c>
      <c r="N70" s="15">
        <f>'KY_Res by Plant Acct P16(REG)'!R96+'KY_Res by Plant Acct P16(REG)'!R98</f>
        <v>0</v>
      </c>
      <c r="P70" s="15">
        <f t="shared" si="11"/>
        <v>297169.20999999996</v>
      </c>
    </row>
    <row r="71" spans="1:16" x14ac:dyDescent="0.2">
      <c r="A71" s="3" t="s">
        <v>198</v>
      </c>
      <c r="B71" s="17">
        <f>'KY_Cost by Plant Acct P8 (REG)'!B71+'KY_Cost by Plant Acct P8 (REG)'!B164</f>
        <v>85079274.650000006</v>
      </c>
      <c r="C71" s="90"/>
      <c r="D71" s="17">
        <f>'KY_Cost by Plant Acct P8 (REG)'!D71+'KY_Cost by Plant Acct P8 (REG)'!D164</f>
        <v>628134.87999999989</v>
      </c>
      <c r="E71" s="90"/>
      <c r="F71" s="17">
        <f>'KY_Cost by Plant Acct P8 (REG)'!F71</f>
        <v>0</v>
      </c>
      <c r="G71" s="90"/>
      <c r="H71" s="17">
        <f>'KY_Cost by Plant Acct P8 (REG)'!H71</f>
        <v>0</v>
      </c>
      <c r="I71" s="90"/>
      <c r="J71" s="17">
        <f t="shared" si="9"/>
        <v>628134.87999999989</v>
      </c>
      <c r="K71" s="90"/>
      <c r="L71" s="17">
        <f t="shared" si="10"/>
        <v>85707409.530000001</v>
      </c>
      <c r="N71" s="15">
        <f>'KY_Res by Plant Acct P16(REG)'!R116</f>
        <v>-23690185</v>
      </c>
      <c r="P71" s="15">
        <f t="shared" si="11"/>
        <v>62017224.530000001</v>
      </c>
    </row>
    <row r="72" spans="1:16" x14ac:dyDescent="0.2">
      <c r="A72" s="3" t="s">
        <v>199</v>
      </c>
      <c r="B72" s="17">
        <f>'KY_Cost by Plant Acct P8 (REG)'!B72+'KY_Cost by Plant Acct P8 (REG)'!B165</f>
        <v>61764003.560000002</v>
      </c>
      <c r="C72" s="90"/>
      <c r="D72" s="17">
        <f>'KY_Cost by Plant Acct P8 (REG)'!D72+'KY_Cost by Plant Acct P8 (REG)'!D165</f>
        <v>841768.13999999966</v>
      </c>
      <c r="E72" s="90"/>
      <c r="F72" s="17">
        <f>'KY_Cost by Plant Acct P8 (REG)'!F72</f>
        <v>-19123.07</v>
      </c>
      <c r="G72" s="90"/>
      <c r="H72" s="17">
        <f>'KY_Cost by Plant Acct P8 (REG)'!H72+'KY_Cost by Plant Acct P8 (REG)'!H165</f>
        <v>0</v>
      </c>
      <c r="I72" s="90"/>
      <c r="J72" s="17">
        <f t="shared" si="9"/>
        <v>822645.06999999972</v>
      </c>
      <c r="K72" s="90"/>
      <c r="L72" s="17">
        <f t="shared" si="10"/>
        <v>62586648.630000003</v>
      </c>
      <c r="N72" s="15">
        <f>'KY_Res by Plant Acct P16(REG)'!R137</f>
        <v>-19172639.539999995</v>
      </c>
      <c r="P72" s="15">
        <f t="shared" si="11"/>
        <v>43414009.090000004</v>
      </c>
    </row>
    <row r="73" spans="1:16" x14ac:dyDescent="0.2">
      <c r="A73" s="3" t="s">
        <v>200</v>
      </c>
      <c r="B73" s="17">
        <f>'KY_Cost by Plant Acct P8 (REG)'!B73</f>
        <v>0</v>
      </c>
      <c r="C73" s="90"/>
      <c r="D73" s="17">
        <f>'KY_Cost by Plant Acct P8 (REG)'!D73</f>
        <v>0</v>
      </c>
      <c r="E73" s="90"/>
      <c r="F73" s="17">
        <f>'KY_Cost by Plant Acct P8 (REG)'!F73</f>
        <v>0</v>
      </c>
      <c r="G73" s="90"/>
      <c r="H73" s="17">
        <f>'KY_Cost by Plant Acct P8 (REG)'!H73</f>
        <v>0</v>
      </c>
      <c r="I73" s="90"/>
      <c r="J73" s="17">
        <f t="shared" si="9"/>
        <v>0</v>
      </c>
      <c r="K73" s="90"/>
      <c r="L73" s="17">
        <f t="shared" si="10"/>
        <v>0</v>
      </c>
      <c r="N73" s="15">
        <f>'KY_Res by Plant Acct P16(REG)'!R138</f>
        <v>2.9103830456733704E-11</v>
      </c>
      <c r="P73" s="15">
        <f t="shared" si="11"/>
        <v>2.9103830456733704E-11</v>
      </c>
    </row>
    <row r="74" spans="1:16" x14ac:dyDescent="0.2">
      <c r="A74" s="3" t="s">
        <v>201</v>
      </c>
      <c r="B74" s="17">
        <f>'KY_Cost by Plant Acct P8 (REG)'!B74+'KY_Cost by Plant Acct P8 (REG)'!B166</f>
        <v>642925882.17999995</v>
      </c>
      <c r="C74" s="90"/>
      <c r="D74" s="17">
        <f>'KY_Cost by Plant Acct P8 (REG)'!D74+'KY_Cost by Plant Acct P8 (REG)'!D166</f>
        <v>17619755.280000001</v>
      </c>
      <c r="E74" s="90"/>
      <c r="F74" s="17">
        <f>'KY_Cost by Plant Acct P8 (REG)'!F74</f>
        <v>-2558079.84</v>
      </c>
      <c r="G74" s="90"/>
      <c r="H74" s="17">
        <f>'KY_Cost by Plant Acct P8 (REG)'!H74</f>
        <v>0</v>
      </c>
      <c r="I74" s="90"/>
      <c r="J74" s="17">
        <f t="shared" si="9"/>
        <v>15061675.440000001</v>
      </c>
      <c r="K74" s="90"/>
      <c r="L74" s="17">
        <f t="shared" si="10"/>
        <v>657987557.62</v>
      </c>
      <c r="N74" s="15">
        <f>'KY_Res by Plant Acct P16(REG)'!R154</f>
        <v>-203304880.42000002</v>
      </c>
      <c r="P74" s="15">
        <f t="shared" si="11"/>
        <v>454682677.19999999</v>
      </c>
    </row>
    <row r="75" spans="1:16" x14ac:dyDescent="0.2">
      <c r="A75" s="3" t="s">
        <v>202</v>
      </c>
      <c r="B75" s="17">
        <f>'KY_Cost by Plant Acct P8 (REG)'!B75+'KY_Cost by Plant Acct P8 (REG)'!B167</f>
        <v>131097891.25999999</v>
      </c>
      <c r="C75" s="90"/>
      <c r="D75" s="17">
        <f>'KY_Cost by Plant Acct P8 (REG)'!D75+'KY_Cost by Plant Acct P8 (REG)'!D167</f>
        <v>949312.88999999873</v>
      </c>
      <c r="E75" s="90"/>
      <c r="F75" s="17">
        <f>'KY_Cost by Plant Acct P8 (REG)'!F75</f>
        <v>-475999.11</v>
      </c>
      <c r="G75" s="90"/>
      <c r="H75" s="17">
        <f>'KY_Cost by Plant Acct P8 (REG)'!H75</f>
        <v>0</v>
      </c>
      <c r="I75" s="90"/>
      <c r="J75" s="17">
        <f t="shared" si="9"/>
        <v>473313.77999999875</v>
      </c>
      <c r="K75" s="90"/>
      <c r="L75" s="17">
        <f t="shared" si="10"/>
        <v>131571205.03999999</v>
      </c>
      <c r="N75" s="15">
        <f>'KY_Res by Plant Acct P16(REG)'!R172</f>
        <v>-41275003.359999999</v>
      </c>
      <c r="P75" s="15">
        <f t="shared" si="11"/>
        <v>90296201.679999992</v>
      </c>
    </row>
    <row r="76" spans="1:16" x14ac:dyDescent="0.2">
      <c r="A76" s="3" t="s">
        <v>203</v>
      </c>
      <c r="B76" s="17">
        <f>'KY_Cost by Plant Acct P8 (REG)'!B76+'KY_Cost by Plant Acct P8 (REG)'!B168</f>
        <v>66335265.969999991</v>
      </c>
      <c r="C76" s="90"/>
      <c r="D76" s="17">
        <f>'KY_Cost by Plant Acct P8 (REG)'!D76+'KY_Cost by Plant Acct P8 (REG)'!D168</f>
        <v>12270403.630000001</v>
      </c>
      <c r="E76" s="90"/>
      <c r="F76" s="17">
        <f>'KY_Cost by Plant Acct P8 (REG)'!F76</f>
        <v>0</v>
      </c>
      <c r="G76" s="90"/>
      <c r="H76" s="17">
        <f>'KY_Cost by Plant Acct P8 (REG)'!H76</f>
        <v>0</v>
      </c>
      <c r="I76" s="90"/>
      <c r="J76" s="17">
        <f t="shared" si="9"/>
        <v>12270403.630000001</v>
      </c>
      <c r="K76" s="90"/>
      <c r="L76" s="17">
        <f t="shared" si="10"/>
        <v>78605669.599999994</v>
      </c>
      <c r="N76" s="15">
        <f>'KY_Res by Plant Acct P16(REG)'!R190</f>
        <v>-25520932.670000002</v>
      </c>
      <c r="P76" s="15">
        <f t="shared" si="11"/>
        <v>53084736.929999992</v>
      </c>
    </row>
    <row r="77" spans="1:16" x14ac:dyDescent="0.2">
      <c r="A77" s="3" t="s">
        <v>204</v>
      </c>
      <c r="B77" s="17">
        <f>'KY_Cost by Plant Acct P8 (REG)'!B77</f>
        <v>0</v>
      </c>
      <c r="C77" s="90"/>
      <c r="D77" s="17">
        <f>'KY_Cost by Plant Acct P8 (REG)'!D77</f>
        <v>0</v>
      </c>
      <c r="E77" s="90"/>
      <c r="F77" s="17">
        <f>'KY_Cost by Plant Acct P8 (REG)'!F77</f>
        <v>0</v>
      </c>
      <c r="G77" s="90"/>
      <c r="H77" s="17">
        <f>'KY_Cost by Plant Acct P8 (REG)'!H77</f>
        <v>0</v>
      </c>
      <c r="I77" s="90"/>
      <c r="J77" s="17">
        <f t="shared" si="9"/>
        <v>0</v>
      </c>
      <c r="K77" s="90"/>
      <c r="L77" s="17">
        <f t="shared" si="10"/>
        <v>0</v>
      </c>
      <c r="N77" s="15">
        <f>'KY_Res by Plant Acct P16(REG)'!R200</f>
        <v>0</v>
      </c>
      <c r="P77" s="15">
        <f t="shared" si="11"/>
        <v>0</v>
      </c>
    </row>
    <row r="78" spans="1:16" x14ac:dyDescent="0.2">
      <c r="A78" s="3" t="s">
        <v>205</v>
      </c>
      <c r="B78" s="17">
        <f>'KY_Cost by Plant Acct P8 (REG)'!B78+'KY_Cost by Plant Acct P8 (REG)'!B169</f>
        <v>8995446.9299999978</v>
      </c>
      <c r="C78" s="90"/>
      <c r="D78" s="17">
        <f>'KY_Cost by Plant Acct P8 (REG)'!D78+'KY_Cost by Plant Acct P8 (REG)'!D169</f>
        <v>109321.64000000001</v>
      </c>
      <c r="E78" s="90"/>
      <c r="F78" s="17">
        <f>'KY_Cost by Plant Acct P8 (REG)'!F78</f>
        <v>-27592.94</v>
      </c>
      <c r="G78" s="90"/>
      <c r="H78" s="17">
        <f>'KY_Cost by Plant Acct P8 (REG)'!H78+'KY_Cost by Plant Acct P8 (REG)'!H169</f>
        <v>0</v>
      </c>
      <c r="I78" s="90"/>
      <c r="J78" s="17">
        <f t="shared" si="9"/>
        <v>81728.700000000012</v>
      </c>
      <c r="K78" s="90"/>
      <c r="L78" s="17">
        <f t="shared" si="10"/>
        <v>9077175.6299999971</v>
      </c>
      <c r="N78" s="15">
        <f>'KY_Res by Plant Acct P16(REG)'!R217</f>
        <v>-3384840.5899999994</v>
      </c>
      <c r="P78" s="15">
        <f t="shared" si="11"/>
        <v>5692335.0399999972</v>
      </c>
    </row>
    <row r="79" spans="1:16" x14ac:dyDescent="0.2">
      <c r="A79" s="3" t="s">
        <v>206</v>
      </c>
      <c r="B79" s="16">
        <f>'KY_Cost by Plant Acct P8 (REG)'!B79</f>
        <v>403344.09</v>
      </c>
      <c r="C79" s="90"/>
      <c r="D79" s="16">
        <f>'KY_Cost by Plant Acct P8 (REG)'!D79</f>
        <v>0</v>
      </c>
      <c r="E79" s="90"/>
      <c r="F79" s="16">
        <f>'KY_Cost by Plant Acct P8 (REG)'!F79</f>
        <v>0</v>
      </c>
      <c r="G79" s="90"/>
      <c r="H79" s="16">
        <f>'KY_Cost by Plant Acct P8 (REG)'!H79</f>
        <v>3647.0299999999988</v>
      </c>
      <c r="I79" s="90"/>
      <c r="J79" s="16">
        <f t="shared" si="9"/>
        <v>3647.0299999999988</v>
      </c>
      <c r="K79" s="90"/>
      <c r="L79" s="16">
        <f>J79+B79</f>
        <v>406991.12</v>
      </c>
      <c r="N79" s="91">
        <f>'KY_Res by Plant Acct P16(REG)'!R218</f>
        <v>-53377.58</v>
      </c>
      <c r="P79" s="91">
        <f t="shared" si="11"/>
        <v>353613.54</v>
      </c>
    </row>
    <row r="80" spans="1:16" x14ac:dyDescent="0.2">
      <c r="B80" s="17">
        <f>SUM(B69:B79)</f>
        <v>997074687.15999997</v>
      </c>
      <c r="C80" s="90"/>
      <c r="D80" s="17">
        <f>SUM(D69:D79)</f>
        <v>32418696.460000001</v>
      </c>
      <c r="E80" s="90"/>
      <c r="F80" s="17">
        <f>SUM(F69:F79)</f>
        <v>-3080794.9599999995</v>
      </c>
      <c r="G80" s="90"/>
      <c r="H80" s="17">
        <f>SUM(H69:H79)</f>
        <v>3647.0299999999988</v>
      </c>
      <c r="I80" s="90"/>
      <c r="J80" s="17">
        <f>SUM(J69:J79)</f>
        <v>29341548.529999997</v>
      </c>
      <c r="K80" s="90"/>
      <c r="L80" s="17">
        <f>SUM(L69:L79)</f>
        <v>1026416235.6899999</v>
      </c>
      <c r="N80" s="17">
        <f>SUM(N69:N79)</f>
        <v>-316526250.65999997</v>
      </c>
      <c r="P80" s="17">
        <f>SUM(P69:P79)</f>
        <v>709889985.02999985</v>
      </c>
    </row>
    <row r="81" spans="1:17" x14ac:dyDescent="0.2">
      <c r="B81" s="17"/>
      <c r="C81" s="90"/>
      <c r="D81" s="17"/>
      <c r="E81" s="90"/>
      <c r="F81" s="17"/>
      <c r="G81" s="90"/>
      <c r="H81" s="17"/>
      <c r="I81" s="90"/>
      <c r="J81" s="17"/>
      <c r="K81" s="90"/>
      <c r="L81" s="17"/>
    </row>
    <row r="82" spans="1:17" x14ac:dyDescent="0.2">
      <c r="A82" s="12" t="s">
        <v>17</v>
      </c>
      <c r="C82" s="89"/>
      <c r="E82" s="89"/>
      <c r="G82" s="89"/>
      <c r="I82" s="89"/>
      <c r="K82" s="89"/>
    </row>
    <row r="83" spans="1:17" x14ac:dyDescent="0.2">
      <c r="A83" s="3" t="s">
        <v>208</v>
      </c>
      <c r="B83" s="14">
        <f>'KY_Cost by Plant Acct P8 (REG)'!B83+'KY_Cost by Plant Acct P8 (REG)'!B173</f>
        <v>22966606.019999996</v>
      </c>
      <c r="C83" s="89"/>
      <c r="D83" s="14">
        <f>'KY_Cost by Plant Acct P8 (REG)'!D83+'KY_Cost by Plant Acct P8 (REG)'!D173</f>
        <v>1204779.8999999999</v>
      </c>
      <c r="E83" s="89"/>
      <c r="F83" s="14">
        <f>'KY_Cost by Plant Acct P8 (REG)'!F83</f>
        <v>0</v>
      </c>
      <c r="G83" s="89"/>
      <c r="H83" s="14">
        <f>'KY_Cost by Plant Acct P8 (REG)'!H83</f>
        <v>0</v>
      </c>
      <c r="I83" s="89"/>
      <c r="J83" s="14">
        <f t="shared" ref="J83:J94" si="12">H83+F83+D83</f>
        <v>1204779.8999999999</v>
      </c>
      <c r="K83" s="89"/>
      <c r="L83" s="14">
        <f t="shared" ref="L83:L94" si="13">J83+B83</f>
        <v>24171385.919999994</v>
      </c>
      <c r="N83" s="15">
        <f>'KY_Res by Plant Acct P16(REG)'!R231</f>
        <v>0</v>
      </c>
      <c r="P83" s="15">
        <f t="shared" ref="P83:P94" si="14">L83+N83</f>
        <v>24171385.919999994</v>
      </c>
    </row>
    <row r="84" spans="1:17" x14ac:dyDescent="0.2">
      <c r="A84" s="3" t="s">
        <v>209</v>
      </c>
      <c r="B84" s="14">
        <f>'KY_Cost by Plant Acct P8 (REG)'!B84+'KY_Cost by Plant Acct P8 (REG)'!B174</f>
        <v>335428186.69000006</v>
      </c>
      <c r="C84" s="89"/>
      <c r="D84" s="14">
        <f>'KY_Cost by Plant Acct P8 (REG)'!D84+'KY_Cost by Plant Acct P8 (REG)'!D174</f>
        <v>17135378.550000001</v>
      </c>
      <c r="E84" s="89"/>
      <c r="F84" s="14">
        <f>'KY_Cost by Plant Acct P8 (REG)'!F84</f>
        <v>-562234.81999999995</v>
      </c>
      <c r="G84" s="89"/>
      <c r="H84" s="14">
        <f>'KY_Cost by Plant Acct P8 (REG)'!H84</f>
        <v>-244219.69</v>
      </c>
      <c r="I84" s="89"/>
      <c r="J84" s="14">
        <f t="shared" si="12"/>
        <v>16328924.040000001</v>
      </c>
      <c r="K84" s="89"/>
      <c r="L84" s="14">
        <f t="shared" si="13"/>
        <v>351757110.73000008</v>
      </c>
      <c r="N84" s="15">
        <f>'KY_Res by Plant Acct P16(REG)'!R266</f>
        <v>-181047734.79999998</v>
      </c>
      <c r="P84" s="15">
        <f t="shared" si="14"/>
        <v>170709375.9300001</v>
      </c>
    </row>
    <row r="85" spans="1:17" x14ac:dyDescent="0.2">
      <c r="A85" s="3" t="s">
        <v>210</v>
      </c>
      <c r="B85" s="14">
        <f>'KY_Cost by Plant Acct P8 (REG)'!B85+'KY_Cost by Plant Acct P8 (REG)'!B175</f>
        <v>0</v>
      </c>
      <c r="C85" s="89"/>
      <c r="D85" s="14">
        <f>'KY_Cost by Plant Acct P8 (REG)'!D85+'KY_Cost by Plant Acct P8 (REG)'!D175</f>
        <v>0</v>
      </c>
      <c r="E85" s="89"/>
      <c r="F85" s="14">
        <f>'KY_Cost by Plant Acct P8 (REG)'!F85+'KY_Cost by Plant Acct P8 (REG)'!F175</f>
        <v>0</v>
      </c>
      <c r="G85" s="89"/>
      <c r="H85" s="14">
        <f>'KY_Cost by Plant Acct P8 (REG)'!H85+'KY_Cost by Plant Acct P8 (REG)'!H175</f>
        <v>0</v>
      </c>
      <c r="I85" s="89"/>
      <c r="J85" s="14">
        <f t="shared" si="12"/>
        <v>0</v>
      </c>
      <c r="K85" s="89"/>
      <c r="L85" s="14">
        <f t="shared" si="13"/>
        <v>0</v>
      </c>
      <c r="N85" s="15">
        <f>'KY_Res by Plant Acct P16(REG)'!R275</f>
        <v>0</v>
      </c>
      <c r="P85" s="15">
        <f t="shared" si="14"/>
        <v>0</v>
      </c>
    </row>
    <row r="86" spans="1:17" x14ac:dyDescent="0.2">
      <c r="A86" s="3" t="s">
        <v>211</v>
      </c>
      <c r="B86" s="14">
        <f>'KY_Cost by Plant Acct P8 (REG)'!B86+'KY_Cost by Plant Acct P8 (REG)'!B176</f>
        <v>3941701027.4200001</v>
      </c>
      <c r="C86" s="89"/>
      <c r="D86" s="14">
        <f>'KY_Cost by Plant Acct P8 (REG)'!D86+'KY_Cost by Plant Acct P8 (REG)'!D176</f>
        <v>36015475.079999983</v>
      </c>
      <c r="E86" s="89"/>
      <c r="F86" s="14">
        <f>'KY_Cost by Plant Acct P8 (REG)'!F86</f>
        <v>-8820017.4299999997</v>
      </c>
      <c r="G86" s="89"/>
      <c r="H86" s="14">
        <f>'KY_Cost by Plant Acct P8 (REG)'!H86+'KY_Cost by Plant Acct P8 (REG)'!H176</f>
        <v>0</v>
      </c>
      <c r="I86" s="89"/>
      <c r="J86" s="14">
        <f t="shared" si="12"/>
        <v>27195457.649999984</v>
      </c>
      <c r="K86" s="89"/>
      <c r="L86" s="14">
        <f t="shared" si="13"/>
        <v>3968896485.0700002</v>
      </c>
      <c r="N86" s="15">
        <f>'KY_Res by Plant Acct P16(REG)'!R340</f>
        <v>-1203571425.8699999</v>
      </c>
      <c r="P86" s="15">
        <f t="shared" si="14"/>
        <v>2765325059.2000003</v>
      </c>
    </row>
    <row r="87" spans="1:17" x14ac:dyDescent="0.2">
      <c r="A87" s="3" t="s">
        <v>212</v>
      </c>
      <c r="B87" s="14">
        <f>'KY_Cost by Plant Acct P8 (REG)'!B87</f>
        <v>0</v>
      </c>
      <c r="C87" s="89"/>
      <c r="D87" s="14">
        <f>'KY_Cost by Plant Acct P8 (REG)'!D87</f>
        <v>0</v>
      </c>
      <c r="E87" s="89"/>
      <c r="F87" s="14">
        <f>'KY_Cost by Plant Acct P8 (REG)'!F87</f>
        <v>0</v>
      </c>
      <c r="G87" s="89"/>
      <c r="H87" s="14">
        <f>'KY_Cost by Plant Acct P8 (REG)'!H87</f>
        <v>0</v>
      </c>
      <c r="I87" s="89"/>
      <c r="J87" s="14">
        <f t="shared" si="12"/>
        <v>0</v>
      </c>
      <c r="K87" s="89"/>
      <c r="L87" s="14">
        <f t="shared" si="13"/>
        <v>0</v>
      </c>
      <c r="N87" s="15">
        <f>'KY_Res by Plant Acct P16(REG)'!R351</f>
        <v>0</v>
      </c>
      <c r="P87" s="15">
        <f t="shared" si="14"/>
        <v>0</v>
      </c>
    </row>
    <row r="88" spans="1:17" x14ac:dyDescent="0.2">
      <c r="A88" s="3" t="s">
        <v>213</v>
      </c>
      <c r="B88" s="14">
        <f>'KY_Cost by Plant Acct P8 (REG)'!B88+'KY_Cost by Plant Acct P8 (REG)'!B177</f>
        <v>335905666.77999991</v>
      </c>
      <c r="C88" s="89"/>
      <c r="D88" s="14">
        <f>'KY_Cost by Plant Acct P8 (REG)'!D88+'KY_Cost by Plant Acct P8 (REG)'!D177</f>
        <v>5819635.3999999994</v>
      </c>
      <c r="E88" s="89"/>
      <c r="F88" s="14">
        <f>'KY_Cost by Plant Acct P8 (REG)'!F88</f>
        <v>-4439606</v>
      </c>
      <c r="G88" s="89"/>
      <c r="H88" s="14">
        <f>'KY_Cost by Plant Acct P8 (REG)'!H88</f>
        <v>221969.43</v>
      </c>
      <c r="I88" s="89"/>
      <c r="J88" s="14">
        <f t="shared" si="12"/>
        <v>1601998.8299999991</v>
      </c>
      <c r="K88" s="89"/>
      <c r="L88" s="14">
        <f t="shared" si="13"/>
        <v>337507665.6099999</v>
      </c>
      <c r="N88" s="15">
        <f>'KY_Res by Plant Acct P16(REG)'!R367</f>
        <v>-167489484.84</v>
      </c>
      <c r="P88" s="15">
        <f t="shared" si="14"/>
        <v>170018180.76999989</v>
      </c>
    </row>
    <row r="89" spans="1:17" x14ac:dyDescent="0.2">
      <c r="A89" s="3" t="s">
        <v>214</v>
      </c>
      <c r="B89" s="14">
        <f>'KY_Cost by Plant Acct P8 (REG)'!B89</f>
        <v>0</v>
      </c>
      <c r="C89" s="89"/>
      <c r="D89" s="14">
        <f>'KY_Cost by Plant Acct P8 (REG)'!D89</f>
        <v>0</v>
      </c>
      <c r="E89" s="89"/>
      <c r="F89" s="14">
        <f>'KY_Cost by Plant Acct P8 (REG)'!F89</f>
        <v>0</v>
      </c>
      <c r="G89" s="89"/>
      <c r="H89" s="14">
        <f>'KY_Cost by Plant Acct P8 (REG)'!H89</f>
        <v>0</v>
      </c>
      <c r="I89" s="89"/>
      <c r="J89" s="14">
        <f t="shared" si="12"/>
        <v>0</v>
      </c>
      <c r="K89" s="89"/>
      <c r="L89" s="14">
        <f t="shared" si="13"/>
        <v>0</v>
      </c>
      <c r="N89" s="15">
        <f>'KY_Res by Plant Acct P16(REG)'!R368</f>
        <v>0</v>
      </c>
      <c r="P89" s="15">
        <f t="shared" si="14"/>
        <v>0</v>
      </c>
    </row>
    <row r="90" spans="1:17" x14ac:dyDescent="0.2">
      <c r="A90" s="3" t="s">
        <v>215</v>
      </c>
      <c r="B90" s="14">
        <f>'KY_Cost by Plant Acct P8 (REG)'!B90+'KY_Cost by Plant Acct P8 (REG)'!B178</f>
        <v>221897337.54999998</v>
      </c>
      <c r="C90" s="89"/>
      <c r="D90" s="14">
        <f>'KY_Cost by Plant Acct P8 (REG)'!D90+'KY_Cost by Plant Acct P8 (REG)'!D178</f>
        <v>30085566.699999999</v>
      </c>
      <c r="E90" s="89"/>
      <c r="F90" s="14">
        <f>'KY_Cost by Plant Acct P8 (REG)'!F90</f>
        <v>-115476.19</v>
      </c>
      <c r="G90" s="89"/>
      <c r="H90" s="14">
        <f>'KY_Cost by Plant Acct P8 (REG)'!H90</f>
        <v>0</v>
      </c>
      <c r="I90" s="89"/>
      <c r="J90" s="14">
        <f t="shared" si="12"/>
        <v>29970090.509999998</v>
      </c>
      <c r="K90" s="89"/>
      <c r="L90" s="14">
        <f t="shared" si="13"/>
        <v>251867428.05999997</v>
      </c>
      <c r="N90" s="15">
        <f>'KY_Res by Plant Acct P16(REG)'!R405</f>
        <v>-109875033.16999999</v>
      </c>
      <c r="P90" s="15">
        <f t="shared" si="14"/>
        <v>141992394.88999999</v>
      </c>
    </row>
    <row r="91" spans="1:17" x14ac:dyDescent="0.2">
      <c r="A91" s="3" t="s">
        <v>216</v>
      </c>
      <c r="B91" s="14">
        <f>'KY_Cost by Plant Acct P8 (REG)'!B91</f>
        <v>0</v>
      </c>
      <c r="C91" s="89"/>
      <c r="D91" s="14">
        <f>'KY_Cost by Plant Acct P8 (REG)'!D91</f>
        <v>0</v>
      </c>
      <c r="E91" s="89"/>
      <c r="F91" s="14">
        <f>'KY_Cost by Plant Acct P8 (REG)'!F91</f>
        <v>0</v>
      </c>
      <c r="G91" s="89"/>
      <c r="H91" s="14">
        <f>'KY_Cost by Plant Acct P8 (REG)'!H91</f>
        <v>0</v>
      </c>
      <c r="I91" s="89"/>
      <c r="J91" s="14">
        <f t="shared" si="12"/>
        <v>0</v>
      </c>
      <c r="K91" s="89"/>
      <c r="L91" s="14">
        <f t="shared" si="13"/>
        <v>0</v>
      </c>
      <c r="N91" s="15">
        <f>'KY_Res by Plant Acct P16(REG)'!R415</f>
        <v>0</v>
      </c>
      <c r="P91" s="15">
        <f t="shared" si="14"/>
        <v>0</v>
      </c>
    </row>
    <row r="92" spans="1:17" x14ac:dyDescent="0.2">
      <c r="A92" s="3" t="s">
        <v>217</v>
      </c>
      <c r="B92" s="14">
        <f>'KY_Cost by Plant Acct P8 (REG)'!B92+'KY_Cost by Plant Acct P8 (REG)'!B179</f>
        <v>36915884.120000005</v>
      </c>
      <c r="C92" s="89"/>
      <c r="D92" s="17">
        <f>'KY_Cost by Plant Acct P8 (REG)'!D92+'KY_Cost by Plant Acct P8 (REG)'!D179</f>
        <v>79918.289999999921</v>
      </c>
      <c r="E92" s="90"/>
      <c r="F92" s="17">
        <f>'KY_Cost by Plant Acct P8 (REG)'!F92</f>
        <v>-416466.95</v>
      </c>
      <c r="G92" s="90"/>
      <c r="H92" s="17">
        <f>'KY_Cost by Plant Acct P8 (REG)'!H92</f>
        <v>22250.26</v>
      </c>
      <c r="I92" s="90"/>
      <c r="J92" s="17">
        <f t="shared" si="12"/>
        <v>-314298.40000000008</v>
      </c>
      <c r="K92" s="90"/>
      <c r="L92" s="17">
        <f t="shared" si="13"/>
        <v>36601585.720000006</v>
      </c>
      <c r="M92" s="59"/>
      <c r="N92" s="60">
        <f>'KY_Res by Plant Acct P16(REG)'!R434</f>
        <v>-16600298.560000002</v>
      </c>
      <c r="O92" s="59"/>
      <c r="P92" s="60">
        <f t="shared" si="14"/>
        <v>20001287.160000004</v>
      </c>
      <c r="Q92" s="59"/>
    </row>
    <row r="93" spans="1:17" x14ac:dyDescent="0.2">
      <c r="A93" s="3" t="s">
        <v>218</v>
      </c>
      <c r="B93" s="17">
        <f>'KY_Cost by Plant Acct P8 (REG)'!B93</f>
        <v>27653256.49999994</v>
      </c>
      <c r="C93" s="90"/>
      <c r="D93" s="17">
        <f>'KY_Cost by Plant Acct P8 (REG)'!D93</f>
        <v>0</v>
      </c>
      <c r="E93" s="90"/>
      <c r="F93" s="17">
        <f>'KY_Cost by Plant Acct P8 (REG)'!F93</f>
        <v>-203134</v>
      </c>
      <c r="G93" s="90"/>
      <c r="H93" s="17">
        <f>'KY_Cost by Plant Acct P8 (REG)'!H93</f>
        <v>7488204.6200000001</v>
      </c>
      <c r="I93" s="90"/>
      <c r="J93" s="17">
        <f t="shared" si="12"/>
        <v>7285070.6200000001</v>
      </c>
      <c r="K93" s="90"/>
      <c r="L93" s="17">
        <f t="shared" si="13"/>
        <v>34938327.119999938</v>
      </c>
      <c r="M93" s="59"/>
      <c r="N93" s="60">
        <f>'KY_Res by Plant Acct P16(REG)'!R435</f>
        <v>-6941448.1799999876</v>
      </c>
      <c r="O93" s="59"/>
      <c r="P93" s="60">
        <f t="shared" si="14"/>
        <v>27996878.939999949</v>
      </c>
      <c r="Q93" s="59"/>
    </row>
    <row r="94" spans="1:17" x14ac:dyDescent="0.2">
      <c r="A94" s="3" t="s">
        <v>219</v>
      </c>
      <c r="B94" s="17">
        <f>'KY_Cost by Plant Acct P8 (REG)'!B94</f>
        <v>220491458.15000004</v>
      </c>
      <c r="C94" s="90"/>
      <c r="D94" s="17">
        <f>'KY_Cost by Plant Acct P8 (REG)'!D94</f>
        <v>0</v>
      </c>
      <c r="E94" s="90"/>
      <c r="F94" s="17">
        <f>'KY_Cost by Plant Acct P8 (REG)'!F94</f>
        <v>0</v>
      </c>
      <c r="G94" s="90"/>
      <c r="H94" s="17">
        <f>'KY_Cost by Plant Acct P8 (REG)'!H94</f>
        <v>-53428221.539999999</v>
      </c>
      <c r="I94" s="90"/>
      <c r="J94" s="17">
        <f t="shared" si="12"/>
        <v>-53428221.539999999</v>
      </c>
      <c r="K94" s="90"/>
      <c r="L94" s="17">
        <f t="shared" si="13"/>
        <v>167063236.61000004</v>
      </c>
      <c r="N94" s="60">
        <f>'KY_Res by Plant Acct P16(REG)'!R436</f>
        <v>-107043843.13</v>
      </c>
      <c r="P94" s="60">
        <f t="shared" si="14"/>
        <v>60019393.480000049</v>
      </c>
    </row>
    <row r="95" spans="1:17" x14ac:dyDescent="0.2">
      <c r="B95" s="18">
        <f>SUM(B83:B94)</f>
        <v>5142959423.2299995</v>
      </c>
      <c r="C95" s="92"/>
      <c r="D95" s="18">
        <f>SUM(D83:D94)</f>
        <v>90340753.919999987</v>
      </c>
      <c r="E95" s="92"/>
      <c r="F95" s="18">
        <f>SUM(F83:F94)</f>
        <v>-14556935.389999999</v>
      </c>
      <c r="G95" s="92"/>
      <c r="H95" s="18">
        <f>SUM(H83:H94)</f>
        <v>-45940016.920000002</v>
      </c>
      <c r="I95" s="92"/>
      <c r="J95" s="18">
        <f>SUM(J83:J94)</f>
        <v>29843801.609999977</v>
      </c>
      <c r="K95" s="92"/>
      <c r="L95" s="18">
        <f>SUM(L83:L94)</f>
        <v>5172803224.8400002</v>
      </c>
      <c r="M95" s="77"/>
      <c r="N95" s="18">
        <f>SUM(N83:N94)</f>
        <v>-1792569268.5499997</v>
      </c>
      <c r="O95" s="77"/>
      <c r="P95" s="18">
        <f>SUM(P83:P94)</f>
        <v>3380233956.29</v>
      </c>
    </row>
    <row r="96" spans="1:17" x14ac:dyDescent="0.2">
      <c r="B96" s="17"/>
      <c r="C96" s="90"/>
      <c r="D96" s="17"/>
      <c r="E96" s="90"/>
      <c r="F96" s="17"/>
      <c r="G96" s="90"/>
      <c r="H96" s="17"/>
      <c r="I96" s="90"/>
      <c r="J96" s="17"/>
      <c r="K96" s="90"/>
      <c r="L96" s="17"/>
    </row>
    <row r="97" spans="1:16" x14ac:dyDescent="0.2">
      <c r="A97" s="12" t="s">
        <v>18</v>
      </c>
      <c r="B97" s="17"/>
      <c r="C97" s="90"/>
      <c r="D97" s="17"/>
      <c r="E97" s="90"/>
      <c r="F97" s="17"/>
      <c r="G97" s="90"/>
      <c r="H97" s="17"/>
      <c r="I97" s="90"/>
      <c r="J97" s="17"/>
      <c r="K97" s="90"/>
      <c r="L97" s="17"/>
    </row>
    <row r="98" spans="1:16" x14ac:dyDescent="0.2">
      <c r="A98" s="3" t="s">
        <v>221</v>
      </c>
      <c r="B98" s="17">
        <f>'KY_Cost by Plant Acct P8 (REG)'!B98+'TN_Cost by Plant Acct P12 (REG)'!B27+'VA_Cost by Plant Acct P10 (REG)'!B47+'KY_Cost by Plant Acct P8 (REG)'!B183</f>
        <v>29529839.68</v>
      </c>
      <c r="C98" s="90"/>
      <c r="D98" s="17">
        <f>'KY_Cost by Plant Acct P8 (REG)'!D98+'TN_Cost by Plant Acct P12 (REG)'!D27+'VA_Cost by Plant Acct P10 (REG)'!D47+'KY_Cost by Plant Acct P8 (REG)'!D183</f>
        <v>0</v>
      </c>
      <c r="E98" s="90"/>
      <c r="F98" s="17">
        <f>'KY_Cost by Plant Acct P8 (REG)'!F98+'TN_Cost by Plant Acct P12 (REG)'!F27+'VA_Cost by Plant Acct P10 (REG)'!F47+'KY_Cost by Plant Acct P8 (REG)'!F183</f>
        <v>0</v>
      </c>
      <c r="G98" s="90"/>
      <c r="H98" s="17">
        <f>'KY_Cost by Plant Acct P8 (REG)'!H98+'TN_Cost by Plant Acct P12 (REG)'!H27+'VA_Cost by Plant Acct P10 (REG)'!H47+'KY_Cost by Plant Acct P8 (REG)'!H183</f>
        <v>0</v>
      </c>
      <c r="I98" s="90"/>
      <c r="J98" s="17">
        <f t="shared" ref="J98:J111" si="15">H98+F98+D98</f>
        <v>0</v>
      </c>
      <c r="K98" s="90"/>
      <c r="L98" s="17">
        <f t="shared" ref="L98:L111" si="16">J98+B98</f>
        <v>29529839.68</v>
      </c>
      <c r="N98" s="15">
        <f>'KY_Res by Plant Acct P16(REG)'!R440+'KY_Res by Plant Acct P16(REG)'!R441+'VA_Res by Plant Acct P17(REG)'!R45+'TN_Res by Plant Acct P18(REG)'!R25</f>
        <v>-17595499.419999998</v>
      </c>
      <c r="P98" s="15">
        <f t="shared" ref="P98:P111" si="17">L98+N98</f>
        <v>11934340.260000002</v>
      </c>
    </row>
    <row r="99" spans="1:16" x14ac:dyDescent="0.2">
      <c r="A99" s="3" t="s">
        <v>222</v>
      </c>
      <c r="B99" s="17">
        <f>'KY_Cost by Plant Acct P8 (REG)'!B99+'KY_Cost by Plant Acct P8 (REG)'!B184+'VA_Cost by Plant Acct P10 (REG)'!B48</f>
        <v>2360270.0699999998</v>
      </c>
      <c r="C99" s="90"/>
      <c r="D99" s="17">
        <f>'KY_Cost by Plant Acct P8 (REG)'!D99+'KY_Cost by Plant Acct P8 (REG)'!D184+'VA_Cost by Plant Acct P10 (REG)'!D48</f>
        <v>0</v>
      </c>
      <c r="E99" s="90"/>
      <c r="F99" s="17">
        <f>'KY_Cost by Plant Acct P8 (REG)'!F99+'VA_Cost by Plant Acct P10 (REG)'!F48</f>
        <v>0</v>
      </c>
      <c r="G99" s="90"/>
      <c r="H99" s="17">
        <f>'KY_Cost by Plant Acct P8 (REG)'!H99+'KY_Cost by Plant Acct P8 (REG)'!H184+'VA_Cost by Plant Acct P10 (REG)'!H48</f>
        <v>0</v>
      </c>
      <c r="I99" s="90"/>
      <c r="J99" s="17">
        <f t="shared" si="15"/>
        <v>0</v>
      </c>
      <c r="K99" s="90"/>
      <c r="L99" s="17">
        <f t="shared" si="16"/>
        <v>2360270.0699999998</v>
      </c>
      <c r="N99" s="15">
        <f>'KY_Res by Plant Acct P16(REG)'!R442</f>
        <v>0</v>
      </c>
      <c r="P99" s="15">
        <f t="shared" si="17"/>
        <v>2360270.0699999998</v>
      </c>
    </row>
    <row r="100" spans="1:16" x14ac:dyDescent="0.2">
      <c r="A100" s="3" t="s">
        <v>223</v>
      </c>
      <c r="B100" s="17">
        <f>'KY_Cost by Plant Acct P8 (REG)'!B100+'KY_Cost by Plant Acct P8 (REG)'!B185+'VA_Cost by Plant Acct P10 (REG)'!B49+'VA_Cost by Plant Acct P10 (REG)'!B82</f>
        <v>28845628.100000005</v>
      </c>
      <c r="C100" s="90"/>
      <c r="D100" s="17">
        <f>'KY_Cost by Plant Acct P8 (REG)'!D100+'KY_Cost by Plant Acct P8 (REG)'!D185+'VA_Cost by Plant Acct P10 (REG)'!D49+'VA_Cost by Plant Acct P10 (REG)'!D82</f>
        <v>537605.59000000008</v>
      </c>
      <c r="E100" s="90"/>
      <c r="F100" s="17">
        <f>'KY_Cost by Plant Acct P8 (REG)'!F100+'VA_Cost by Plant Acct P10 (REG)'!F49</f>
        <v>-112814.59999999999</v>
      </c>
      <c r="G100" s="90"/>
      <c r="H100" s="17">
        <f>'KY_Cost by Plant Acct P8 (REG)'!H100+'KY_Cost by Plant Acct P8 (REG)'!H185+'VA_Cost by Plant Acct P10 (REG)'!H49+'VA_Cost by Plant Acct P10 (REG)'!H82</f>
        <v>147601.17000000001</v>
      </c>
      <c r="I100" s="90"/>
      <c r="J100" s="17">
        <f t="shared" si="15"/>
        <v>572392.16000000015</v>
      </c>
      <c r="K100" s="90"/>
      <c r="L100" s="17">
        <f t="shared" si="16"/>
        <v>29418020.260000005</v>
      </c>
      <c r="N100" s="15">
        <f>'KY_Res by Plant Acct P16(REG)'!R443+'KY_Res by Plant Acct P16(REG)'!R444+'VA_Res by Plant Acct P17(REG)'!R46+'KY_Res by Plant Acct P16(REG)'!R445</f>
        <v>-7155297.79</v>
      </c>
      <c r="P100" s="15">
        <f t="shared" si="17"/>
        <v>22262722.470000006</v>
      </c>
    </row>
    <row r="101" spans="1:16" x14ac:dyDescent="0.2">
      <c r="A101" s="3" t="s">
        <v>224</v>
      </c>
      <c r="B101" s="17">
        <f>'KY_Cost by Plant Acct P8 (REG)'!B101+'KY_Cost by Plant Acct P8 (REG)'!B186</f>
        <v>193226.00999999992</v>
      </c>
      <c r="C101" s="90"/>
      <c r="D101" s="17">
        <f>'KY_Cost by Plant Acct P8 (REG)'!D101+'KY_Cost by Plant Acct P8 (REG)'!D186</f>
        <v>5785.94</v>
      </c>
      <c r="E101" s="90"/>
      <c r="F101" s="17">
        <f>'KY_Cost by Plant Acct P8 (REG)'!F101+'KY_Cost by Plant Acct P8 (REG)'!F186</f>
        <v>-32410.2</v>
      </c>
      <c r="G101" s="90"/>
      <c r="H101" s="17">
        <f>'KY_Cost by Plant Acct P8 (REG)'!H101+'KY_Cost by Plant Acct P8 (REG)'!H186</f>
        <v>-77830.59</v>
      </c>
      <c r="I101" s="90"/>
      <c r="J101" s="17">
        <f t="shared" si="15"/>
        <v>-104454.84999999999</v>
      </c>
      <c r="K101" s="90"/>
      <c r="L101" s="17">
        <f t="shared" si="16"/>
        <v>88771.159999999931</v>
      </c>
      <c r="N101" s="15">
        <f>'KY_Res by Plant Acct P16(REG)'!R446</f>
        <v>-36752.660000000003</v>
      </c>
      <c r="P101" s="15">
        <f t="shared" si="17"/>
        <v>52018.499999999927</v>
      </c>
    </row>
    <row r="102" spans="1:16" x14ac:dyDescent="0.2">
      <c r="A102" s="3" t="s">
        <v>225</v>
      </c>
      <c r="B102" s="17">
        <f>'KY_Cost by Plant Acct P8 (REG)'!B102+'KY_Cost by Plant Acct P8 (REG)'!B187+'VA_Cost by Plant Acct P10 (REG)'!B50+'VA_Cost by Plant Acct P10 (REG)'!B83</f>
        <v>278162110.89999998</v>
      </c>
      <c r="C102" s="90"/>
      <c r="D102" s="17">
        <f>'KY_Cost by Plant Acct P8 (REG)'!D102+'KY_Cost by Plant Acct P8 (REG)'!D187+'VA_Cost by Plant Acct P10 (REG)'!D50+'VA_Cost by Plant Acct P10 (REG)'!D83</f>
        <v>8757841.0499999989</v>
      </c>
      <c r="E102" s="90"/>
      <c r="F102" s="17">
        <f>'KY_Cost by Plant Acct P8 (REG)'!F102+'VA_Cost by Plant Acct P10 (REG)'!F50</f>
        <v>-2380835.6399999997</v>
      </c>
      <c r="G102" s="90"/>
      <c r="H102" s="17">
        <f>'KY_Cost by Plant Acct P8 (REG)'!H102+'KY_Cost by Plant Acct P8 (REG)'!H187+'VA_Cost by Plant Acct P10 (REG)'!H50+'VA_Cost by Plant Acct P10 (REG)'!H83</f>
        <v>676684.79</v>
      </c>
      <c r="I102" s="90"/>
      <c r="J102" s="17">
        <f t="shared" si="15"/>
        <v>7053690.1999999993</v>
      </c>
      <c r="K102" s="90"/>
      <c r="L102" s="17">
        <f t="shared" si="16"/>
        <v>285215801.09999996</v>
      </c>
      <c r="N102" s="15">
        <f>'KY_Res by Plant Acct P16(REG)'!R447+'KY_Res by Plant Acct P16(REG)'!R448+'VA_Res by Plant Acct P17(REG)'!R47</f>
        <v>-73552715.679999977</v>
      </c>
      <c r="P102" s="15">
        <f t="shared" si="17"/>
        <v>211663085.41999999</v>
      </c>
    </row>
    <row r="103" spans="1:16" x14ac:dyDescent="0.2">
      <c r="A103" s="3" t="s">
        <v>226</v>
      </c>
      <c r="B103" s="17">
        <f>'KY_Cost by Plant Acct P8 (REG)'!B103</f>
        <v>0</v>
      </c>
      <c r="C103" s="90"/>
      <c r="D103" s="17">
        <f>'KY_Cost by Plant Acct P8 (REG)'!D103</f>
        <v>0</v>
      </c>
      <c r="E103" s="90"/>
      <c r="F103" s="17">
        <f>'KY_Cost by Plant Acct P8 (REG)'!F103</f>
        <v>0</v>
      </c>
      <c r="G103" s="90"/>
      <c r="H103" s="17">
        <f>'KY_Cost by Plant Acct P8 (REG)'!H103</f>
        <v>0</v>
      </c>
      <c r="I103" s="90"/>
      <c r="J103" s="17">
        <f t="shared" si="15"/>
        <v>0</v>
      </c>
      <c r="K103" s="90"/>
      <c r="L103" s="17">
        <f t="shared" si="16"/>
        <v>0</v>
      </c>
      <c r="N103" s="15">
        <f>'KY_Res by Plant Acct P16(REG)'!R449</f>
        <v>-1.1641532182693481E-10</v>
      </c>
      <c r="P103" s="15">
        <f t="shared" si="17"/>
        <v>-1.1641532182693481E-10</v>
      </c>
    </row>
    <row r="104" spans="1:16" x14ac:dyDescent="0.2">
      <c r="A104" s="3" t="s">
        <v>227</v>
      </c>
      <c r="B104" s="17">
        <f>'KY_Cost by Plant Acct P8 (REG)'!B104+'KY_Cost by Plant Acct P8 (REG)'!B188</f>
        <v>6541159.8899999997</v>
      </c>
      <c r="C104" s="90"/>
      <c r="D104" s="17">
        <f>'KY_Cost by Plant Acct P8 (REG)'!D104+'KY_Cost by Plant Acct P8 (REG)'!D188</f>
        <v>35703.760000000002</v>
      </c>
      <c r="E104" s="90"/>
      <c r="F104" s="17">
        <f>'KY_Cost by Plant Acct P8 (REG)'!F104+'KY_Cost by Plant Acct P8 (REG)'!F188</f>
        <v>-3949271.49</v>
      </c>
      <c r="G104" s="90"/>
      <c r="H104" s="17">
        <f>'KY_Cost by Plant Acct P8 (REG)'!H104+'KY_Cost by Plant Acct P8 (REG)'!H188</f>
        <v>-3521.71</v>
      </c>
      <c r="I104" s="90"/>
      <c r="J104" s="17">
        <f t="shared" si="15"/>
        <v>-3917089.4400000004</v>
      </c>
      <c r="K104" s="90"/>
      <c r="L104" s="17">
        <f t="shared" si="16"/>
        <v>2624070.4499999993</v>
      </c>
      <c r="N104" s="15">
        <f>'KY_Res by Plant Acct P16(REG)'!R450</f>
        <v>-5726208.0200000005</v>
      </c>
      <c r="P104" s="15">
        <f t="shared" si="17"/>
        <v>-3102137.5700000012</v>
      </c>
    </row>
    <row r="105" spans="1:16" x14ac:dyDescent="0.2">
      <c r="A105" s="3" t="s">
        <v>228</v>
      </c>
      <c r="B105" s="17">
        <f>'KY_Cost by Plant Acct P8 (REG)'!B105+'VA_Cost by Plant Acct P10 (REG)'!B51+'KY_Cost by Plant Acct P8 (REG)'!B189</f>
        <v>76458680.919999987</v>
      </c>
      <c r="C105" s="90"/>
      <c r="D105" s="17">
        <f>'KY_Cost by Plant Acct P8 (REG)'!D105+'VA_Cost by Plant Acct P10 (REG)'!D51+'KY_Cost by Plant Acct P8 (REG)'!D189</f>
        <v>1593369.88</v>
      </c>
      <c r="E105" s="90"/>
      <c r="F105" s="17">
        <f>'KY_Cost by Plant Acct P8 (REG)'!F105+'VA_Cost by Plant Acct P10 (REG)'!F51</f>
        <v>-18956.650000000001</v>
      </c>
      <c r="G105" s="90"/>
      <c r="H105" s="17">
        <f>'KY_Cost by Plant Acct P8 (REG)'!H105+'VA_Cost by Plant Acct P10 (REG)'!H51+'KY_Cost by Plant Acct P8 (REG)'!H189</f>
        <v>0</v>
      </c>
      <c r="I105" s="90"/>
      <c r="J105" s="17">
        <f t="shared" si="15"/>
        <v>1574413.23</v>
      </c>
      <c r="K105" s="90"/>
      <c r="L105" s="17">
        <f t="shared" si="16"/>
        <v>78033094.149999991</v>
      </c>
      <c r="N105" s="15">
        <f>'KY_Res by Plant Acct P16(REG)'!R453+'VA_Res by Plant Acct P17(REG)'!R48</f>
        <v>-51151544.129999988</v>
      </c>
      <c r="P105" s="15">
        <f t="shared" si="17"/>
        <v>26881550.020000003</v>
      </c>
    </row>
    <row r="106" spans="1:16" x14ac:dyDescent="0.2">
      <c r="A106" s="3" t="s">
        <v>229</v>
      </c>
      <c r="B106" s="17">
        <f>'KY_Cost by Plant Acct P8 (REG)'!B106+'KY_Cost by Plant Acct P8 (REG)'!B190+'TN_Cost by Plant Acct P12 (REG)'!B28+'VA_Cost by Plant Acct P10 (REG)'!B52+'VA_Cost by Plant Acct P10 (REG)'!B84</f>
        <v>266283197.29000002</v>
      </c>
      <c r="C106" s="90"/>
      <c r="D106" s="17">
        <f>'KY_Cost by Plant Acct P8 (REG)'!D106+'KY_Cost by Plant Acct P8 (REG)'!D190+'TN_Cost by Plant Acct P12 (REG)'!D28+'VA_Cost by Plant Acct P10 (REG)'!D52+'VA_Cost by Plant Acct P10 (REG)'!D84</f>
        <v>44909565.410000004</v>
      </c>
      <c r="E106" s="90"/>
      <c r="F106" s="17">
        <f>'KY_Cost by Plant Acct P8 (REG)'!F106+'TN_Cost by Plant Acct P12 (REG)'!F28+'VA_Cost by Plant Acct P10 (REG)'!F52</f>
        <v>-4186406.13</v>
      </c>
      <c r="G106" s="90"/>
      <c r="H106" s="17">
        <f>'KY_Cost by Plant Acct P8 (REG)'!H106+'KY_Cost by Plant Acct P8 (REG)'!H190+'TN_Cost by Plant Acct P12 (REG)'!H28+'VA_Cost by Plant Acct P10 (REG)'!H52+'VA_Cost by Plant Acct P10 (REG)'!H84</f>
        <v>0</v>
      </c>
      <c r="I106" s="90"/>
      <c r="J106" s="17">
        <f t="shared" si="15"/>
        <v>40723159.280000001</v>
      </c>
      <c r="K106" s="90"/>
      <c r="L106" s="17">
        <f t="shared" si="16"/>
        <v>307006356.57000005</v>
      </c>
      <c r="N106" s="15">
        <f>'KY_Res by Plant Acct P16(REG)'!R457+'VA_Res by Plant Acct P17(REG)'!R49+'TN_Res by Plant Acct P18(REG)'!R26</f>
        <v>-72700252.809999987</v>
      </c>
      <c r="P106" s="15">
        <f t="shared" si="17"/>
        <v>234306103.76000005</v>
      </c>
    </row>
    <row r="107" spans="1:16" x14ac:dyDescent="0.2">
      <c r="A107" s="3" t="s">
        <v>230</v>
      </c>
      <c r="B107" s="17">
        <f>'KY_Cost by Plant Acct P8 (REG)'!B107+'KY_Cost by Plant Acct P8 (REG)'!B191+'TN_Cost by Plant Acct P12 (REG)'!B29+'VA_Cost by Plant Acct P10 (REG)'!B53+'VA_Cost by Plant Acct P10 (REG)'!B85</f>
        <v>184408082.69999996</v>
      </c>
      <c r="C107" s="90"/>
      <c r="D107" s="17">
        <f>'KY_Cost by Plant Acct P8 (REG)'!D107+'KY_Cost by Plant Acct P8 (REG)'!D191+'TN_Cost by Plant Acct P12 (REG)'!D29+'VA_Cost by Plant Acct P10 (REG)'!D53+'VA_Cost by Plant Acct P10 (REG)'!D85</f>
        <v>5721129.2200000007</v>
      </c>
      <c r="E107" s="90"/>
      <c r="F107" s="17">
        <f>'KY_Cost by Plant Acct P8 (REG)'!F107+'TN_Cost by Plant Acct P12 (REG)'!F29+'VA_Cost by Plant Acct P10 (REG)'!F53</f>
        <v>-2018494.5999999999</v>
      </c>
      <c r="G107" s="90"/>
      <c r="H107" s="17">
        <f>'KY_Cost by Plant Acct P8 (REG)'!H107+'KY_Cost by Plant Acct P8 (REG)'!H191+'TN_Cost by Plant Acct P12 (REG)'!H29+'VA_Cost by Plant Acct P10 (REG)'!H53+'VA_Cost by Plant Acct P10 (REG)'!H85</f>
        <v>0</v>
      </c>
      <c r="I107" s="90"/>
      <c r="J107" s="17">
        <f t="shared" si="15"/>
        <v>3702634.620000001</v>
      </c>
      <c r="K107" s="90"/>
      <c r="L107" s="17">
        <f t="shared" si="16"/>
        <v>188110717.31999996</v>
      </c>
      <c r="N107" s="15">
        <f>'KY_Res by Plant Acct P16(REG)'!R458+'KY_Res by Plant Acct P16(REG)'!R461+'VA_Res by Plant Acct P17(REG)'!R50+'TN_Res by Plant Acct P18(REG)'!R27</f>
        <v>-113883547.32999998</v>
      </c>
      <c r="P107" s="15">
        <f t="shared" si="17"/>
        <v>74227169.98999998</v>
      </c>
    </row>
    <row r="108" spans="1:16" x14ac:dyDescent="0.2">
      <c r="A108" s="3" t="s">
        <v>231</v>
      </c>
      <c r="B108" s="17">
        <f>'KY_Cost by Plant Acct P8 (REG)'!B108</f>
        <v>448760.26</v>
      </c>
      <c r="C108" s="90"/>
      <c r="D108" s="17">
        <f>'KY_Cost by Plant Acct P8 (REG)'!D108</f>
        <v>0</v>
      </c>
      <c r="E108" s="90"/>
      <c r="F108" s="17">
        <f>'KY_Cost by Plant Acct P8 (REG)'!F108</f>
        <v>0</v>
      </c>
      <c r="G108" s="90"/>
      <c r="H108" s="17">
        <f>'KY_Cost by Plant Acct P8 (REG)'!H108</f>
        <v>0</v>
      </c>
      <c r="I108" s="90"/>
      <c r="J108" s="17">
        <f t="shared" si="15"/>
        <v>0</v>
      </c>
      <c r="K108" s="90"/>
      <c r="L108" s="17">
        <f t="shared" si="16"/>
        <v>448760.26</v>
      </c>
      <c r="N108" s="15">
        <f>'KY_Res by Plant Acct P16(REG)'!R462+'VA_Res by Plant Acct P17(REG)'!R51</f>
        <v>-248740.42999999996</v>
      </c>
      <c r="P108" s="15">
        <f t="shared" si="17"/>
        <v>200019.83000000005</v>
      </c>
    </row>
    <row r="109" spans="1:16" x14ac:dyDescent="0.2">
      <c r="A109" s="3" t="s">
        <v>232</v>
      </c>
      <c r="B109" s="17">
        <f>'KY_Cost by Plant Acct P8 (REG)'!B109+'KY_Cost by Plant Acct P8 (REG)'!B192</f>
        <v>1118444.1700000002</v>
      </c>
      <c r="C109" s="17">
        <f>'KY_Cost by Plant Acct P8 (REG)'!C109+'KY_Cost by Plant Acct P8 (REG)'!C192</f>
        <v>0</v>
      </c>
      <c r="D109" s="17">
        <f>'KY_Cost by Plant Acct P8 (REG)'!D109+'KY_Cost by Plant Acct P8 (REG)'!D192</f>
        <v>181217.19</v>
      </c>
      <c r="E109" s="17">
        <f>'KY_Cost by Plant Acct P8 (REG)'!E109+'KY_Cost by Plant Acct P8 (REG)'!E192</f>
        <v>0</v>
      </c>
      <c r="F109" s="17">
        <f>'KY_Cost by Plant Acct P8 (REG)'!F109+'KY_Cost by Plant Acct P8 (REG)'!F192</f>
        <v>-566.96</v>
      </c>
      <c r="G109" s="17">
        <f>'KY_Cost by Plant Acct P8 (REG)'!G109+'KY_Cost by Plant Acct P8 (REG)'!G192</f>
        <v>0</v>
      </c>
      <c r="H109" s="17">
        <f>'KY_Cost by Plant Acct P8 (REG)'!H109+'KY_Cost by Plant Acct P8 (REG)'!H192</f>
        <v>0</v>
      </c>
      <c r="I109" s="90"/>
      <c r="J109" s="17">
        <f t="shared" si="15"/>
        <v>180650.23</v>
      </c>
      <c r="K109" s="90"/>
      <c r="L109" s="17">
        <f>J109+B109</f>
        <v>1299094.4000000001</v>
      </c>
      <c r="N109" s="15">
        <f>'KY_Res by Plant Acct P16(REG)'!R463+'VA_Res by Plant Acct P17(REG)'!R52</f>
        <v>-948753.98000000021</v>
      </c>
      <c r="P109" s="15">
        <f t="shared" si="17"/>
        <v>350340.41999999993</v>
      </c>
    </row>
    <row r="110" spans="1:16" x14ac:dyDescent="0.2">
      <c r="A110" s="3" t="s">
        <v>233</v>
      </c>
      <c r="B110" s="17">
        <f>'KY_Cost by Plant Acct P8 (REG)'!B110</f>
        <v>84829.629999999976</v>
      </c>
      <c r="C110" s="17">
        <f>'KY_Cost by Plant Acct P8 (REG)'!C110</f>
        <v>0</v>
      </c>
      <c r="D110" s="17">
        <f>'KY_Cost by Plant Acct P8 (REG)'!D110</f>
        <v>0</v>
      </c>
      <c r="E110" s="90"/>
      <c r="F110" s="17">
        <f>'KY_Cost by Plant Acct P8 (REG)'!F110</f>
        <v>0</v>
      </c>
      <c r="G110" s="90"/>
      <c r="H110" s="17">
        <f>'KY_Cost by Plant Acct P8 (REG)'!H110</f>
        <v>-11824.21</v>
      </c>
      <c r="I110" s="90"/>
      <c r="J110" s="17">
        <f t="shared" si="15"/>
        <v>-11824.21</v>
      </c>
      <c r="K110" s="90"/>
      <c r="L110" s="17">
        <f t="shared" si="16"/>
        <v>73005.419999999984</v>
      </c>
      <c r="N110" s="15">
        <f>'KY_Res by Plant Acct P16(REG)'!R464</f>
        <v>-6030.9500000000007</v>
      </c>
      <c r="P110" s="15">
        <f t="shared" si="17"/>
        <v>66974.469999999987</v>
      </c>
    </row>
    <row r="111" spans="1:16" x14ac:dyDescent="0.2">
      <c r="A111" s="3" t="s">
        <v>234</v>
      </c>
      <c r="B111" s="16">
        <f>'KY_Cost by Plant Acct P8 (REG)'!B111</f>
        <v>483852.19999999995</v>
      </c>
      <c r="C111" s="90"/>
      <c r="D111" s="16">
        <f>'KY_Cost by Plant Acct P8 (REG)'!D111</f>
        <v>0</v>
      </c>
      <c r="E111" s="90"/>
      <c r="F111" s="16">
        <f>'KY_Cost by Plant Acct P8 (REG)'!F111</f>
        <v>0</v>
      </c>
      <c r="G111" s="90"/>
      <c r="H111" s="16">
        <f>'KY_Cost by Plant Acct P8 (REG)'!H111</f>
        <v>0</v>
      </c>
      <c r="I111" s="90"/>
      <c r="J111" s="16">
        <f t="shared" si="15"/>
        <v>0</v>
      </c>
      <c r="K111" s="90"/>
      <c r="L111" s="16">
        <f t="shared" si="16"/>
        <v>483852.19999999995</v>
      </c>
      <c r="N111" s="91">
        <f>'KY_Res by Plant Acct P16(REG)'!R465</f>
        <v>-66936.73000000001</v>
      </c>
      <c r="P111" s="91">
        <f t="shared" si="17"/>
        <v>416915.47</v>
      </c>
    </row>
    <row r="112" spans="1:16" x14ac:dyDescent="0.2">
      <c r="B112" s="17">
        <f>SUM(B98:B111)</f>
        <v>874918081.81999981</v>
      </c>
      <c r="C112" s="90"/>
      <c r="D112" s="17">
        <f>SUM(D98:D111)</f>
        <v>61742218.039999999</v>
      </c>
      <c r="E112" s="90"/>
      <c r="F112" s="17">
        <f>SUM(F98:F111)</f>
        <v>-12699756.270000001</v>
      </c>
      <c r="G112" s="90"/>
      <c r="H112" s="17">
        <f>SUM(H98:H111)</f>
        <v>731109.45000000019</v>
      </c>
      <c r="I112" s="90"/>
      <c r="J112" s="17">
        <f>SUM(J98:J111)</f>
        <v>49773571.219999999</v>
      </c>
      <c r="K112" s="90"/>
      <c r="L112" s="17">
        <f>SUM(L98:L111)</f>
        <v>924691653.03999996</v>
      </c>
      <c r="N112" s="17">
        <f>SUM(N98:N111)</f>
        <v>-343072279.92999995</v>
      </c>
      <c r="P112" s="17">
        <f>SUM(P98:P111)</f>
        <v>581619373.11000013</v>
      </c>
    </row>
    <row r="113" spans="1:16" x14ac:dyDescent="0.2">
      <c r="B113" s="17"/>
      <c r="C113" s="89"/>
      <c r="D113" s="17"/>
      <c r="E113" s="89"/>
      <c r="F113" s="17"/>
      <c r="G113" s="89"/>
      <c r="H113" s="17"/>
      <c r="I113" s="89"/>
      <c r="J113" s="17"/>
      <c r="K113" s="89"/>
      <c r="L113" s="17"/>
    </row>
    <row r="114" spans="1:16" x14ac:dyDescent="0.2">
      <c r="C114" s="89"/>
      <c r="E114" s="89"/>
      <c r="G114" s="89"/>
      <c r="I114" s="89"/>
      <c r="K114" s="89"/>
    </row>
    <row r="115" spans="1:16" ht="13.5" thickBot="1" x14ac:dyDescent="0.25">
      <c r="A115" s="12" t="s">
        <v>3633</v>
      </c>
      <c r="B115" s="78">
        <f>B112+B95+B80+B66+B59+B48+B28</f>
        <v>9085007294.7199993</v>
      </c>
      <c r="C115" s="90"/>
      <c r="D115" s="78">
        <f>D112+D95+D80+D66+D59+D48+D28</f>
        <v>305613857.19999999</v>
      </c>
      <c r="E115" s="90"/>
      <c r="F115" s="78">
        <f>F112+F95+F80+F66+F59+F48+F28</f>
        <v>-69007662.599999994</v>
      </c>
      <c r="G115" s="90"/>
      <c r="H115" s="78">
        <f>H112+H95+H80+H66+H59+H48+H28</f>
        <v>-46342515.649999999</v>
      </c>
      <c r="I115" s="90"/>
      <c r="J115" s="78">
        <f>J112+J95+J80+J66+J59+J48+J28</f>
        <v>190263678.94999999</v>
      </c>
      <c r="K115" s="90"/>
      <c r="L115" s="78">
        <f>L112+L95+L80+L66+L59+L48+L28</f>
        <v>9275270973.6699982</v>
      </c>
      <c r="N115" s="78">
        <f>N112+N95+N80+N66+N59+N48+N28</f>
        <v>-3265606140.2199993</v>
      </c>
      <c r="P115" s="78">
        <f>P112+P95+P80+P66+P59+P48+P28</f>
        <v>6009664833.4499998</v>
      </c>
    </row>
    <row r="116" spans="1:16" ht="13.5" thickTop="1" x14ac:dyDescent="0.2">
      <c r="A116" s="12"/>
      <c r="B116" s="17"/>
      <c r="C116" s="90"/>
      <c r="D116" s="17"/>
      <c r="E116" s="90"/>
      <c r="F116" s="17"/>
      <c r="G116" s="90"/>
      <c r="H116" s="17"/>
      <c r="I116" s="90"/>
      <c r="J116" s="17"/>
      <c r="K116" s="90"/>
      <c r="L116" s="17"/>
    </row>
    <row r="117" spans="1:16" x14ac:dyDescent="0.2">
      <c r="B117" s="14">
        <f>+B115-'TOTAL_PIS COST SPLITS-P6 (REG)'!B196</f>
        <v>0</v>
      </c>
      <c r="C117" s="89"/>
      <c r="E117" s="89"/>
      <c r="G117" s="89"/>
      <c r="I117" s="89"/>
      <c r="K117" s="89"/>
    </row>
    <row r="118" spans="1:16" x14ac:dyDescent="0.2">
      <c r="C118" s="89"/>
      <c r="E118" s="89"/>
      <c r="G118" s="89"/>
      <c r="I118" s="89"/>
      <c r="K118" s="89"/>
    </row>
    <row r="119" spans="1:16" x14ac:dyDescent="0.2">
      <c r="C119" s="89"/>
      <c r="E119" s="89"/>
      <c r="G119" s="89"/>
      <c r="I119" s="89"/>
      <c r="K119" s="89"/>
    </row>
    <row r="120" spans="1:16" x14ac:dyDescent="0.2">
      <c r="C120" s="89"/>
      <c r="E120" s="89"/>
      <c r="G120" s="89"/>
      <c r="I120" s="89"/>
      <c r="K120" s="89"/>
    </row>
    <row r="121" spans="1:16" x14ac:dyDescent="0.2">
      <c r="C121" s="89"/>
      <c r="E121" s="89"/>
      <c r="G121" s="89"/>
      <c r="I121" s="89"/>
      <c r="K121" s="89"/>
    </row>
    <row r="122" spans="1:16" x14ac:dyDescent="0.2">
      <c r="C122" s="89"/>
      <c r="E122" s="89"/>
      <c r="G122" s="89"/>
      <c r="I122" s="89"/>
      <c r="K122" s="89"/>
    </row>
    <row r="123" spans="1:16" x14ac:dyDescent="0.2">
      <c r="C123" s="89"/>
      <c r="E123" s="89"/>
      <c r="G123" s="89"/>
      <c r="I123" s="89"/>
      <c r="K123" s="89"/>
    </row>
    <row r="124" spans="1:16" x14ac:dyDescent="0.2">
      <c r="C124" s="89"/>
      <c r="E124" s="89"/>
      <c r="G124" s="89"/>
      <c r="I124" s="89"/>
      <c r="K124" s="89"/>
    </row>
    <row r="125" spans="1:16" x14ac:dyDescent="0.2">
      <c r="C125" s="89"/>
      <c r="E125" s="89"/>
      <c r="G125" s="89"/>
      <c r="I125" s="89"/>
      <c r="K125" s="89"/>
    </row>
    <row r="126" spans="1:16" x14ac:dyDescent="0.2">
      <c r="C126" s="89"/>
      <c r="E126" s="89"/>
      <c r="G126" s="89"/>
      <c r="I126" s="89"/>
      <c r="K126" s="89"/>
    </row>
    <row r="127" spans="1:16" x14ac:dyDescent="0.2">
      <c r="C127" s="13"/>
      <c r="E127" s="13"/>
      <c r="G127" s="13"/>
      <c r="I127" s="13"/>
      <c r="K127" s="13"/>
    </row>
    <row r="128" spans="1:16" x14ac:dyDescent="0.2">
      <c r="C128" s="13"/>
      <c r="E128" s="13"/>
      <c r="G128" s="13"/>
      <c r="I128" s="13"/>
      <c r="K128" s="13"/>
    </row>
    <row r="129" spans="3:11" x14ac:dyDescent="0.2">
      <c r="C129" s="13"/>
      <c r="E129" s="13"/>
      <c r="G129" s="13"/>
      <c r="I129" s="13"/>
      <c r="K129" s="13"/>
    </row>
    <row r="130" spans="3:11" x14ac:dyDescent="0.2">
      <c r="C130" s="13"/>
      <c r="E130" s="13"/>
      <c r="G130" s="13"/>
      <c r="I130" s="13"/>
      <c r="K130" s="13"/>
    </row>
    <row r="131" spans="3:11" x14ac:dyDescent="0.2">
      <c r="C131" s="13"/>
      <c r="E131" s="13"/>
      <c r="G131" s="13"/>
      <c r="I131" s="13"/>
      <c r="K131" s="13"/>
    </row>
    <row r="132" spans="3:11" x14ac:dyDescent="0.2">
      <c r="C132" s="13"/>
      <c r="E132" s="13"/>
      <c r="G132" s="13"/>
      <c r="I132" s="13"/>
      <c r="K132" s="13"/>
    </row>
    <row r="133" spans="3:11" x14ac:dyDescent="0.2">
      <c r="C133" s="13"/>
      <c r="E133" s="13"/>
      <c r="G133" s="13"/>
      <c r="I133" s="13"/>
      <c r="K133" s="13"/>
    </row>
    <row r="134" spans="3:11" x14ac:dyDescent="0.2">
      <c r="C134" s="13"/>
      <c r="E134" s="13"/>
      <c r="G134" s="13"/>
      <c r="I134" s="13"/>
      <c r="K134" s="13"/>
    </row>
    <row r="135" spans="3:11" x14ac:dyDescent="0.2">
      <c r="C135" s="13"/>
      <c r="E135" s="13"/>
      <c r="G135" s="13"/>
      <c r="I135" s="13"/>
      <c r="K135" s="13"/>
    </row>
    <row r="136" spans="3:11" x14ac:dyDescent="0.2">
      <c r="C136" s="13"/>
      <c r="E136" s="13"/>
      <c r="G136" s="13"/>
      <c r="I136" s="13"/>
      <c r="K136" s="13"/>
    </row>
    <row r="137" spans="3:11" x14ac:dyDescent="0.2">
      <c r="C137" s="13"/>
      <c r="E137" s="13"/>
      <c r="G137" s="13"/>
      <c r="I137" s="13"/>
      <c r="K137" s="13"/>
    </row>
    <row r="138" spans="3:11" x14ac:dyDescent="0.2">
      <c r="C138" s="13"/>
      <c r="E138" s="13"/>
      <c r="G138" s="13"/>
      <c r="I138" s="13"/>
      <c r="K138" s="13"/>
    </row>
    <row r="139" spans="3:11" x14ac:dyDescent="0.2">
      <c r="C139" s="13"/>
      <c r="E139" s="13"/>
      <c r="G139" s="13"/>
      <c r="I139" s="13"/>
      <c r="K139" s="13"/>
    </row>
    <row r="140" spans="3:11" x14ac:dyDescent="0.2">
      <c r="C140" s="13"/>
      <c r="E140" s="13"/>
      <c r="G140" s="13"/>
      <c r="I140" s="13"/>
      <c r="K140" s="13"/>
    </row>
    <row r="141" spans="3:11" x14ac:dyDescent="0.2">
      <c r="C141" s="13"/>
      <c r="E141" s="13"/>
      <c r="G141" s="13"/>
      <c r="I141" s="13"/>
      <c r="K141" s="13"/>
    </row>
    <row r="142" spans="3:11" x14ac:dyDescent="0.2">
      <c r="C142" s="13"/>
      <c r="E142" s="13"/>
      <c r="G142" s="13"/>
      <c r="I142" s="13"/>
      <c r="K142" s="13"/>
    </row>
    <row r="143" spans="3:11" x14ac:dyDescent="0.2">
      <c r="C143" s="13"/>
      <c r="E143" s="13"/>
      <c r="G143" s="13"/>
      <c r="I143" s="13"/>
      <c r="K143" s="13"/>
    </row>
    <row r="144" spans="3:11" x14ac:dyDescent="0.2">
      <c r="C144" s="13"/>
      <c r="E144" s="13"/>
      <c r="G144" s="13"/>
      <c r="I144" s="13"/>
      <c r="K144" s="13"/>
    </row>
    <row r="145" spans="3:11" x14ac:dyDescent="0.2">
      <c r="C145" s="13"/>
      <c r="E145" s="13"/>
      <c r="G145" s="13"/>
      <c r="I145" s="13"/>
      <c r="K145" s="13"/>
    </row>
    <row r="146" spans="3:11" x14ac:dyDescent="0.2">
      <c r="C146" s="13"/>
      <c r="E146" s="13"/>
      <c r="G146" s="13"/>
      <c r="I146" s="13"/>
      <c r="K146" s="13"/>
    </row>
    <row r="147" spans="3:11" x14ac:dyDescent="0.2">
      <c r="C147" s="13"/>
      <c r="E147" s="13"/>
      <c r="G147" s="13"/>
      <c r="I147" s="13"/>
      <c r="K147" s="13"/>
    </row>
    <row r="148" spans="3:11" x14ac:dyDescent="0.2">
      <c r="C148" s="13"/>
      <c r="E148" s="13"/>
      <c r="G148" s="13"/>
      <c r="I148" s="13"/>
      <c r="K148" s="13"/>
    </row>
    <row r="149" spans="3:11" x14ac:dyDescent="0.2">
      <c r="C149" s="13"/>
      <c r="E149" s="13"/>
      <c r="G149" s="13"/>
      <c r="I149" s="13"/>
      <c r="K149" s="13"/>
    </row>
    <row r="150" spans="3:11" x14ac:dyDescent="0.2">
      <c r="C150" s="13"/>
      <c r="E150" s="13"/>
      <c r="G150" s="13"/>
      <c r="I150" s="13"/>
      <c r="K150" s="13"/>
    </row>
    <row r="151" spans="3:11" x14ac:dyDescent="0.2">
      <c r="C151" s="13"/>
      <c r="E151" s="13"/>
      <c r="G151" s="13"/>
      <c r="I151" s="13"/>
      <c r="K151" s="13"/>
    </row>
    <row r="152" spans="3:11" x14ac:dyDescent="0.2">
      <c r="C152" s="13"/>
      <c r="E152" s="13"/>
      <c r="G152" s="13"/>
      <c r="I152" s="13"/>
      <c r="K152" s="13"/>
    </row>
    <row r="153" spans="3:11" x14ac:dyDescent="0.2">
      <c r="C153" s="13"/>
      <c r="E153" s="13"/>
      <c r="G153" s="13"/>
      <c r="I153" s="13"/>
      <c r="K153" s="13"/>
    </row>
    <row r="154" spans="3:11" x14ac:dyDescent="0.2">
      <c r="C154" s="13"/>
      <c r="E154" s="13"/>
      <c r="G154" s="13"/>
      <c r="I154" s="13"/>
      <c r="K154" s="13"/>
    </row>
    <row r="155" spans="3:11" x14ac:dyDescent="0.2">
      <c r="C155" s="13"/>
      <c r="E155" s="13"/>
      <c r="G155" s="13"/>
      <c r="I155" s="13"/>
      <c r="K155" s="13"/>
    </row>
    <row r="156" spans="3:11" x14ac:dyDescent="0.2">
      <c r="C156" s="13"/>
      <c r="E156" s="13"/>
      <c r="G156" s="13"/>
      <c r="I156" s="13"/>
      <c r="K156" s="13"/>
    </row>
    <row r="157" spans="3:11" x14ac:dyDescent="0.2">
      <c r="C157" s="13"/>
      <c r="E157" s="13"/>
      <c r="G157" s="13"/>
      <c r="I157" s="13"/>
      <c r="K157" s="13"/>
    </row>
    <row r="158" spans="3:11" x14ac:dyDescent="0.2">
      <c r="C158" s="13"/>
      <c r="E158" s="13"/>
      <c r="G158" s="13"/>
      <c r="I158" s="13"/>
      <c r="K158" s="13"/>
    </row>
    <row r="159" spans="3:11" x14ac:dyDescent="0.2">
      <c r="C159" s="13"/>
      <c r="E159" s="13"/>
      <c r="G159" s="13"/>
      <c r="I159" s="13"/>
      <c r="K159" s="13"/>
    </row>
    <row r="160" spans="3:11" x14ac:dyDescent="0.2">
      <c r="C160" s="13"/>
      <c r="E160" s="13"/>
      <c r="G160" s="13"/>
      <c r="I160" s="13"/>
      <c r="K160" s="13"/>
    </row>
    <row r="161" spans="3:11" x14ac:dyDescent="0.2">
      <c r="C161" s="13"/>
      <c r="E161" s="13"/>
      <c r="G161" s="13"/>
      <c r="I161" s="13"/>
      <c r="K161" s="13"/>
    </row>
    <row r="162" spans="3:11" x14ac:dyDescent="0.2">
      <c r="C162" s="13"/>
      <c r="E162" s="13"/>
      <c r="G162" s="13"/>
      <c r="I162" s="13"/>
      <c r="K162" s="13"/>
    </row>
    <row r="163" spans="3:11" x14ac:dyDescent="0.2">
      <c r="C163" s="13"/>
      <c r="E163" s="13"/>
      <c r="G163" s="13"/>
      <c r="I163" s="13"/>
      <c r="K163" s="13"/>
    </row>
    <row r="164" spans="3:11" x14ac:dyDescent="0.2">
      <c r="C164" s="13"/>
      <c r="E164" s="13"/>
      <c r="G164" s="13"/>
      <c r="I164" s="13"/>
      <c r="K164" s="13"/>
    </row>
    <row r="165" spans="3:11" x14ac:dyDescent="0.2">
      <c r="C165" s="13"/>
      <c r="E165" s="13"/>
      <c r="G165" s="13"/>
      <c r="I165" s="13"/>
      <c r="K165" s="13"/>
    </row>
    <row r="166" spans="3:11" x14ac:dyDescent="0.2">
      <c r="C166" s="13"/>
      <c r="E166" s="13"/>
      <c r="G166" s="13"/>
      <c r="I166" s="13"/>
      <c r="K166" s="13"/>
    </row>
    <row r="167" spans="3:11" x14ac:dyDescent="0.2">
      <c r="C167" s="13"/>
      <c r="E167" s="13"/>
      <c r="G167" s="13"/>
      <c r="I167" s="13"/>
      <c r="K167" s="13"/>
    </row>
    <row r="168" spans="3:11" x14ac:dyDescent="0.2">
      <c r="C168" s="13"/>
      <c r="E168" s="13"/>
      <c r="G168" s="13"/>
      <c r="I168" s="13"/>
      <c r="K168" s="13"/>
    </row>
    <row r="169" spans="3:11" x14ac:dyDescent="0.2">
      <c r="C169" s="13"/>
      <c r="E169" s="13"/>
      <c r="G169" s="13"/>
      <c r="I169" s="13"/>
      <c r="K169" s="13"/>
    </row>
    <row r="170" spans="3:11" x14ac:dyDescent="0.2">
      <c r="C170" s="13"/>
      <c r="E170" s="13"/>
      <c r="G170" s="13"/>
      <c r="I170" s="13"/>
      <c r="K170" s="13"/>
    </row>
    <row r="171" spans="3:11" x14ac:dyDescent="0.2">
      <c r="C171" s="13"/>
      <c r="E171" s="13"/>
      <c r="G171" s="13"/>
      <c r="I171" s="13"/>
      <c r="K171" s="13"/>
    </row>
    <row r="172" spans="3:11" x14ac:dyDescent="0.2">
      <c r="C172" s="13"/>
      <c r="E172" s="13"/>
      <c r="G172" s="13"/>
      <c r="I172" s="13"/>
      <c r="K172" s="13"/>
    </row>
    <row r="173" spans="3:11" x14ac:dyDescent="0.2">
      <c r="C173" s="13"/>
      <c r="E173" s="13"/>
      <c r="G173" s="13"/>
      <c r="I173" s="13"/>
      <c r="K173" s="13"/>
    </row>
    <row r="174" spans="3:11" x14ac:dyDescent="0.2">
      <c r="C174" s="13"/>
      <c r="E174" s="13"/>
      <c r="G174" s="13"/>
      <c r="I174" s="13"/>
      <c r="K174" s="13"/>
    </row>
    <row r="175" spans="3:11" x14ac:dyDescent="0.2">
      <c r="C175" s="13"/>
      <c r="E175" s="13"/>
      <c r="G175" s="13"/>
      <c r="I175" s="13"/>
      <c r="K175" s="13"/>
    </row>
    <row r="176" spans="3:11" x14ac:dyDescent="0.2">
      <c r="C176" s="13"/>
      <c r="E176" s="13"/>
      <c r="G176" s="13"/>
      <c r="I176" s="13"/>
      <c r="K176" s="13"/>
    </row>
    <row r="177" spans="3:11" x14ac:dyDescent="0.2">
      <c r="C177" s="13"/>
      <c r="E177" s="13"/>
      <c r="G177" s="13"/>
      <c r="I177" s="13"/>
      <c r="K177" s="13"/>
    </row>
    <row r="178" spans="3:11" x14ac:dyDescent="0.2">
      <c r="C178" s="13"/>
      <c r="E178" s="13"/>
      <c r="G178" s="13"/>
      <c r="I178" s="13"/>
      <c r="K178" s="13"/>
    </row>
    <row r="179" spans="3:11" x14ac:dyDescent="0.2">
      <c r="C179" s="13"/>
      <c r="E179" s="13"/>
      <c r="G179" s="13"/>
      <c r="I179" s="13"/>
      <c r="K179" s="13"/>
    </row>
    <row r="180" spans="3:11" x14ac:dyDescent="0.2">
      <c r="C180" s="13"/>
      <c r="E180" s="13"/>
      <c r="G180" s="13"/>
      <c r="I180" s="13"/>
      <c r="K180" s="13"/>
    </row>
    <row r="181" spans="3:11" x14ac:dyDescent="0.2">
      <c r="C181" s="13"/>
      <c r="E181" s="13"/>
      <c r="G181" s="13"/>
      <c r="I181" s="13"/>
      <c r="K181" s="13"/>
    </row>
    <row r="182" spans="3:11" x14ac:dyDescent="0.2">
      <c r="C182" s="13"/>
      <c r="E182" s="13"/>
      <c r="G182" s="13"/>
      <c r="I182" s="13"/>
      <c r="K182" s="13"/>
    </row>
    <row r="183" spans="3:11" x14ac:dyDescent="0.2">
      <c r="C183" s="13"/>
      <c r="E183" s="13"/>
      <c r="G183" s="13"/>
      <c r="I183" s="13"/>
      <c r="K183" s="13"/>
    </row>
    <row r="184" spans="3:11" x14ac:dyDescent="0.2">
      <c r="C184" s="13"/>
      <c r="E184" s="13"/>
      <c r="G184" s="13"/>
      <c r="I184" s="13"/>
      <c r="K184" s="13"/>
    </row>
    <row r="185" spans="3:11" x14ac:dyDescent="0.2">
      <c r="C185" s="13"/>
      <c r="E185" s="13"/>
      <c r="G185" s="13"/>
      <c r="I185" s="13"/>
      <c r="K185" s="13"/>
    </row>
    <row r="186" spans="3:11" x14ac:dyDescent="0.2">
      <c r="C186" s="13"/>
      <c r="E186" s="13"/>
      <c r="G186" s="13"/>
      <c r="I186" s="13"/>
      <c r="K186" s="13"/>
    </row>
    <row r="187" spans="3:11" x14ac:dyDescent="0.2">
      <c r="C187" s="13"/>
      <c r="E187" s="13"/>
      <c r="G187" s="13"/>
      <c r="I187" s="13"/>
      <c r="K187" s="13"/>
    </row>
    <row r="188" spans="3:11" x14ac:dyDescent="0.2">
      <c r="C188" s="13"/>
      <c r="E188" s="13"/>
      <c r="G188" s="13"/>
      <c r="I188" s="13"/>
      <c r="K188" s="13"/>
    </row>
    <row r="189" spans="3:11" x14ac:dyDescent="0.2">
      <c r="C189" s="13"/>
      <c r="E189" s="13"/>
      <c r="G189" s="13"/>
      <c r="I189" s="13"/>
      <c r="K189" s="13"/>
    </row>
    <row r="190" spans="3:11" x14ac:dyDescent="0.2">
      <c r="C190" s="13"/>
      <c r="E190" s="13"/>
      <c r="G190" s="13"/>
      <c r="I190" s="13"/>
      <c r="K190" s="13"/>
    </row>
    <row r="191" spans="3:11" x14ac:dyDescent="0.2">
      <c r="C191" s="13"/>
      <c r="E191" s="13"/>
      <c r="G191" s="13"/>
      <c r="I191" s="13"/>
      <c r="K191" s="13"/>
    </row>
    <row r="192" spans="3:11" x14ac:dyDescent="0.2">
      <c r="C192" s="13"/>
      <c r="E192" s="13"/>
      <c r="G192" s="13"/>
      <c r="I192" s="13"/>
      <c r="K192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2" manualBreakCount="2">
    <brk id="49" max="16383" man="1"/>
    <brk id="8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workbookViewId="0">
      <selection sqref="A1:N1"/>
    </sheetView>
  </sheetViews>
  <sheetFormatPr defaultRowHeight="12.75" x14ac:dyDescent="0.2"/>
  <cols>
    <col min="1" max="1" width="51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6384" width="9.140625" style="3"/>
  </cols>
  <sheetData>
    <row r="1" spans="1:13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87" customFormat="1" ht="15.75" x14ac:dyDescent="0.25">
      <c r="A2" s="103" t="s">
        <v>3642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x14ac:dyDescent="0.2">
      <c r="B6" s="25" t="s">
        <v>2</v>
      </c>
      <c r="H6" s="25" t="s">
        <v>3</v>
      </c>
      <c r="L6" s="25" t="s">
        <v>4</v>
      </c>
    </row>
    <row r="7" spans="1:13" x14ac:dyDescent="0.2">
      <c r="A7" s="12" t="s">
        <v>3643</v>
      </c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3" x14ac:dyDescent="0.2">
      <c r="A8" s="12" t="s">
        <v>3644</v>
      </c>
      <c r="B8" s="11"/>
      <c r="D8" s="11"/>
      <c r="F8" s="11"/>
      <c r="H8" s="11"/>
      <c r="J8" s="11"/>
      <c r="L8" s="11"/>
    </row>
    <row r="9" spans="1:13" x14ac:dyDescent="0.2">
      <c r="A9" s="12" t="s">
        <v>12</v>
      </c>
    </row>
    <row r="10" spans="1:13" x14ac:dyDescent="0.2">
      <c r="A10" s="3" t="s">
        <v>146</v>
      </c>
      <c r="B10" s="14">
        <f>'KY_Cost by Plant Acct P8 (REG)'!B11+'VA_Cost by Plant Acct P10 (REG)'!B11+'TN_Cost by Plant Acct P12 (REG)'!B11</f>
        <v>2168929.31</v>
      </c>
      <c r="C10" s="89"/>
      <c r="D10" s="14">
        <f>'KY_Cost by Plant Acct P8 (REG)'!D11+'VA_Cost by Plant Acct P10 (REG)'!D11+'TN_Cost by Plant Acct P12 (REG)'!D11</f>
        <v>0</v>
      </c>
      <c r="E10" s="89"/>
      <c r="F10" s="14">
        <f>'KY_Cost by Plant Acct P8 (REG)'!F11+'VA_Cost by Plant Acct P10 (REG)'!F11+'TN_Cost by Plant Acct P12 (REG)'!F11</f>
        <v>0</v>
      </c>
      <c r="G10" s="89"/>
      <c r="H10" s="14">
        <f>'KY_Cost by Plant Acct P8 (REG)'!H11+'VA_Cost by Plant Acct P10 (REG)'!H11+'TN_Cost by Plant Acct P12 (REG)'!H11</f>
        <v>0</v>
      </c>
      <c r="I10" s="89"/>
      <c r="J10" s="14">
        <f t="shared" ref="J10:J26" si="0">H10+F10+D10</f>
        <v>0</v>
      </c>
      <c r="K10" s="89"/>
      <c r="L10" s="14">
        <f t="shared" ref="L10:L26" si="1">J10+B10</f>
        <v>2168929.31</v>
      </c>
    </row>
    <row r="11" spans="1:13" x14ac:dyDescent="0.2">
      <c r="A11" s="3" t="s">
        <v>147</v>
      </c>
      <c r="B11" s="14">
        <f>'KY_Cost by Plant Acct P8 (REG)'!B12+'VA_Cost by Plant Acct P10 (REG)'!B12+'TN_Cost by Plant Acct P12 (REG)'!B12</f>
        <v>5560045.7000000011</v>
      </c>
      <c r="C11" s="89"/>
      <c r="D11" s="14">
        <f>'KY_Cost by Plant Acct P8 (REG)'!D12+'VA_Cost by Plant Acct P10 (REG)'!D12+'TN_Cost by Plant Acct P12 (REG)'!D12</f>
        <v>250252.80000000002</v>
      </c>
      <c r="E11" s="89"/>
      <c r="F11" s="14">
        <f>'KY_Cost by Plant Acct P8 (REG)'!F12+'VA_Cost by Plant Acct P10 (REG)'!F12+'TN_Cost by Plant Acct P12 (REG)'!F12</f>
        <v>-14378.77</v>
      </c>
      <c r="G11" s="89"/>
      <c r="H11" s="14">
        <f>'KY_Cost by Plant Acct P8 (REG)'!H12+'VA_Cost by Plant Acct P10 (REG)'!H12+'TN_Cost by Plant Acct P12 (REG)'!H12</f>
        <v>-240853.29</v>
      </c>
      <c r="I11" s="89"/>
      <c r="J11" s="14">
        <f t="shared" si="0"/>
        <v>-4979.2599999999802</v>
      </c>
      <c r="K11" s="89"/>
      <c r="L11" s="14">
        <f t="shared" si="1"/>
        <v>5555066.4400000013</v>
      </c>
    </row>
    <row r="12" spans="1:13" x14ac:dyDescent="0.2">
      <c r="A12" s="3" t="s">
        <v>148</v>
      </c>
      <c r="B12" s="14">
        <f>'KY_Cost by Plant Acct P8 (REG)'!B13+'VA_Cost by Plant Acct P10 (REG)'!B13+'TN_Cost by Plant Acct P12 (REG)'!B13</f>
        <v>10900816.02</v>
      </c>
      <c r="C12" s="89"/>
      <c r="D12" s="14">
        <f>'KY_Cost by Plant Acct P8 (REG)'!D13+'VA_Cost by Plant Acct P10 (REG)'!D13+'TN_Cost by Plant Acct P12 (REG)'!D13</f>
        <v>2001516.73</v>
      </c>
      <c r="E12" s="89"/>
      <c r="F12" s="14">
        <f>'KY_Cost by Plant Acct P8 (REG)'!F13+'VA_Cost by Plant Acct P10 (REG)'!F13+'TN_Cost by Plant Acct P12 (REG)'!F13</f>
        <v>-74538.539999999994</v>
      </c>
      <c r="G12" s="89"/>
      <c r="H12" s="14">
        <f>'KY_Cost by Plant Acct P8 (REG)'!H13+'VA_Cost by Plant Acct P10 (REG)'!H13+'TN_Cost by Plant Acct P12 (REG)'!H13</f>
        <v>-73624.78</v>
      </c>
      <c r="I12" s="89"/>
      <c r="J12" s="14">
        <f t="shared" si="0"/>
        <v>1853353.41</v>
      </c>
      <c r="K12" s="89"/>
      <c r="L12" s="14">
        <f t="shared" si="1"/>
        <v>12754169.43</v>
      </c>
    </row>
    <row r="13" spans="1:13" x14ac:dyDescent="0.2">
      <c r="A13" s="3" t="s">
        <v>149</v>
      </c>
      <c r="B13" s="14">
        <f>'KY_Cost by Plant Acct P8 (REG)'!B14+'VA_Cost by Plant Acct P10 (REG)'!B14+'TN_Cost by Plant Acct P12 (REG)'!B14</f>
        <v>175789674.75000003</v>
      </c>
      <c r="C13" s="89"/>
      <c r="D13" s="14">
        <f>'KY_Cost by Plant Acct P8 (REG)'!D14+'VA_Cost by Plant Acct P10 (REG)'!D14+'TN_Cost by Plant Acct P12 (REG)'!D14</f>
        <v>11057723.84</v>
      </c>
      <c r="E13" s="89"/>
      <c r="F13" s="14">
        <f>'KY_Cost by Plant Acct P8 (REG)'!F14+'VA_Cost by Plant Acct P10 (REG)'!F14+'TN_Cost by Plant Acct P12 (REG)'!F14</f>
        <v>-1908263.7500000002</v>
      </c>
      <c r="G13" s="89"/>
      <c r="H13" s="14">
        <f>'KY_Cost by Plant Acct P8 (REG)'!H14+'VA_Cost by Plant Acct P10 (REG)'!H14+'TN_Cost by Plant Acct P12 (REG)'!H14</f>
        <v>-669308.88</v>
      </c>
      <c r="I13" s="89"/>
      <c r="J13" s="14">
        <f t="shared" si="0"/>
        <v>8480151.209999999</v>
      </c>
      <c r="K13" s="89"/>
      <c r="L13" s="14">
        <f t="shared" si="1"/>
        <v>184269825.96000004</v>
      </c>
    </row>
    <row r="14" spans="1:13" x14ac:dyDescent="0.2">
      <c r="A14" s="3" t="s">
        <v>150</v>
      </c>
      <c r="B14" s="14">
        <f>'KY_Cost by Plant Acct P8 (REG)'!B15+'VA_Cost by Plant Acct P10 (REG)'!B15+'TN_Cost by Plant Acct P12 (REG)'!B15</f>
        <v>363188555.33999997</v>
      </c>
      <c r="C14" s="89"/>
      <c r="D14" s="14">
        <f>'KY_Cost by Plant Acct P8 (REG)'!D15+'VA_Cost by Plant Acct P10 (REG)'!D15+'TN_Cost by Plant Acct P12 (REG)'!D15</f>
        <v>20194056.43</v>
      </c>
      <c r="E14" s="89"/>
      <c r="F14" s="14">
        <f>'KY_Cost by Plant Acct P8 (REG)'!F15+'VA_Cost by Plant Acct P10 (REG)'!F15+'TN_Cost by Plant Acct P12 (REG)'!F15</f>
        <v>-1857902.1500000001</v>
      </c>
      <c r="G14" s="89"/>
      <c r="H14" s="14">
        <f>'KY_Cost by Plant Acct P8 (REG)'!H15+'VA_Cost by Plant Acct P10 (REG)'!H15+'TN_Cost by Plant Acct P12 (REG)'!H15</f>
        <v>0</v>
      </c>
      <c r="I14" s="89"/>
      <c r="J14" s="14">
        <f t="shared" si="0"/>
        <v>18336154.280000001</v>
      </c>
      <c r="K14" s="89"/>
      <c r="L14" s="14">
        <f t="shared" si="1"/>
        <v>381524709.62</v>
      </c>
    </row>
    <row r="15" spans="1:13" x14ac:dyDescent="0.2">
      <c r="A15" s="3" t="s">
        <v>151</v>
      </c>
      <c r="B15" s="14">
        <f>'KY_Cost by Plant Acct P8 (REG)'!B16+'VA_Cost by Plant Acct P10 (REG)'!B16+'TN_Cost by Plant Acct P12 (REG)'!B16</f>
        <v>339907380.67000002</v>
      </c>
      <c r="C15" s="89"/>
      <c r="D15" s="14">
        <f>'KY_Cost by Plant Acct P8 (REG)'!D16+'VA_Cost by Plant Acct P10 (REG)'!D16+'TN_Cost by Plant Acct P12 (REG)'!D16</f>
        <v>24651241</v>
      </c>
      <c r="E15" s="89"/>
      <c r="F15" s="14">
        <f>'KY_Cost by Plant Acct P8 (REG)'!F16+'VA_Cost by Plant Acct P10 (REG)'!F16+'TN_Cost by Plant Acct P12 (REG)'!F16</f>
        <v>-8166161.6900000004</v>
      </c>
      <c r="G15" s="89"/>
      <c r="H15" s="14">
        <f>'KY_Cost by Plant Acct P8 (REG)'!H16+'VA_Cost by Plant Acct P10 (REG)'!H16+'TN_Cost by Plant Acct P12 (REG)'!H16</f>
        <v>0</v>
      </c>
      <c r="I15" s="89"/>
      <c r="J15" s="14">
        <f t="shared" si="0"/>
        <v>16485079.309999999</v>
      </c>
      <c r="K15" s="89"/>
      <c r="L15" s="14">
        <f t="shared" si="1"/>
        <v>356392459.98000002</v>
      </c>
    </row>
    <row r="16" spans="1:13" x14ac:dyDescent="0.2">
      <c r="A16" s="3" t="s">
        <v>152</v>
      </c>
      <c r="B16" s="14">
        <f>'KY_Cost by Plant Acct P8 (REG)'!B17+'TN_Cost by Plant Acct P12 (REG)'!B17</f>
        <v>2189375.2899999996</v>
      </c>
      <c r="C16" s="89"/>
      <c r="D16" s="14">
        <f>'KY_Cost by Plant Acct P8 (REG)'!D17+'TN_Cost by Plant Acct P12 (REG)'!D17</f>
        <v>29793.25</v>
      </c>
      <c r="E16" s="89"/>
      <c r="F16" s="14">
        <f>'KY_Cost by Plant Acct P8 (REG)'!F17+'TN_Cost by Plant Acct P12 (REG)'!F17</f>
        <v>0</v>
      </c>
      <c r="G16" s="89"/>
      <c r="H16" s="14">
        <f>'KY_Cost by Plant Acct P8 (REG)'!H17+'TN_Cost by Plant Acct P12 (REG)'!H17</f>
        <v>0</v>
      </c>
      <c r="I16" s="89"/>
      <c r="J16" s="14">
        <f t="shared" si="0"/>
        <v>29793.25</v>
      </c>
      <c r="K16" s="89"/>
      <c r="L16" s="14">
        <f t="shared" si="1"/>
        <v>2219168.5399999996</v>
      </c>
    </row>
    <row r="17" spans="1:12" x14ac:dyDescent="0.2">
      <c r="A17" s="3" t="s">
        <v>153</v>
      </c>
      <c r="B17" s="14">
        <f>'KY_Cost by Plant Acct P8 (REG)'!B18+'VA_Cost by Plant Acct P10 (REG)'!B17+'TN_Cost by Plant Acct P12 (REG)'!B18</f>
        <v>180187209.19000003</v>
      </c>
      <c r="C17" s="89"/>
      <c r="D17" s="14">
        <f>'KY_Cost by Plant Acct P8 (REG)'!D18+'VA_Cost by Plant Acct P10 (REG)'!D17+'TN_Cost by Plant Acct P12 (REG)'!D18</f>
        <v>8048551.4799999995</v>
      </c>
      <c r="E17" s="89"/>
      <c r="F17" s="14">
        <f>'KY_Cost by Plant Acct P8 (REG)'!F18+'VA_Cost by Plant Acct P10 (REG)'!F17+'TN_Cost by Plant Acct P12 (REG)'!F18</f>
        <v>-879783.42999999993</v>
      </c>
      <c r="G17" s="89"/>
      <c r="H17" s="14">
        <f>'KY_Cost by Plant Acct P8 (REG)'!H18+'VA_Cost by Plant Acct P10 (REG)'!H17+'TN_Cost by Plant Acct P12 (REG)'!H18</f>
        <v>0</v>
      </c>
      <c r="I17" s="89"/>
      <c r="J17" s="14">
        <f t="shared" si="0"/>
        <v>7168768.0499999998</v>
      </c>
      <c r="K17" s="89"/>
      <c r="L17" s="14">
        <f t="shared" si="1"/>
        <v>187355977.24000004</v>
      </c>
    </row>
    <row r="18" spans="1:12" x14ac:dyDescent="0.2">
      <c r="A18" s="3" t="s">
        <v>154</v>
      </c>
      <c r="B18" s="14">
        <f>'KY_Cost by Plant Acct P8 (REG)'!B19+'VA_Cost by Plant Acct P10 (REG)'!B18+'TN_Cost by Plant Acct P12 (REG)'!B19</f>
        <v>311248701.35000002</v>
      </c>
      <c r="C18" s="89"/>
      <c r="D18" s="14">
        <f>'KY_Cost by Plant Acct P8 (REG)'!D19+'VA_Cost by Plant Acct P10 (REG)'!D18+'TN_Cost by Plant Acct P12 (REG)'!D19</f>
        <v>7983579.5199999996</v>
      </c>
      <c r="E18" s="89"/>
      <c r="F18" s="14">
        <f>'KY_Cost by Plant Acct P8 (REG)'!F19+'VA_Cost by Plant Acct P10 (REG)'!F18+'TN_Cost by Plant Acct P12 (REG)'!F19</f>
        <v>-9593062.4699999988</v>
      </c>
      <c r="G18" s="89"/>
      <c r="H18" s="14">
        <f>'KY_Cost by Plant Acct P8 (REG)'!H19+'VA_Cost by Plant Acct P10 (REG)'!H18+'TN_Cost by Plant Acct P12 (REG)'!H19</f>
        <v>0</v>
      </c>
      <c r="I18" s="89"/>
      <c r="J18" s="14">
        <f t="shared" si="0"/>
        <v>-1609482.9499999993</v>
      </c>
      <c r="K18" s="89"/>
      <c r="L18" s="14">
        <f t="shared" si="1"/>
        <v>309639218.40000004</v>
      </c>
    </row>
    <row r="19" spans="1:12" x14ac:dyDescent="0.2">
      <c r="A19" s="3" t="s">
        <v>155</v>
      </c>
      <c r="B19" s="14">
        <f>'KY_Cost by Plant Acct P8 (REG)'!B20+'VA_Cost by Plant Acct P10 (REG)'!B19+'TN_Cost by Plant Acct P12 (REG)'!B20</f>
        <v>103280171.53999999</v>
      </c>
      <c r="C19" s="89"/>
      <c r="D19" s="14">
        <f>'KY_Cost by Plant Acct P8 (REG)'!D20+'VA_Cost by Plant Acct P10 (REG)'!D19+'TN_Cost by Plant Acct P12 (REG)'!D20</f>
        <v>11146522.219999999</v>
      </c>
      <c r="E19" s="89"/>
      <c r="F19" s="14">
        <f>'KY_Cost by Plant Acct P8 (REG)'!F20+'VA_Cost by Plant Acct P10 (REG)'!F19+'TN_Cost by Plant Acct P12 (REG)'!F20</f>
        <v>-80976.81</v>
      </c>
      <c r="G19" s="89"/>
      <c r="H19" s="14">
        <f>'KY_Cost by Plant Acct P8 (REG)'!H20+'VA_Cost by Plant Acct P10 (REG)'!H19+'TN_Cost by Plant Acct P12 (REG)'!H20</f>
        <v>0</v>
      </c>
      <c r="I19" s="89"/>
      <c r="J19" s="14">
        <f t="shared" si="0"/>
        <v>11065545.409999998</v>
      </c>
      <c r="K19" s="89"/>
      <c r="L19" s="14">
        <f t="shared" si="1"/>
        <v>114345716.94999999</v>
      </c>
    </row>
    <row r="20" spans="1:12" x14ac:dyDescent="0.2">
      <c r="A20" s="3" t="s">
        <v>156</v>
      </c>
      <c r="B20" s="14">
        <f>'KY_Cost by Plant Acct P8 (REG)'!B21+'VA_Cost by Plant Acct P10 (REG)'!B20+'TN_Cost by Plant Acct P12 (REG)'!B21</f>
        <v>77616650.019999996</v>
      </c>
      <c r="C20" s="89"/>
      <c r="D20" s="14">
        <f>'KY_Cost by Plant Acct P8 (REG)'!D21+'VA_Cost by Plant Acct P10 (REG)'!D20+'TN_Cost by Plant Acct P12 (REG)'!D21</f>
        <v>968860.8</v>
      </c>
      <c r="E20" s="89"/>
      <c r="F20" s="14">
        <f>'KY_Cost by Plant Acct P8 (REG)'!F21+'VA_Cost by Plant Acct P10 (REG)'!F20+'TN_Cost by Plant Acct P12 (REG)'!F21</f>
        <v>-1993750.74</v>
      </c>
      <c r="G20" s="89"/>
      <c r="H20" s="14">
        <f>'KY_Cost by Plant Acct P8 (REG)'!H21+'VA_Cost by Plant Acct P10 (REG)'!H20+'TN_Cost by Plant Acct P12 (REG)'!H21</f>
        <v>-10915004.949999999</v>
      </c>
      <c r="I20" s="89"/>
      <c r="J20" s="14">
        <f t="shared" si="0"/>
        <v>-11939894.889999999</v>
      </c>
      <c r="K20" s="89"/>
      <c r="L20" s="14">
        <f t="shared" si="1"/>
        <v>65676755.129999995</v>
      </c>
    </row>
    <row r="21" spans="1:12" x14ac:dyDescent="0.2">
      <c r="A21" s="43" t="s">
        <v>157</v>
      </c>
      <c r="B21" s="14">
        <f>'KY_Cost by Plant Acct P8 (REG)'!B22</f>
        <v>952365.7</v>
      </c>
      <c r="C21" s="89"/>
      <c r="D21" s="14">
        <f>'KY_Cost by Plant Acct P8 (REG)'!D22</f>
        <v>135795.26</v>
      </c>
      <c r="E21" s="89"/>
      <c r="F21" s="14">
        <f>'KY_Cost by Plant Acct P8 (REG)'!F22</f>
        <v>0</v>
      </c>
      <c r="G21" s="89"/>
      <c r="H21" s="14">
        <f>'KY_Cost by Plant Acct P8 (REG)'!H22</f>
        <v>0</v>
      </c>
      <c r="I21" s="89"/>
      <c r="J21" s="14">
        <f t="shared" si="0"/>
        <v>135795.26</v>
      </c>
      <c r="K21" s="89"/>
      <c r="L21" s="14">
        <f t="shared" si="1"/>
        <v>1088160.96</v>
      </c>
    </row>
    <row r="22" spans="1:12" x14ac:dyDescent="0.2">
      <c r="A22" s="43" t="s">
        <v>158</v>
      </c>
      <c r="B22" s="14">
        <f>'KY_Cost by Plant Acct P8 (REG)'!B23</f>
        <v>0</v>
      </c>
      <c r="C22" s="89"/>
      <c r="D22" s="14">
        <f>'KY_Cost by Plant Acct P8 (REG)'!D23+'VA_Cost by Plant Acct P10 (REG)'!D21</f>
        <v>348945.1</v>
      </c>
      <c r="E22" s="89"/>
      <c r="F22" s="14">
        <f>'KY_Cost by Plant Acct P8 (REG)'!F23+'VA_Cost by Plant Acct P10 (REG)'!F21</f>
        <v>-56276.28</v>
      </c>
      <c r="G22" s="89"/>
      <c r="H22" s="14">
        <f>'KY_Cost by Plant Acct P8 (REG)'!H23+'VA_Cost by Plant Acct P10 (REG)'!H21+'TN_Cost by Plant Acct P12 (REG)'!H22</f>
        <v>10915004.949999999</v>
      </c>
      <c r="I22" s="89"/>
      <c r="J22" s="14">
        <f t="shared" si="0"/>
        <v>11207673.77</v>
      </c>
      <c r="K22" s="89"/>
      <c r="L22" s="14">
        <f t="shared" si="1"/>
        <v>11207673.77</v>
      </c>
    </row>
    <row r="23" spans="1:12" x14ac:dyDescent="0.2">
      <c r="A23" s="3" t="s">
        <v>159</v>
      </c>
      <c r="B23" s="14">
        <f>'KY_Cost by Plant Acct P8 (REG)'!B24+'VA_Cost by Plant Acct P10 (REG)'!B22+'TN_Cost by Plant Acct P12 (REG)'!B23</f>
        <v>0</v>
      </c>
      <c r="C23" s="89"/>
      <c r="D23" s="14">
        <f>'KY_Cost by Plant Acct P8 (REG)'!D24+'VA_Cost by Plant Acct P10 (REG)'!D22+'TN_Cost by Plant Acct P12 (REG)'!D23</f>
        <v>0</v>
      </c>
      <c r="E23" s="89"/>
      <c r="F23" s="14">
        <f>'KY_Cost by Plant Acct P8 (REG)'!F24+'VA_Cost by Plant Acct P10 (REG)'!F22+'TN_Cost by Plant Acct P12 (REG)'!F23</f>
        <v>0</v>
      </c>
      <c r="G23" s="89"/>
      <c r="H23" s="14">
        <f>'KY_Cost by Plant Acct P8 (REG)'!H24+'VA_Cost by Plant Acct P10 (REG)'!H22+'TN_Cost by Plant Acct P12 (REG)'!H23</f>
        <v>0</v>
      </c>
      <c r="I23" s="89"/>
      <c r="J23" s="14">
        <f t="shared" si="0"/>
        <v>0</v>
      </c>
      <c r="K23" s="89"/>
      <c r="L23" s="14">
        <f t="shared" si="1"/>
        <v>0</v>
      </c>
    </row>
    <row r="24" spans="1:12" x14ac:dyDescent="0.2">
      <c r="A24" s="3" t="s">
        <v>160</v>
      </c>
      <c r="B24" s="14">
        <f>'KY_Cost by Plant Acct P8 (REG)'!B25+'VA_Cost by Plant Acct P10 (REG)'!B23</f>
        <v>110834665.68000001</v>
      </c>
      <c r="C24" s="90"/>
      <c r="D24" s="14">
        <f>'KY_Cost by Plant Acct P8 (REG)'!D25+'VA_Cost by Plant Acct P10 (REG)'!D23</f>
        <v>6744495.79</v>
      </c>
      <c r="E24" s="90"/>
      <c r="F24" s="14">
        <f>'KY_Cost by Plant Acct P8 (REG)'!F25+'VA_Cost by Plant Acct P10 (REG)'!F23</f>
        <v>-816112.82</v>
      </c>
      <c r="G24" s="90"/>
      <c r="H24" s="14">
        <f>'KY_Cost by Plant Acct P8 (REG)'!H25+'VA_Cost by Plant Acct P10 (REG)'!H23</f>
        <v>0</v>
      </c>
      <c r="I24" s="90"/>
      <c r="J24" s="17">
        <f t="shared" si="0"/>
        <v>5928382.9699999997</v>
      </c>
      <c r="K24" s="90"/>
      <c r="L24" s="17">
        <f t="shared" si="1"/>
        <v>116763048.65000001</v>
      </c>
    </row>
    <row r="25" spans="1:12" x14ac:dyDescent="0.2">
      <c r="A25" s="3" t="s">
        <v>161</v>
      </c>
      <c r="B25" s="17">
        <f>'KY_Cost by Plant Acct P8 (REG)'!B26</f>
        <v>622146.49</v>
      </c>
      <c r="C25" s="90"/>
      <c r="D25" s="17">
        <f>'KY_Cost by Plant Acct P8 (REG)'!D26</f>
        <v>0</v>
      </c>
      <c r="E25" s="90"/>
      <c r="F25" s="17">
        <f>'KY_Cost by Plant Acct P8 (REG)'!F26</f>
        <v>0</v>
      </c>
      <c r="G25" s="90"/>
      <c r="H25" s="17">
        <f>'KY_Cost by Plant Acct P8 (REG)'!H26</f>
        <v>19555.349999999999</v>
      </c>
      <c r="I25" s="90"/>
      <c r="J25" s="17">
        <f t="shared" si="0"/>
        <v>19555.349999999999</v>
      </c>
      <c r="K25" s="90"/>
      <c r="L25" s="17">
        <f t="shared" si="1"/>
        <v>641701.84</v>
      </c>
    </row>
    <row r="26" spans="1:12" x14ac:dyDescent="0.2">
      <c r="A26" s="73" t="s">
        <v>162</v>
      </c>
      <c r="B26" s="17">
        <f>'KY_Cost by Plant Acct P8 (REG)'!B27</f>
        <v>71256.579999999958</v>
      </c>
      <c r="C26" s="90"/>
      <c r="D26" s="17">
        <f>'KY_Cost by Plant Acct P8 (REG)'!D27</f>
        <v>0</v>
      </c>
      <c r="E26" s="90"/>
      <c r="F26" s="17">
        <f>'KY_Cost by Plant Acct P8 (REG)'!F27</f>
        <v>-1700.75</v>
      </c>
      <c r="G26" s="90"/>
      <c r="H26" s="17">
        <f>'KY_Cost by Plant Acct P8 (REG)'!H27</f>
        <v>-41067.300000000003</v>
      </c>
      <c r="I26" s="90"/>
      <c r="J26" s="17">
        <f t="shared" si="0"/>
        <v>-42768.05</v>
      </c>
      <c r="K26" s="90"/>
      <c r="L26" s="17">
        <f t="shared" si="1"/>
        <v>28488.529999999955</v>
      </c>
    </row>
    <row r="27" spans="1:12" x14ac:dyDescent="0.2">
      <c r="B27" s="18">
        <f>SUM(B10:B26)</f>
        <v>1684517943.6299999</v>
      </c>
      <c r="C27" s="90"/>
      <c r="D27" s="18">
        <f>SUM(D10:D26)</f>
        <v>93561334.219999999</v>
      </c>
      <c r="E27" s="90"/>
      <c r="F27" s="18">
        <f>SUM(F10:F26)</f>
        <v>-25442908.199999996</v>
      </c>
      <c r="G27" s="90"/>
      <c r="H27" s="18">
        <f>SUM(H10:H26)</f>
        <v>-1005298.8999999993</v>
      </c>
      <c r="I27" s="90"/>
      <c r="J27" s="18">
        <f>SUM(J10:J26)</f>
        <v>67113127.11999999</v>
      </c>
      <c r="K27" s="90"/>
      <c r="L27" s="18">
        <f>SUM(L10:L26)</f>
        <v>1751631070.75</v>
      </c>
    </row>
    <row r="28" spans="1:12" x14ac:dyDescent="0.2">
      <c r="B28" s="17"/>
      <c r="C28" s="90"/>
      <c r="D28" s="17"/>
      <c r="E28" s="90"/>
      <c r="F28" s="17"/>
      <c r="G28" s="90"/>
      <c r="H28" s="17"/>
      <c r="I28" s="90"/>
      <c r="J28" s="17"/>
      <c r="K28" s="90"/>
      <c r="L28" s="17"/>
    </row>
    <row r="29" spans="1:12" x14ac:dyDescent="0.2">
      <c r="A29" s="12" t="s">
        <v>13</v>
      </c>
      <c r="B29" s="17"/>
      <c r="C29" s="90"/>
      <c r="D29" s="17"/>
      <c r="E29" s="90"/>
      <c r="F29" s="17"/>
      <c r="G29" s="90"/>
      <c r="H29" s="17"/>
      <c r="I29" s="90"/>
      <c r="J29" s="17"/>
      <c r="K29" s="90"/>
      <c r="L29" s="17"/>
    </row>
    <row r="30" spans="1:12" x14ac:dyDescent="0.2">
      <c r="A30" s="43" t="s">
        <v>164</v>
      </c>
      <c r="B30" s="14">
        <f>'KY_Cost by Plant Acct P8 (REG)'!B31+'VA_Cost by Plant Acct P10 (REG)'!B27</f>
        <v>3430116.51</v>
      </c>
      <c r="C30" s="89"/>
      <c r="D30" s="14">
        <f>'KY_Cost by Plant Acct P8 (REG)'!D31+'VA_Cost by Plant Acct P10 (REG)'!D27</f>
        <v>99552</v>
      </c>
      <c r="E30" s="89"/>
      <c r="F30" s="14">
        <f>'KY_Cost by Plant Acct P8 (REG)'!F31+'VA_Cost by Plant Acct P10 (REG)'!F27</f>
        <v>0</v>
      </c>
      <c r="G30" s="89"/>
      <c r="H30" s="14">
        <f>'KY_Cost by Plant Acct P8 (REG)'!H31+'VA_Cost by Plant Acct P10 (REG)'!H27</f>
        <v>-131956.31</v>
      </c>
      <c r="I30" s="89"/>
      <c r="J30" s="14">
        <f>H30+F30+D30</f>
        <v>-32404.309999999998</v>
      </c>
      <c r="K30" s="89"/>
      <c r="L30" s="14">
        <f t="shared" ref="L30:L46" si="2">J30+B30</f>
        <v>3397712.1999999997</v>
      </c>
    </row>
    <row r="31" spans="1:12" x14ac:dyDescent="0.2">
      <c r="A31" s="3" t="s">
        <v>165</v>
      </c>
      <c r="B31" s="35">
        <f>'KY_Cost by Plant Acct P8 (REG)'!B32+'VA_Cost by Plant Acct P10 (REG)'!B28</f>
        <v>57773790.590000004</v>
      </c>
      <c r="C31" s="89"/>
      <c r="D31" s="35">
        <f>'KY_Cost by Plant Acct P8 (REG)'!D32+'VA_Cost by Plant Acct P10 (REG)'!D28</f>
        <v>3121725.81</v>
      </c>
      <c r="E31" s="89"/>
      <c r="F31" s="35">
        <f>'KY_Cost by Plant Acct P8 (REG)'!F32+'VA_Cost by Plant Acct P10 (REG)'!F28</f>
        <v>-150168.47</v>
      </c>
      <c r="G31" s="89"/>
      <c r="H31" s="35">
        <f>'KY_Cost by Plant Acct P8 (REG)'!H32+'VA_Cost by Plant Acct P10 (REG)'!H28-5134.63</f>
        <v>0</v>
      </c>
      <c r="I31" s="89"/>
      <c r="J31" s="14">
        <f>H31+F31+D31</f>
        <v>2971557.34</v>
      </c>
      <c r="K31" s="89"/>
      <c r="L31" s="14">
        <f t="shared" si="2"/>
        <v>60745347.930000007</v>
      </c>
    </row>
    <row r="32" spans="1:12" x14ac:dyDescent="0.2">
      <c r="A32" s="3" t="s">
        <v>166</v>
      </c>
      <c r="B32" s="14">
        <f>'KY_Cost by Plant Acct P8 (REG)'!B33+'VA_Cost by Plant Acct P10 (REG)'!B29</f>
        <v>481743.87</v>
      </c>
      <c r="C32" s="89"/>
      <c r="D32" s="14">
        <f>'KY_Cost by Plant Acct P8 (REG)'!D33+'VA_Cost by Plant Acct P10 (REG)'!D29</f>
        <v>0</v>
      </c>
      <c r="E32" s="89"/>
      <c r="F32" s="14">
        <f>'KY_Cost by Plant Acct P8 (REG)'!F33+'VA_Cost by Plant Acct P10 (REG)'!F29</f>
        <v>-3924.94</v>
      </c>
      <c r="G32" s="89"/>
      <c r="H32" s="14">
        <f>'KY_Cost by Plant Acct P8 (REG)'!H33+'VA_Cost by Plant Acct P10 (REG)'!H29+5134.63</f>
        <v>0</v>
      </c>
      <c r="I32" s="89"/>
      <c r="J32" s="14">
        <f>H32+F32+D32</f>
        <v>-3924.94</v>
      </c>
      <c r="K32" s="89"/>
      <c r="L32" s="14">
        <f t="shared" si="2"/>
        <v>477818.93</v>
      </c>
    </row>
    <row r="33" spans="1:12" x14ac:dyDescent="0.2">
      <c r="A33" s="3" t="s">
        <v>167</v>
      </c>
      <c r="B33" s="14">
        <f>'KY_Cost by Plant Acct P8 (REG)'!B34+'VA_Cost by Plant Acct P10 (REG)'!B30</f>
        <v>9688117.9400000013</v>
      </c>
      <c r="C33" s="89"/>
      <c r="D33" s="14">
        <f>'KY_Cost by Plant Acct P8 (REG)'!D34+'VA_Cost by Plant Acct P10 (REG)'!D30</f>
        <v>1150337.75</v>
      </c>
      <c r="E33" s="89"/>
      <c r="F33" s="14">
        <f>'KY_Cost by Plant Acct P8 (REG)'!F34+'VA_Cost by Plant Acct P10 (REG)'!F30</f>
        <v>-283354.86</v>
      </c>
      <c r="G33" s="89"/>
      <c r="H33" s="14">
        <f>'KY_Cost by Plant Acct P8 (REG)'!H34+'VA_Cost by Plant Acct P10 (REG)'!H30</f>
        <v>0</v>
      </c>
      <c r="I33" s="89"/>
      <c r="J33" s="14">
        <f t="shared" ref="J33:J46" si="3">H33+F33+D33</f>
        <v>866982.89</v>
      </c>
      <c r="K33" s="89"/>
      <c r="L33" s="14">
        <f t="shared" si="2"/>
        <v>10555100.830000002</v>
      </c>
    </row>
    <row r="34" spans="1:12" x14ac:dyDescent="0.2">
      <c r="A34" s="3" t="s">
        <v>168</v>
      </c>
      <c r="B34" s="14">
        <f>'VA_Cost by Plant Acct P10 (REG)'!B31+'KY_Cost by Plant Acct P8 (REG)'!B35</f>
        <v>21729085.969999995</v>
      </c>
      <c r="C34" s="89"/>
      <c r="D34" s="14">
        <f>'KY_Cost by Plant Acct P8 (REG)'!D35+'VA_Cost by Plant Acct P10 (REG)'!D31</f>
        <v>5435512.8200000003</v>
      </c>
      <c r="E34" s="89"/>
      <c r="F34" s="14">
        <f>'KY_Cost by Plant Acct P8 (REG)'!F35+'VA_Cost by Plant Acct P10 (REG)'!F31</f>
        <v>-4079972.85</v>
      </c>
      <c r="G34" s="89"/>
      <c r="H34" s="14">
        <f>'KY_Cost by Plant Acct P8 (REG)'!H35</f>
        <v>0</v>
      </c>
      <c r="I34" s="89"/>
      <c r="J34" s="14">
        <f t="shared" si="3"/>
        <v>1355539.9700000002</v>
      </c>
      <c r="K34" s="89"/>
      <c r="L34" s="14">
        <f t="shared" si="2"/>
        <v>23084625.939999994</v>
      </c>
    </row>
    <row r="35" spans="1:12" x14ac:dyDescent="0.2">
      <c r="A35" s="3" t="s">
        <v>169</v>
      </c>
      <c r="B35" s="14">
        <f>'KY_Cost by Plant Acct P8 (REG)'!B36</f>
        <v>0</v>
      </c>
      <c r="C35" s="89"/>
      <c r="D35" s="14">
        <f>'KY_Cost by Plant Acct P8 (REG)'!D36</f>
        <v>0</v>
      </c>
      <c r="E35" s="89"/>
      <c r="F35" s="14">
        <f>'KY_Cost by Plant Acct P8 (REG)'!F36</f>
        <v>0</v>
      </c>
      <c r="G35" s="89"/>
      <c r="H35" s="14">
        <f>'KY_Cost by Plant Acct P8 (REG)'!H36</f>
        <v>0</v>
      </c>
      <c r="I35" s="89"/>
      <c r="J35" s="14">
        <f t="shared" si="3"/>
        <v>0</v>
      </c>
      <c r="K35" s="89"/>
      <c r="L35" s="14">
        <f t="shared" si="2"/>
        <v>0</v>
      </c>
    </row>
    <row r="36" spans="1:12" x14ac:dyDescent="0.2">
      <c r="A36" s="3" t="s">
        <v>170</v>
      </c>
      <c r="B36" s="14">
        <f>'KY_Cost by Plant Acct P8 (REG)'!B37</f>
        <v>4354226.29</v>
      </c>
      <c r="C36" s="89"/>
      <c r="D36" s="14">
        <f>'KY_Cost by Plant Acct P8 (REG)'!D37</f>
        <v>1095049.83</v>
      </c>
      <c r="E36" s="89"/>
      <c r="F36" s="14">
        <f>'KY_Cost by Plant Acct P8 (REG)'!F37</f>
        <v>-878964.66</v>
      </c>
      <c r="G36" s="89"/>
      <c r="H36" s="14">
        <f>'KY_Cost by Plant Acct P8 (REG)'!H37</f>
        <v>0</v>
      </c>
      <c r="I36" s="89"/>
      <c r="J36" s="14">
        <f t="shared" si="3"/>
        <v>216085.17000000004</v>
      </c>
      <c r="K36" s="89"/>
      <c r="L36" s="14">
        <f t="shared" si="2"/>
        <v>4570311.46</v>
      </c>
    </row>
    <row r="37" spans="1:12" x14ac:dyDescent="0.2">
      <c r="A37" s="3" t="s">
        <v>171</v>
      </c>
      <c r="B37" s="14">
        <f>'KY_Cost by Plant Acct P8 (REG)'!B38+'VA_Cost by Plant Acct P10 (REG)'!B32</f>
        <v>1339258.0699999989</v>
      </c>
      <c r="C37" s="89"/>
      <c r="D37" s="14">
        <f>'KY_Cost by Plant Acct P8 (REG)'!D38+'VA_Cost by Plant Acct P10 (REG)'!D32</f>
        <v>149526.26</v>
      </c>
      <c r="E37" s="89"/>
      <c r="F37" s="14">
        <f>'KY_Cost by Plant Acct P8 (REG)'!F38+'VA_Cost by Plant Acct P10 (REG)'!F32</f>
        <v>-38921.74</v>
      </c>
      <c r="G37" s="89"/>
      <c r="H37" s="14">
        <f>'KY_Cost by Plant Acct P8 (REG)'!H38+'VA_Cost by Plant Acct P10 (REG)'!H32</f>
        <v>0</v>
      </c>
      <c r="I37" s="89"/>
      <c r="J37" s="14">
        <f t="shared" si="3"/>
        <v>110604.52000000002</v>
      </c>
      <c r="K37" s="89"/>
      <c r="L37" s="14">
        <f t="shared" si="2"/>
        <v>1449862.5899999989</v>
      </c>
    </row>
    <row r="38" spans="1:12" x14ac:dyDescent="0.2">
      <c r="A38" s="3" t="s">
        <v>172</v>
      </c>
      <c r="B38" s="14">
        <f>'KY_Cost by Plant Acct P8 (REG)'!B39</f>
        <v>5824837.5900000008</v>
      </c>
      <c r="C38" s="89"/>
      <c r="D38" s="14">
        <f>'KY_Cost by Plant Acct P8 (REG)'!D39</f>
        <v>0</v>
      </c>
      <c r="E38" s="89"/>
      <c r="F38" s="14">
        <f>'KY_Cost by Plant Acct P8 (REG)'!F39</f>
        <v>-27677.5</v>
      </c>
      <c r="G38" s="89"/>
      <c r="H38" s="14">
        <f>'KY_Cost by Plant Acct P8 (REG)'!H39</f>
        <v>0</v>
      </c>
      <c r="I38" s="89"/>
      <c r="J38" s="14">
        <f>H38+F38+D38</f>
        <v>-27677.5</v>
      </c>
      <c r="K38" s="89"/>
      <c r="L38" s="14">
        <f>J38+B38</f>
        <v>5797160.0900000008</v>
      </c>
    </row>
    <row r="39" spans="1:12" x14ac:dyDescent="0.2">
      <c r="A39" s="3" t="s">
        <v>173</v>
      </c>
      <c r="B39" s="14">
        <f>'KY_Cost by Plant Acct P8 (REG)'!B40+'VA_Cost by Plant Acct P10 (REG)'!B33</f>
        <v>910970.78999999992</v>
      </c>
      <c r="C39" s="89"/>
      <c r="D39" s="14">
        <f>'KY_Cost by Plant Acct P8 (REG)'!D40+'VA_Cost by Plant Acct P10 (REG)'!D33</f>
        <v>0</v>
      </c>
      <c r="E39" s="89"/>
      <c r="F39" s="14">
        <f>'KY_Cost by Plant Acct P8 (REG)'!F40+'VA_Cost by Plant Acct P10 (REG)'!F33</f>
        <v>0</v>
      </c>
      <c r="G39" s="89"/>
      <c r="H39" s="14">
        <f>'KY_Cost by Plant Acct P8 (REG)'!H40+'VA_Cost by Plant Acct P10 (REG)'!H33</f>
        <v>0</v>
      </c>
      <c r="I39" s="89"/>
      <c r="J39" s="14">
        <f t="shared" si="3"/>
        <v>0</v>
      </c>
      <c r="K39" s="89"/>
      <c r="L39" s="14">
        <f t="shared" si="2"/>
        <v>910970.78999999992</v>
      </c>
    </row>
    <row r="40" spans="1:12" x14ac:dyDescent="0.2">
      <c r="A40" s="3" t="s">
        <v>174</v>
      </c>
      <c r="B40" s="14">
        <f>'KY_Cost by Plant Acct P8 (REG)'!B41+'VA_Cost by Plant Acct P10 (REG)'!B34</f>
        <v>12413632.630000001</v>
      </c>
      <c r="C40" s="89"/>
      <c r="D40" s="14">
        <f>'KY_Cost by Plant Acct P8 (REG)'!D41+'VA_Cost by Plant Acct P10 (REG)'!D34</f>
        <v>984150.93</v>
      </c>
      <c r="E40" s="89"/>
      <c r="F40" s="14">
        <f>'KY_Cost by Plant Acct P8 (REG)'!F41+'VA_Cost by Plant Acct P10 (REG)'!F34</f>
        <v>-274113.84999999998</v>
      </c>
      <c r="G40" s="89"/>
      <c r="H40" s="14">
        <f>'KY_Cost by Plant Acct P8 (REG)'!H41+'VA_Cost by Plant Acct P10 (REG)'!H34</f>
        <v>0</v>
      </c>
      <c r="I40" s="89"/>
      <c r="J40" s="14">
        <f t="shared" si="3"/>
        <v>710037.08000000007</v>
      </c>
      <c r="K40" s="89"/>
      <c r="L40" s="14">
        <f t="shared" si="2"/>
        <v>13123669.710000001</v>
      </c>
    </row>
    <row r="41" spans="1:12" x14ac:dyDescent="0.2">
      <c r="A41" s="3" t="s">
        <v>175</v>
      </c>
      <c r="B41" s="14">
        <f>'KY_Cost by Plant Acct P8 (REG)'!B42+'VA_Cost by Plant Acct P10 (REG)'!B35</f>
        <v>0</v>
      </c>
      <c r="C41" s="89"/>
      <c r="D41" s="14">
        <f>'KY_Cost by Plant Acct P8 (REG)'!D42+'VA_Cost by Plant Acct P10 (REG)'!D35</f>
        <v>0</v>
      </c>
      <c r="E41" s="89"/>
      <c r="F41" s="14">
        <f>'KY_Cost by Plant Acct P8 (REG)'!F42+'VA_Cost by Plant Acct P10 (REG)'!F35</f>
        <v>0</v>
      </c>
      <c r="G41" s="89"/>
      <c r="H41" s="14">
        <f>'KY_Cost by Plant Acct P8 (REG)'!H42+'VA_Cost by Plant Acct P10 (REG)'!H35</f>
        <v>0</v>
      </c>
      <c r="I41" s="89"/>
      <c r="J41" s="14">
        <f t="shared" si="3"/>
        <v>0</v>
      </c>
      <c r="K41" s="89"/>
      <c r="L41" s="14">
        <f t="shared" si="2"/>
        <v>0</v>
      </c>
    </row>
    <row r="42" spans="1:12" x14ac:dyDescent="0.2">
      <c r="A42" s="3" t="s">
        <v>3639</v>
      </c>
      <c r="B42" s="14">
        <f>'KY_Cost by Plant Acct P8 (REG)'!B43+'VA_Cost by Plant Acct P10 (REG)'!B36</f>
        <v>2418392.5200000005</v>
      </c>
      <c r="C42" s="89"/>
      <c r="D42" s="14">
        <f>'KY_Cost by Plant Acct P8 (REG)'!D43+'VA_Cost by Plant Acct P10 (REG)'!D36</f>
        <v>34463.82</v>
      </c>
      <c r="E42" s="89"/>
      <c r="F42" s="14">
        <f>'KY_Cost by Plant Acct P8 (REG)'!F43</f>
        <v>0</v>
      </c>
      <c r="G42" s="89"/>
      <c r="H42" s="14">
        <f>'KY_Cost by Plant Acct P8 (REG)'!H43</f>
        <v>0</v>
      </c>
      <c r="I42" s="89"/>
      <c r="J42" s="14">
        <f t="shared" si="3"/>
        <v>34463.82</v>
      </c>
      <c r="K42" s="89"/>
      <c r="L42" s="14">
        <f t="shared" si="2"/>
        <v>2452856.3400000003</v>
      </c>
    </row>
    <row r="43" spans="1:12" x14ac:dyDescent="0.2">
      <c r="A43" s="3" t="s">
        <v>3640</v>
      </c>
      <c r="B43" s="14">
        <f>'KY_Cost by Plant Acct P8 (REG)'!B44+'VA_Cost by Plant Acct P10 (REG)'!B37</f>
        <v>26880209.769999996</v>
      </c>
      <c r="C43" s="89"/>
      <c r="D43" s="14">
        <f>'KY_Cost by Plant Acct P8 (REG)'!D44+'VA_Cost by Plant Acct P10 (REG)'!D37</f>
        <v>2841750.2</v>
      </c>
      <c r="E43" s="89"/>
      <c r="F43" s="14">
        <f>'KY_Cost by Plant Acct P8 (REG)'!F44+'VA_Cost by Plant Acct P10 (REG)'!F37</f>
        <v>-1916.55</v>
      </c>
      <c r="G43" s="89"/>
      <c r="H43" s="14">
        <f>'KY_Cost by Plant Acct P8 (REG)'!H44+'VA_Cost by Plant Acct P10 (REG)'!H37</f>
        <v>0</v>
      </c>
      <c r="I43" s="89"/>
      <c r="J43" s="14">
        <f t="shared" si="3"/>
        <v>2839833.6500000004</v>
      </c>
      <c r="K43" s="89"/>
      <c r="L43" s="14">
        <f t="shared" si="2"/>
        <v>29720043.419999994</v>
      </c>
    </row>
    <row r="44" spans="1:12" x14ac:dyDescent="0.2">
      <c r="A44" s="3" t="s">
        <v>3641</v>
      </c>
      <c r="B44" s="14">
        <f>'KY_Cost by Plant Acct P8 (REG)'!B45+'VA_Cost by Plant Acct P10 (REG)'!B38</f>
        <v>18247137.670000006</v>
      </c>
      <c r="C44" s="89"/>
      <c r="D44" s="14">
        <f>'KY_Cost by Plant Acct P8 (REG)'!D45+'VA_Cost by Plant Acct P10 (REG)'!D38</f>
        <v>860659.9</v>
      </c>
      <c r="E44" s="89"/>
      <c r="F44" s="14">
        <f>'KY_Cost by Plant Acct P8 (REG)'!F45+'VA_Cost by Plant Acct P10 (REG)'!F38</f>
        <v>0</v>
      </c>
      <c r="G44" s="89"/>
      <c r="H44" s="14">
        <f>'KY_Cost by Plant Acct P8 (REG)'!H45+'VA_Cost by Plant Acct P10 (REG)'!H38</f>
        <v>0</v>
      </c>
      <c r="I44" s="89"/>
      <c r="J44" s="14">
        <f t="shared" si="3"/>
        <v>860659.9</v>
      </c>
      <c r="K44" s="89"/>
      <c r="L44" s="14">
        <f t="shared" si="2"/>
        <v>19107797.570000004</v>
      </c>
    </row>
    <row r="45" spans="1:12" x14ac:dyDescent="0.2">
      <c r="A45" s="3" t="s">
        <v>179</v>
      </c>
      <c r="B45" s="14">
        <f>'KY_Cost by Plant Acct P8 (REG)'!B46+'VA_Cost by Plant Acct P10 (REG)'!B39</f>
        <v>6688482.5800000001</v>
      </c>
      <c r="C45" s="89"/>
      <c r="D45" s="14">
        <f>'KY_Cost by Plant Acct P8 (REG)'!D46+'VA_Cost by Plant Acct P10 (REG)'!D39</f>
        <v>870650.03</v>
      </c>
      <c r="E45" s="89"/>
      <c r="F45" s="14">
        <f>'KY_Cost by Plant Acct P8 (REG)'!F46+'VA_Cost by Plant Acct P10 (REG)'!F39</f>
        <v>0</v>
      </c>
      <c r="G45" s="89"/>
      <c r="H45" s="14">
        <f>'KY_Cost by Plant Acct P8 (REG)'!H46+'VA_Cost by Plant Acct P10 (REG)'!H39</f>
        <v>0</v>
      </c>
      <c r="I45" s="89"/>
      <c r="J45" s="14">
        <f t="shared" si="3"/>
        <v>870650.03</v>
      </c>
      <c r="K45" s="89"/>
      <c r="L45" s="14">
        <f t="shared" si="2"/>
        <v>7559132.6100000003</v>
      </c>
    </row>
    <row r="46" spans="1:12" x14ac:dyDescent="0.2">
      <c r="A46" s="3" t="s">
        <v>180</v>
      </c>
      <c r="B46" s="16">
        <f>'KY_Cost by Plant Acct P8 (REG)'!B47+'VA_Cost by Plant Acct P10 (REG)'!B39</f>
        <v>0</v>
      </c>
      <c r="C46" s="90"/>
      <c r="D46" s="16">
        <f>'KY_Cost by Plant Acct P8 (REG)'!D47+'VA_Cost by Plant Acct P10 (REG)'!D39</f>
        <v>0</v>
      </c>
      <c r="E46" s="90"/>
      <c r="F46" s="16">
        <f>'KY_Cost by Plant Acct P8 (REG)'!F47+'VA_Cost by Plant Acct P10 (REG)'!F39</f>
        <v>0</v>
      </c>
      <c r="G46" s="90"/>
      <c r="H46" s="16">
        <f>'KY_Cost by Plant Acct P8 (REG)'!H47+'VA_Cost by Plant Acct P10 (REG)'!H39</f>
        <v>0</v>
      </c>
      <c r="I46" s="90"/>
      <c r="J46" s="16">
        <f t="shared" si="3"/>
        <v>0</v>
      </c>
      <c r="K46" s="90"/>
      <c r="L46" s="16">
        <f t="shared" si="2"/>
        <v>0</v>
      </c>
    </row>
    <row r="47" spans="1:12" x14ac:dyDescent="0.2">
      <c r="B47" s="17">
        <f>SUM(B30:B46)</f>
        <v>172180002.79000002</v>
      </c>
      <c r="C47" s="90"/>
      <c r="D47" s="17">
        <f>SUM(D30:D46)</f>
        <v>16643379.350000001</v>
      </c>
      <c r="E47" s="90"/>
      <c r="F47" s="17">
        <f>SUM(F30:F46)</f>
        <v>-5739015.4199999999</v>
      </c>
      <c r="G47" s="90"/>
      <c r="H47" s="17">
        <f>SUM(H30:H46)</f>
        <v>-131956.31</v>
      </c>
      <c r="I47" s="90"/>
      <c r="J47" s="17">
        <f>SUM(J30:J46)</f>
        <v>10772407.620000001</v>
      </c>
      <c r="K47" s="90"/>
      <c r="L47" s="17">
        <f>SUM(L30:L46)</f>
        <v>182952410.41000003</v>
      </c>
    </row>
    <row r="48" spans="1:12" x14ac:dyDescent="0.2">
      <c r="B48" s="17"/>
      <c r="C48" s="90"/>
      <c r="D48" s="17"/>
      <c r="E48" s="90"/>
      <c r="F48" s="17"/>
      <c r="G48" s="90"/>
      <c r="H48" s="17"/>
      <c r="I48" s="90"/>
      <c r="J48" s="17"/>
      <c r="K48" s="90"/>
      <c r="L48" s="17"/>
    </row>
    <row r="49" spans="1:12" x14ac:dyDescent="0.2">
      <c r="A49" s="12" t="s">
        <v>14</v>
      </c>
      <c r="B49" s="17"/>
      <c r="C49" s="90"/>
      <c r="D49" s="17"/>
      <c r="E49" s="90"/>
      <c r="F49" s="17"/>
      <c r="G49" s="90"/>
      <c r="H49" s="17"/>
      <c r="I49" s="90"/>
      <c r="J49" s="17"/>
      <c r="K49" s="90"/>
      <c r="L49" s="17"/>
    </row>
    <row r="50" spans="1:12" x14ac:dyDescent="0.2">
      <c r="A50" s="43" t="s">
        <v>182</v>
      </c>
      <c r="B50" s="17">
        <f>'KY_Cost by Plant Acct P8 (REG)'!B51</f>
        <v>879311.47</v>
      </c>
      <c r="C50" s="90"/>
      <c r="D50" s="17">
        <f>'KY_Cost by Plant Acct P8 (REG)'!D51</f>
        <v>0</v>
      </c>
      <c r="E50" s="90"/>
      <c r="F50" s="17">
        <f>'KY_Cost by Plant Acct P8 (REG)'!F51</f>
        <v>-23675</v>
      </c>
      <c r="G50" s="90"/>
      <c r="H50" s="17">
        <f>'KY_Cost by Plant Acct P8 (REG)'!H51</f>
        <v>0</v>
      </c>
      <c r="I50" s="90"/>
      <c r="J50" s="17">
        <f t="shared" ref="J50:J57" si="4">H50+F50+D50</f>
        <v>-23675</v>
      </c>
      <c r="K50" s="90"/>
      <c r="L50" s="17">
        <f t="shared" ref="L50:L57" si="5">J50+B50</f>
        <v>855636.47</v>
      </c>
    </row>
    <row r="51" spans="1:12" x14ac:dyDescent="0.2">
      <c r="A51" s="3" t="s">
        <v>183</v>
      </c>
      <c r="B51" s="17">
        <f>'KY_Cost by Plant Acct P8 (REG)'!B52</f>
        <v>2999390.54</v>
      </c>
      <c r="C51" s="90"/>
      <c r="D51" s="17">
        <f>'KY_Cost by Plant Acct P8 (REG)'!D52</f>
        <v>0</v>
      </c>
      <c r="E51" s="90"/>
      <c r="F51" s="17">
        <f>'KY_Cost by Plant Acct P8 (REG)'!F52</f>
        <v>0</v>
      </c>
      <c r="G51" s="90"/>
      <c r="H51" s="17">
        <f>'KY_Cost by Plant Acct P8 (REG)'!H52</f>
        <v>0</v>
      </c>
      <c r="I51" s="90"/>
      <c r="J51" s="17">
        <f t="shared" si="4"/>
        <v>0</v>
      </c>
      <c r="K51" s="90"/>
      <c r="L51" s="17">
        <f t="shared" si="5"/>
        <v>2999390.54</v>
      </c>
    </row>
    <row r="52" spans="1:12" x14ac:dyDescent="0.2">
      <c r="A52" s="3" t="s">
        <v>184</v>
      </c>
      <c r="B52" s="17">
        <f>'KY_Cost by Plant Acct P8 (REG)'!B53</f>
        <v>21885646.370000001</v>
      </c>
      <c r="C52" s="90"/>
      <c r="D52" s="17">
        <f>'KY_Cost by Plant Acct P8 (REG)'!D53</f>
        <v>0</v>
      </c>
      <c r="E52" s="90"/>
      <c r="F52" s="17">
        <f>'KY_Cost by Plant Acct P8 (REG)'!F53</f>
        <v>0</v>
      </c>
      <c r="G52" s="90"/>
      <c r="H52" s="17">
        <f>'KY_Cost by Plant Acct P8 (REG)'!H53</f>
        <v>0</v>
      </c>
      <c r="I52" s="90"/>
      <c r="J52" s="17">
        <f t="shared" si="4"/>
        <v>0</v>
      </c>
      <c r="K52" s="90"/>
      <c r="L52" s="17">
        <f t="shared" si="5"/>
        <v>21885646.370000001</v>
      </c>
    </row>
    <row r="53" spans="1:12" x14ac:dyDescent="0.2">
      <c r="A53" s="3" t="s">
        <v>185</v>
      </c>
      <c r="B53" s="17">
        <f>'KY_Cost by Plant Acct P8 (REG)'!B54</f>
        <v>14046741.58</v>
      </c>
      <c r="C53" s="90"/>
      <c r="D53" s="17">
        <f>'KY_Cost by Plant Acct P8 (REG)'!D54</f>
        <v>0</v>
      </c>
      <c r="E53" s="90"/>
      <c r="F53" s="17">
        <f>'KY_Cost by Plant Acct P8 (REG)'!F54</f>
        <v>0</v>
      </c>
      <c r="G53" s="90"/>
      <c r="H53" s="17">
        <f>'KY_Cost by Plant Acct P8 (REG)'!H54</f>
        <v>0</v>
      </c>
      <c r="I53" s="90"/>
      <c r="J53" s="17">
        <f t="shared" si="4"/>
        <v>0</v>
      </c>
      <c r="K53" s="90"/>
      <c r="L53" s="17">
        <f t="shared" si="5"/>
        <v>14046741.58</v>
      </c>
    </row>
    <row r="54" spans="1:12" x14ac:dyDescent="0.2">
      <c r="A54" s="3" t="s">
        <v>186</v>
      </c>
      <c r="B54" s="17">
        <f>'KY_Cost by Plant Acct P8 (REG)'!B55</f>
        <v>1362584.79</v>
      </c>
      <c r="C54" s="90"/>
      <c r="D54" s="17">
        <f>'KY_Cost by Plant Acct P8 (REG)'!D55</f>
        <v>0</v>
      </c>
      <c r="E54" s="90"/>
      <c r="F54" s="17">
        <f>'KY_Cost by Plant Acct P8 (REG)'!F55</f>
        <v>0</v>
      </c>
      <c r="G54" s="90"/>
      <c r="H54" s="17">
        <f>'KY_Cost by Plant Acct P8 (REG)'!H55</f>
        <v>0</v>
      </c>
      <c r="I54" s="90"/>
      <c r="J54" s="17">
        <f t="shared" si="4"/>
        <v>0</v>
      </c>
      <c r="K54" s="90"/>
      <c r="L54" s="17">
        <f t="shared" si="5"/>
        <v>1362584.79</v>
      </c>
    </row>
    <row r="55" spans="1:12" x14ac:dyDescent="0.2">
      <c r="A55" s="3" t="s">
        <v>187</v>
      </c>
      <c r="B55" s="17">
        <f>'KY_Cost by Plant Acct P8 (REG)'!B56</f>
        <v>316946.74</v>
      </c>
      <c r="C55" s="90"/>
      <c r="D55" s="17">
        <f>'KY_Cost by Plant Acct P8 (REG)'!D56</f>
        <v>0</v>
      </c>
      <c r="E55" s="90"/>
      <c r="F55" s="17">
        <f>'KY_Cost by Plant Acct P8 (REG)'!F56</f>
        <v>0</v>
      </c>
      <c r="G55" s="90"/>
      <c r="H55" s="17">
        <f>'KY_Cost by Plant Acct P8 (REG)'!H56</f>
        <v>0</v>
      </c>
      <c r="I55" s="90"/>
      <c r="J55" s="17">
        <f t="shared" si="4"/>
        <v>0</v>
      </c>
      <c r="K55" s="90"/>
      <c r="L55" s="17">
        <f t="shared" si="5"/>
        <v>316946.74</v>
      </c>
    </row>
    <row r="56" spans="1:12" x14ac:dyDescent="0.2">
      <c r="A56" s="3" t="s">
        <v>188</v>
      </c>
      <c r="B56" s="17">
        <f>'KY_Cost by Plant Acct P8 (REG)'!B57</f>
        <v>234509.12999999998</v>
      </c>
      <c r="C56" s="90"/>
      <c r="D56" s="17">
        <f>'KY_Cost by Plant Acct P8 (REG)'!D57</f>
        <v>0</v>
      </c>
      <c r="E56" s="90"/>
      <c r="F56" s="17">
        <f>'KY_Cost by Plant Acct P8 (REG)'!F57</f>
        <v>0</v>
      </c>
      <c r="G56" s="90"/>
      <c r="H56" s="17">
        <f>'KY_Cost by Plant Acct P8 (REG)'!H57</f>
        <v>0</v>
      </c>
      <c r="I56" s="90"/>
      <c r="J56" s="17">
        <f t="shared" si="4"/>
        <v>0</v>
      </c>
      <c r="K56" s="90"/>
      <c r="L56" s="17">
        <f t="shared" si="5"/>
        <v>234509.12999999998</v>
      </c>
    </row>
    <row r="57" spans="1:12" x14ac:dyDescent="0.2">
      <c r="A57" s="3" t="s">
        <v>189</v>
      </c>
      <c r="B57" s="16">
        <f>'KY_Cost by Plant Acct P8 (REG)'!B58</f>
        <v>645787.99</v>
      </c>
      <c r="C57" s="90"/>
      <c r="D57" s="16">
        <f>'KY_Cost by Plant Acct P8 (REG)'!D58</f>
        <v>0</v>
      </c>
      <c r="E57" s="90"/>
      <c r="F57" s="16">
        <f>'KY_Cost by Plant Acct P8 (REG)'!F58</f>
        <v>0</v>
      </c>
      <c r="G57" s="90"/>
      <c r="H57" s="16">
        <f>'KY_Cost by Plant Acct P8 (REG)'!H58</f>
        <v>0</v>
      </c>
      <c r="I57" s="90"/>
      <c r="J57" s="16">
        <f t="shared" si="4"/>
        <v>0</v>
      </c>
      <c r="K57" s="90"/>
      <c r="L57" s="16">
        <f t="shared" si="5"/>
        <v>645787.99</v>
      </c>
    </row>
    <row r="58" spans="1:12" x14ac:dyDescent="0.2">
      <c r="B58" s="17">
        <f>SUM(B50:B57)</f>
        <v>42370918.610000007</v>
      </c>
      <c r="C58" s="90"/>
      <c r="D58" s="17">
        <f>SUM(D50:D57)</f>
        <v>0</v>
      </c>
      <c r="E58" s="90"/>
      <c r="F58" s="17">
        <f>SUM(F50:F57)</f>
        <v>-23675</v>
      </c>
      <c r="G58" s="90"/>
      <c r="H58" s="17">
        <f>SUM(H50:H57)</f>
        <v>0</v>
      </c>
      <c r="I58" s="90"/>
      <c r="J58" s="17">
        <f>SUM(J50:J57)</f>
        <v>-23675</v>
      </c>
      <c r="K58" s="90"/>
      <c r="L58" s="17">
        <f>SUM(L50:L57)</f>
        <v>42347243.610000007</v>
      </c>
    </row>
    <row r="59" spans="1:12" x14ac:dyDescent="0.2">
      <c r="B59" s="17"/>
      <c r="C59" s="90"/>
      <c r="D59" s="17"/>
      <c r="E59" s="90"/>
      <c r="F59" s="17"/>
      <c r="G59" s="90"/>
      <c r="H59" s="17"/>
      <c r="I59" s="90"/>
      <c r="J59" s="17"/>
      <c r="K59" s="90"/>
      <c r="L59" s="17"/>
    </row>
    <row r="60" spans="1:12" x14ac:dyDescent="0.2">
      <c r="A60" s="12" t="s">
        <v>15</v>
      </c>
      <c r="B60" s="17"/>
      <c r="C60" s="90"/>
      <c r="D60" s="17"/>
      <c r="E60" s="90"/>
      <c r="F60" s="17"/>
      <c r="G60" s="90"/>
      <c r="H60" s="17"/>
      <c r="I60" s="90"/>
      <c r="J60" s="17"/>
      <c r="K60" s="90"/>
      <c r="L60" s="17"/>
    </row>
    <row r="61" spans="1:12" x14ac:dyDescent="0.2">
      <c r="A61" s="43" t="s">
        <v>191</v>
      </c>
      <c r="B61" s="17">
        <f>'KY_Cost by Plant Acct P8 (REG)'!B62+'VA_Cost by Plant Acct P10 (REG)'!B43</f>
        <v>44455.58</v>
      </c>
      <c r="C61" s="90"/>
      <c r="D61" s="17">
        <f>'KY_Cost by Plant Acct P8 (REG)'!D62+'VA_Cost by Plant Acct P10 (REG)'!D43</f>
        <v>0</v>
      </c>
      <c r="E61" s="90"/>
      <c r="F61" s="17">
        <f>'KY_Cost by Plant Acct P8 (REG)'!F62+'VA_Cost by Plant Acct P10 (REG)'!F43</f>
        <v>0</v>
      </c>
      <c r="G61" s="90"/>
      <c r="H61" s="17">
        <f>'KY_Cost by Plant Acct P8 (REG)'!H62+'VA_Cost by Plant Acct P10 (REG)'!H43</f>
        <v>0</v>
      </c>
      <c r="I61" s="90"/>
      <c r="J61" s="17">
        <f>H61+F61+D61</f>
        <v>0</v>
      </c>
      <c r="K61" s="90"/>
      <c r="L61" s="17">
        <f>J61+B61</f>
        <v>44455.58</v>
      </c>
    </row>
    <row r="62" spans="1:12" x14ac:dyDescent="0.2">
      <c r="A62" s="3" t="s">
        <v>192</v>
      </c>
      <c r="B62" s="17">
        <f>'KY_Cost by Plant Acct P8 (REG)'!B63</f>
        <v>55918.829999999994</v>
      </c>
      <c r="C62" s="90"/>
      <c r="D62" s="17">
        <f>'KY_Cost by Plant Acct P8 (REG)'!D63</f>
        <v>0</v>
      </c>
      <c r="E62" s="90"/>
      <c r="F62" s="17">
        <f>'KY_Cost by Plant Acct P8 (REG)'!F63</f>
        <v>0</v>
      </c>
      <c r="G62" s="90"/>
      <c r="H62" s="17">
        <f>'KY_Cost by Plant Acct P8 (REG)'!H63</f>
        <v>0</v>
      </c>
      <c r="I62" s="90"/>
      <c r="J62" s="17">
        <f>H62+F62+D62</f>
        <v>0</v>
      </c>
      <c r="K62" s="90"/>
      <c r="L62" s="17">
        <f>J62+B62</f>
        <v>55918.829999999994</v>
      </c>
    </row>
    <row r="63" spans="1:12" x14ac:dyDescent="0.2">
      <c r="A63" s="3" t="s">
        <v>193</v>
      </c>
      <c r="B63" s="17">
        <f>'KY_Cost by Plant Acct P8 (REG)'!B64</f>
        <v>48833361.969999999</v>
      </c>
      <c r="C63" s="90"/>
      <c r="D63" s="17">
        <f>'KY_Cost by Plant Acct P8 (REG)'!D64</f>
        <v>11083870.050000001</v>
      </c>
      <c r="E63" s="90"/>
      <c r="F63" s="17">
        <f>'KY_Cost by Plant Acct P8 (REG)'!F64</f>
        <v>-7464577.3600000003</v>
      </c>
      <c r="G63" s="90"/>
      <c r="H63" s="17">
        <f>'KY_Cost by Plant Acct P8 (REG)'!H64</f>
        <v>0</v>
      </c>
      <c r="I63" s="90"/>
      <c r="J63" s="17">
        <f>H63+F63+D63</f>
        <v>3619292.6900000004</v>
      </c>
      <c r="K63" s="90"/>
      <c r="L63" s="17">
        <f>J63+B63</f>
        <v>52452654.659999996</v>
      </c>
    </row>
    <row r="64" spans="1:12" x14ac:dyDescent="0.2">
      <c r="A64" s="3" t="s">
        <v>194</v>
      </c>
      <c r="B64" s="16">
        <f>'KY_Cost by Plant Acct P8 (REG)'!B65</f>
        <v>41045494.530000001</v>
      </c>
      <c r="C64" s="90"/>
      <c r="D64" s="16">
        <f>'KY_Cost by Plant Acct P8 (REG)'!D65</f>
        <v>0</v>
      </c>
      <c r="E64" s="90"/>
      <c r="F64" s="16">
        <f>'KY_Cost by Plant Acct P8 (REG)'!F65</f>
        <v>0</v>
      </c>
      <c r="G64" s="90"/>
      <c r="H64" s="16">
        <f>'KY_Cost by Plant Acct P8 (REG)'!H65</f>
        <v>0</v>
      </c>
      <c r="I64" s="90"/>
      <c r="J64" s="16">
        <f>H64+F64+D64</f>
        <v>0</v>
      </c>
      <c r="K64" s="90"/>
      <c r="L64" s="16">
        <f>J64+B64</f>
        <v>41045494.530000001</v>
      </c>
    </row>
    <row r="65" spans="1:12" x14ac:dyDescent="0.2">
      <c r="B65" s="17">
        <f>SUM(B61:B64)</f>
        <v>89979230.909999996</v>
      </c>
      <c r="C65" s="90"/>
      <c r="D65" s="17">
        <f>SUM(D61:D64)</f>
        <v>11083870.050000001</v>
      </c>
      <c r="E65" s="90"/>
      <c r="F65" s="17">
        <f>SUM(F61:F64)</f>
        <v>-7464577.3600000003</v>
      </c>
      <c r="G65" s="90"/>
      <c r="H65" s="17">
        <f>SUM(H61:H64)</f>
        <v>0</v>
      </c>
      <c r="I65" s="90"/>
      <c r="J65" s="17">
        <f>SUM(J61:J64)</f>
        <v>3619292.6900000004</v>
      </c>
      <c r="K65" s="90"/>
      <c r="L65" s="17">
        <f>SUM(L61:L64)</f>
        <v>93598523.599999994</v>
      </c>
    </row>
    <row r="66" spans="1:12" x14ac:dyDescent="0.2">
      <c r="B66" s="17"/>
      <c r="C66" s="90"/>
      <c r="D66" s="17"/>
      <c r="E66" s="90"/>
      <c r="F66" s="17"/>
      <c r="G66" s="90"/>
      <c r="H66" s="17"/>
      <c r="I66" s="90"/>
      <c r="J66" s="17"/>
      <c r="K66" s="90"/>
      <c r="L66" s="17"/>
    </row>
    <row r="67" spans="1:12" x14ac:dyDescent="0.2">
      <c r="A67" s="12" t="s">
        <v>16</v>
      </c>
      <c r="B67" s="17"/>
      <c r="C67" s="90"/>
      <c r="D67" s="17"/>
      <c r="E67" s="90"/>
      <c r="F67" s="17"/>
      <c r="G67" s="90"/>
      <c r="H67" s="17"/>
      <c r="I67" s="90"/>
      <c r="J67" s="17"/>
      <c r="K67" s="90"/>
      <c r="L67" s="17"/>
    </row>
    <row r="68" spans="1:12" x14ac:dyDescent="0.2">
      <c r="A68" s="3" t="s">
        <v>196</v>
      </c>
      <c r="B68" s="17">
        <f>'KY_Cost by Plant Acct P8 (REG)'!B69</f>
        <v>176409.31</v>
      </c>
      <c r="C68" s="90"/>
      <c r="D68" s="17">
        <f>'KY_Cost by Plant Acct P8 (REG)'!D69</f>
        <v>0</v>
      </c>
      <c r="E68" s="90"/>
      <c r="F68" s="17">
        <f>'KY_Cost by Plant Acct P8 (REG)'!F69</f>
        <v>0</v>
      </c>
      <c r="G68" s="90"/>
      <c r="H68" s="17">
        <f>'KY_Cost by Plant Acct P8 (REG)'!H69</f>
        <v>0</v>
      </c>
      <c r="I68" s="90"/>
      <c r="J68" s="17">
        <f t="shared" ref="J68:J78" si="6">H68+F68+D68</f>
        <v>0</v>
      </c>
      <c r="K68" s="90"/>
      <c r="L68" s="17">
        <f t="shared" ref="L68:L78" si="7">J68+B68</f>
        <v>176409.31</v>
      </c>
    </row>
    <row r="69" spans="1:12" x14ac:dyDescent="0.2">
      <c r="A69" s="3" t="s">
        <v>197</v>
      </c>
      <c r="B69" s="17">
        <f>'KY_Cost by Plant Acct P8 (REG)'!B70</f>
        <v>297169.20999999996</v>
      </c>
      <c r="C69" s="90"/>
      <c r="D69" s="17">
        <f>'KY_Cost by Plant Acct P8 (REG)'!D70</f>
        <v>0</v>
      </c>
      <c r="E69" s="90"/>
      <c r="F69" s="17">
        <f>'KY_Cost by Plant Acct P8 (REG)'!F70</f>
        <v>0</v>
      </c>
      <c r="G69" s="90"/>
      <c r="H69" s="17">
        <f>'KY_Cost by Plant Acct P8 (REG)'!H70</f>
        <v>0</v>
      </c>
      <c r="I69" s="90"/>
      <c r="J69" s="17">
        <f t="shared" si="6"/>
        <v>0</v>
      </c>
      <c r="K69" s="90"/>
      <c r="L69" s="17">
        <f t="shared" si="7"/>
        <v>297169.20999999996</v>
      </c>
    </row>
    <row r="70" spans="1:12" x14ac:dyDescent="0.2">
      <c r="A70" s="3" t="s">
        <v>198</v>
      </c>
      <c r="B70" s="17">
        <f>'KY_Cost by Plant Acct P8 (REG)'!B71</f>
        <v>84117402.100000009</v>
      </c>
      <c r="C70" s="90"/>
      <c r="D70" s="17">
        <f>'KY_Cost by Plant Acct P8 (REG)'!D71</f>
        <v>1590007.43</v>
      </c>
      <c r="E70" s="90"/>
      <c r="F70" s="17">
        <f>'KY_Cost by Plant Acct P8 (REG)'!F71</f>
        <v>0</v>
      </c>
      <c r="G70" s="90"/>
      <c r="H70" s="17">
        <f>'KY_Cost by Plant Acct P8 (REG)'!H71</f>
        <v>0</v>
      </c>
      <c r="I70" s="90"/>
      <c r="J70" s="17">
        <f t="shared" si="6"/>
        <v>1590007.43</v>
      </c>
      <c r="K70" s="90"/>
      <c r="L70" s="17">
        <f t="shared" si="7"/>
        <v>85707409.530000016</v>
      </c>
    </row>
    <row r="71" spans="1:12" x14ac:dyDescent="0.2">
      <c r="A71" s="3" t="s">
        <v>199</v>
      </c>
      <c r="B71" s="17">
        <f>'KY_Cost by Plant Acct P8 (REG)'!B72</f>
        <v>54822917.179999992</v>
      </c>
      <c r="C71" s="90"/>
      <c r="D71" s="17">
        <f>'KY_Cost by Plant Acct P8 (REG)'!D72</f>
        <v>6997238.3499999996</v>
      </c>
      <c r="E71" s="90"/>
      <c r="F71" s="17">
        <f>'KY_Cost by Plant Acct P8 (REG)'!F72</f>
        <v>-19123.07</v>
      </c>
      <c r="G71" s="90"/>
      <c r="H71" s="17">
        <f>'KY_Cost by Plant Acct P8 (REG)'!H72</f>
        <v>0</v>
      </c>
      <c r="I71" s="90"/>
      <c r="J71" s="17">
        <f t="shared" si="6"/>
        <v>6978115.2799999993</v>
      </c>
      <c r="K71" s="90"/>
      <c r="L71" s="17">
        <f t="shared" si="7"/>
        <v>61801032.459999993</v>
      </c>
    </row>
    <row r="72" spans="1:12" x14ac:dyDescent="0.2">
      <c r="A72" s="3" t="s">
        <v>200</v>
      </c>
      <c r="B72" s="17">
        <f>'KY_Cost by Plant Acct P8 (REG)'!B73</f>
        <v>0</v>
      </c>
      <c r="C72" s="90"/>
      <c r="D72" s="17">
        <f>'KY_Cost by Plant Acct P8 (REG)'!D73</f>
        <v>0</v>
      </c>
      <c r="E72" s="90"/>
      <c r="F72" s="17">
        <f>'KY_Cost by Plant Acct P8 (REG)'!F73</f>
        <v>0</v>
      </c>
      <c r="G72" s="90"/>
      <c r="H72" s="17">
        <f>'KY_Cost by Plant Acct P8 (REG)'!H73</f>
        <v>0</v>
      </c>
      <c r="I72" s="90"/>
      <c r="J72" s="17">
        <f t="shared" si="6"/>
        <v>0</v>
      </c>
      <c r="K72" s="90"/>
      <c r="L72" s="17">
        <f t="shared" si="7"/>
        <v>0</v>
      </c>
    </row>
    <row r="73" spans="1:12" x14ac:dyDescent="0.2">
      <c r="A73" s="3" t="s">
        <v>201</v>
      </c>
      <c r="B73" s="17">
        <f>'KY_Cost by Plant Acct P8 (REG)'!B74</f>
        <v>639293629.26999998</v>
      </c>
      <c r="C73" s="90"/>
      <c r="D73" s="17">
        <f>'KY_Cost by Plant Acct P8 (REG)'!D74</f>
        <v>4034169.86</v>
      </c>
      <c r="E73" s="90"/>
      <c r="F73" s="17">
        <f>'KY_Cost by Plant Acct P8 (REG)'!F74</f>
        <v>-2558079.84</v>
      </c>
      <c r="G73" s="90"/>
      <c r="H73" s="17">
        <f>'KY_Cost by Plant Acct P8 (REG)'!H74</f>
        <v>0</v>
      </c>
      <c r="I73" s="90"/>
      <c r="J73" s="17">
        <f t="shared" si="6"/>
        <v>1476090.02</v>
      </c>
      <c r="K73" s="90"/>
      <c r="L73" s="17">
        <f t="shared" si="7"/>
        <v>640769719.28999996</v>
      </c>
    </row>
    <row r="74" spans="1:12" x14ac:dyDescent="0.2">
      <c r="A74" s="3" t="s">
        <v>202</v>
      </c>
      <c r="B74" s="17">
        <f>'KY_Cost by Plant Acct P8 (REG)'!B75</f>
        <v>116673204.00999999</v>
      </c>
      <c r="C74" s="90"/>
      <c r="D74" s="17">
        <f>'KY_Cost by Plant Acct P8 (REG)'!D75</f>
        <v>15137327.189999999</v>
      </c>
      <c r="E74" s="90"/>
      <c r="F74" s="17">
        <f>'KY_Cost by Plant Acct P8 (REG)'!F75</f>
        <v>-475999.11</v>
      </c>
      <c r="G74" s="90"/>
      <c r="H74" s="17">
        <f>'KY_Cost by Plant Acct P8 (REG)'!H75</f>
        <v>0</v>
      </c>
      <c r="I74" s="90"/>
      <c r="J74" s="17">
        <f t="shared" si="6"/>
        <v>14661328.08</v>
      </c>
      <c r="K74" s="90"/>
      <c r="L74" s="17">
        <f t="shared" si="7"/>
        <v>131334532.08999999</v>
      </c>
    </row>
    <row r="75" spans="1:12" x14ac:dyDescent="0.2">
      <c r="A75" s="3" t="s">
        <v>203</v>
      </c>
      <c r="B75" s="17">
        <f>'KY_Cost by Plant Acct P8 (REG)'!B76</f>
        <v>65639812.61999999</v>
      </c>
      <c r="C75" s="90"/>
      <c r="D75" s="17">
        <f>'KY_Cost by Plant Acct P8 (REG)'!D76</f>
        <v>518610.88</v>
      </c>
      <c r="E75" s="90"/>
      <c r="F75" s="17">
        <f>'KY_Cost by Plant Acct P8 (REG)'!F76</f>
        <v>0</v>
      </c>
      <c r="G75" s="90"/>
      <c r="H75" s="17">
        <f>'KY_Cost by Plant Acct P8 (REG)'!H76</f>
        <v>0</v>
      </c>
      <c r="I75" s="90"/>
      <c r="J75" s="17">
        <f t="shared" si="6"/>
        <v>518610.88</v>
      </c>
      <c r="K75" s="90"/>
      <c r="L75" s="17">
        <f t="shared" si="7"/>
        <v>66158423.499999993</v>
      </c>
    </row>
    <row r="76" spans="1:12" x14ac:dyDescent="0.2">
      <c r="A76" s="3" t="s">
        <v>204</v>
      </c>
      <c r="B76" s="17">
        <f>'KY_Cost by Plant Acct P8 (REG)'!B77</f>
        <v>0</v>
      </c>
      <c r="C76" s="90"/>
      <c r="D76" s="17">
        <f>'KY_Cost by Plant Acct P8 (REG)'!D77</f>
        <v>0</v>
      </c>
      <c r="E76" s="90"/>
      <c r="F76" s="17">
        <f>'KY_Cost by Plant Acct P8 (REG)'!F77</f>
        <v>0</v>
      </c>
      <c r="G76" s="90"/>
      <c r="H76" s="17">
        <f>'KY_Cost by Plant Acct P8 (REG)'!H77</f>
        <v>0</v>
      </c>
      <c r="I76" s="90"/>
      <c r="J76" s="17">
        <f t="shared" si="6"/>
        <v>0</v>
      </c>
      <c r="K76" s="90"/>
      <c r="L76" s="17">
        <f t="shared" si="7"/>
        <v>0</v>
      </c>
    </row>
    <row r="77" spans="1:12" x14ac:dyDescent="0.2">
      <c r="A77" s="3" t="s">
        <v>205</v>
      </c>
      <c r="B77" s="17">
        <f>'KY_Cost by Plant Acct P8 (REG)'!B78</f>
        <v>8577429.3999999985</v>
      </c>
      <c r="C77" s="90"/>
      <c r="D77" s="17">
        <f>'KY_Cost by Plant Acct P8 (REG)'!D78</f>
        <v>527339.17000000004</v>
      </c>
      <c r="E77" s="90"/>
      <c r="F77" s="17">
        <f>'KY_Cost by Plant Acct P8 (REG)'!F78</f>
        <v>-27592.94</v>
      </c>
      <c r="G77" s="90"/>
      <c r="H77" s="17">
        <f>'KY_Cost by Plant Acct P8 (REG)'!H78</f>
        <v>0</v>
      </c>
      <c r="I77" s="90"/>
      <c r="J77" s="17">
        <f t="shared" si="6"/>
        <v>499746.23000000004</v>
      </c>
      <c r="K77" s="90"/>
      <c r="L77" s="17">
        <f t="shared" si="7"/>
        <v>9077175.629999999</v>
      </c>
    </row>
    <row r="78" spans="1:12" x14ac:dyDescent="0.2">
      <c r="A78" s="3" t="s">
        <v>206</v>
      </c>
      <c r="B78" s="16">
        <f>'KY_Cost by Plant Acct P8 (REG)'!B79</f>
        <v>403344.09</v>
      </c>
      <c r="C78" s="90"/>
      <c r="D78" s="16">
        <f>'KY_Cost by Plant Acct P8 (REG)'!D79</f>
        <v>0</v>
      </c>
      <c r="E78" s="90"/>
      <c r="F78" s="16">
        <f>'KY_Cost by Plant Acct P8 (REG)'!F79</f>
        <v>0</v>
      </c>
      <c r="G78" s="90"/>
      <c r="H78" s="16">
        <f>'KY_Cost by Plant Acct P8 (REG)'!H79</f>
        <v>3647.0299999999988</v>
      </c>
      <c r="I78" s="90"/>
      <c r="J78" s="16">
        <f t="shared" si="6"/>
        <v>3647.0299999999988</v>
      </c>
      <c r="K78" s="90"/>
      <c r="L78" s="16">
        <f t="shared" si="7"/>
        <v>406991.12</v>
      </c>
    </row>
    <row r="79" spans="1:12" x14ac:dyDescent="0.2">
      <c r="B79" s="17">
        <f>SUM(B68:B78)</f>
        <v>970001317.18999994</v>
      </c>
      <c r="C79" s="90"/>
      <c r="D79" s="17">
        <f>SUM(D68:D78)</f>
        <v>28804692.879999999</v>
      </c>
      <c r="E79" s="90"/>
      <c r="F79" s="17">
        <f>SUM(F68:F78)</f>
        <v>-3080794.9599999995</v>
      </c>
      <c r="G79" s="90"/>
      <c r="H79" s="17">
        <f>SUM(H68:H78)</f>
        <v>3647.0299999999988</v>
      </c>
      <c r="I79" s="90"/>
      <c r="J79" s="17">
        <f>SUM(J68:J78)</f>
        <v>25727544.949999999</v>
      </c>
      <c r="K79" s="90"/>
      <c r="L79" s="17">
        <f>SUM(L68:L78)</f>
        <v>995728862.13999999</v>
      </c>
    </row>
    <row r="80" spans="1:12" x14ac:dyDescent="0.2">
      <c r="B80" s="17"/>
      <c r="C80" s="90"/>
      <c r="D80" s="17"/>
      <c r="E80" s="90"/>
      <c r="F80" s="17"/>
      <c r="G80" s="90"/>
      <c r="H80" s="17"/>
      <c r="I80" s="90"/>
      <c r="J80" s="17"/>
      <c r="K80" s="90"/>
      <c r="L80" s="17"/>
    </row>
    <row r="81" spans="1:12" x14ac:dyDescent="0.2">
      <c r="A81" s="12" t="s">
        <v>17</v>
      </c>
      <c r="C81" s="89"/>
      <c r="E81" s="89"/>
      <c r="G81" s="89"/>
      <c r="I81" s="89"/>
      <c r="K81" s="89"/>
    </row>
    <row r="82" spans="1:12" x14ac:dyDescent="0.2">
      <c r="A82" s="3" t="s">
        <v>208</v>
      </c>
      <c r="B82" s="14">
        <f>'KY_Cost by Plant Acct P8 (REG)'!B83</f>
        <v>12286216.309999999</v>
      </c>
      <c r="C82" s="89"/>
      <c r="D82" s="14">
        <f>'KY_Cost by Plant Acct P8 (REG)'!D83</f>
        <v>0</v>
      </c>
      <c r="E82" s="89"/>
      <c r="F82" s="14">
        <f>'KY_Cost by Plant Acct P8 (REG)'!F83</f>
        <v>0</v>
      </c>
      <c r="G82" s="89"/>
      <c r="H82" s="14">
        <f>'KY_Cost by Plant Acct P8 (REG)'!H83</f>
        <v>0</v>
      </c>
      <c r="I82" s="89"/>
      <c r="J82" s="14">
        <f t="shared" ref="J82:J93" si="8">H82+F82+D82</f>
        <v>0</v>
      </c>
      <c r="K82" s="89"/>
      <c r="L82" s="14">
        <f t="shared" ref="L82:L93" si="9">J82+B82</f>
        <v>12286216.309999999</v>
      </c>
    </row>
    <row r="83" spans="1:12" x14ac:dyDescent="0.2">
      <c r="A83" s="3" t="s">
        <v>209</v>
      </c>
      <c r="B83" s="14">
        <f>'KY_Cost by Plant Acct P8 (REG)'!B84</f>
        <v>320941193.40000004</v>
      </c>
      <c r="C83" s="89"/>
      <c r="D83" s="14">
        <f>'KY_Cost by Plant Acct P8 (REG)'!D84</f>
        <v>14250552.34</v>
      </c>
      <c r="E83" s="89"/>
      <c r="F83" s="14">
        <f>'KY_Cost by Plant Acct P8 (REG)'!F84</f>
        <v>-562234.81999999995</v>
      </c>
      <c r="G83" s="89"/>
      <c r="H83" s="14">
        <f>'KY_Cost by Plant Acct P8 (REG)'!H84</f>
        <v>-244219.69</v>
      </c>
      <c r="I83" s="89"/>
      <c r="J83" s="14">
        <f t="shared" si="8"/>
        <v>13444097.83</v>
      </c>
      <c r="K83" s="89"/>
      <c r="L83" s="14">
        <f t="shared" si="9"/>
        <v>334385291.23000002</v>
      </c>
    </row>
    <row r="84" spans="1:12" x14ac:dyDescent="0.2">
      <c r="A84" s="3" t="s">
        <v>210</v>
      </c>
      <c r="B84" s="14">
        <f>'KY_Cost by Plant Acct P8 (REG)'!B85</f>
        <v>0</v>
      </c>
      <c r="C84" s="89"/>
      <c r="D84" s="14">
        <f>'KY_Cost by Plant Acct P8 (REG)'!D85</f>
        <v>0</v>
      </c>
      <c r="E84" s="89"/>
      <c r="F84" s="14">
        <f>'KY_Cost by Plant Acct P8 (REG)'!F85</f>
        <v>0</v>
      </c>
      <c r="G84" s="89"/>
      <c r="H84" s="14">
        <f>'KY_Cost by Plant Acct P8 (REG)'!H85</f>
        <v>0</v>
      </c>
      <c r="I84" s="89"/>
      <c r="J84" s="14">
        <f t="shared" si="8"/>
        <v>0</v>
      </c>
      <c r="K84" s="89"/>
      <c r="L84" s="14">
        <f t="shared" si="9"/>
        <v>0</v>
      </c>
    </row>
    <row r="85" spans="1:12" x14ac:dyDescent="0.2">
      <c r="A85" s="3" t="s">
        <v>211</v>
      </c>
      <c r="B85" s="14">
        <f>'KY_Cost by Plant Acct P8 (REG)'!B86</f>
        <v>2807723474.9200001</v>
      </c>
      <c r="C85" s="89"/>
      <c r="D85" s="14">
        <f>'KY_Cost by Plant Acct P8 (REG)'!D86</f>
        <v>453366741.81999999</v>
      </c>
      <c r="E85" s="89"/>
      <c r="F85" s="14">
        <f>'KY_Cost by Plant Acct P8 (REG)'!F86</f>
        <v>-8820017.4299999997</v>
      </c>
      <c r="G85" s="89"/>
      <c r="H85" s="14">
        <f>'KY_Cost by Plant Acct P8 (REG)'!H86</f>
        <v>0</v>
      </c>
      <c r="I85" s="89"/>
      <c r="J85" s="14">
        <f t="shared" si="8"/>
        <v>444546724.38999999</v>
      </c>
      <c r="K85" s="89"/>
      <c r="L85" s="14">
        <f t="shared" si="9"/>
        <v>3252270199.3099999</v>
      </c>
    </row>
    <row r="86" spans="1:12" x14ac:dyDescent="0.2">
      <c r="A86" s="3" t="s">
        <v>212</v>
      </c>
      <c r="B86" s="14">
        <f>'KY_Cost by Plant Acct P8 (REG)'!B87</f>
        <v>0</v>
      </c>
      <c r="C86" s="89"/>
      <c r="D86" s="14">
        <f>'KY_Cost by Plant Acct P8 (REG)'!D87</f>
        <v>0</v>
      </c>
      <c r="E86" s="89"/>
      <c r="F86" s="14">
        <f>'KY_Cost by Plant Acct P8 (REG)'!F87</f>
        <v>0</v>
      </c>
      <c r="G86" s="89"/>
      <c r="H86" s="14">
        <f>'KY_Cost by Plant Acct P8 (REG)'!H87</f>
        <v>0</v>
      </c>
      <c r="I86" s="89"/>
      <c r="J86" s="14">
        <f t="shared" si="8"/>
        <v>0</v>
      </c>
      <c r="K86" s="89"/>
      <c r="L86" s="14">
        <f t="shared" si="9"/>
        <v>0</v>
      </c>
    </row>
    <row r="87" spans="1:12" x14ac:dyDescent="0.2">
      <c r="A87" s="3" t="s">
        <v>213</v>
      </c>
      <c r="B87" s="14">
        <f>'KY_Cost by Plant Acct P8 (REG)'!B88</f>
        <v>330124557.32999992</v>
      </c>
      <c r="C87" s="89"/>
      <c r="D87" s="14">
        <f>'KY_Cost by Plant Acct P8 (REG)'!D88</f>
        <v>9300791.7699999996</v>
      </c>
      <c r="E87" s="89"/>
      <c r="F87" s="14">
        <f>'KY_Cost by Plant Acct P8 (REG)'!F88</f>
        <v>-4439606</v>
      </c>
      <c r="G87" s="89"/>
      <c r="H87" s="14">
        <f>'KY_Cost by Plant Acct P8 (REG)'!H88</f>
        <v>221969.43</v>
      </c>
      <c r="I87" s="89"/>
      <c r="J87" s="14">
        <f t="shared" si="8"/>
        <v>5083155.1999999993</v>
      </c>
      <c r="K87" s="89"/>
      <c r="L87" s="14">
        <f t="shared" si="9"/>
        <v>335207712.52999991</v>
      </c>
    </row>
    <row r="88" spans="1:12" x14ac:dyDescent="0.2">
      <c r="A88" s="3" t="s">
        <v>214</v>
      </c>
      <c r="B88" s="14">
        <f>'KY_Cost by Plant Acct P8 (REG)'!B89</f>
        <v>0</v>
      </c>
      <c r="C88" s="89"/>
      <c r="D88" s="14">
        <f>'KY_Cost by Plant Acct P8 (REG)'!D89</f>
        <v>0</v>
      </c>
      <c r="E88" s="89"/>
      <c r="F88" s="14">
        <f>'KY_Cost by Plant Acct P8 (REG)'!F89</f>
        <v>0</v>
      </c>
      <c r="G88" s="89"/>
      <c r="H88" s="14">
        <f>'KY_Cost by Plant Acct P8 (REG)'!H89</f>
        <v>0</v>
      </c>
      <c r="I88" s="89"/>
      <c r="J88" s="14">
        <f t="shared" si="8"/>
        <v>0</v>
      </c>
      <c r="K88" s="89"/>
      <c r="L88" s="14">
        <f t="shared" si="9"/>
        <v>0</v>
      </c>
    </row>
    <row r="89" spans="1:12" x14ac:dyDescent="0.2">
      <c r="A89" s="3" t="s">
        <v>215</v>
      </c>
      <c r="B89" s="14">
        <f>'KY_Cost by Plant Acct P8 (REG)'!B90</f>
        <v>211550294.50999999</v>
      </c>
      <c r="C89" s="89"/>
      <c r="D89" s="14">
        <f>'KY_Cost by Plant Acct P8 (REG)'!D90</f>
        <v>27649486.699999999</v>
      </c>
      <c r="E89" s="89"/>
      <c r="F89" s="14">
        <f>'KY_Cost by Plant Acct P8 (REG)'!F90</f>
        <v>-115476.19</v>
      </c>
      <c r="G89" s="89"/>
      <c r="H89" s="14">
        <f>'KY_Cost by Plant Acct P8 (REG)'!H90</f>
        <v>0</v>
      </c>
      <c r="I89" s="89"/>
      <c r="J89" s="14">
        <f t="shared" si="8"/>
        <v>27534010.509999998</v>
      </c>
      <c r="K89" s="89"/>
      <c r="L89" s="14">
        <f t="shared" si="9"/>
        <v>239084305.01999998</v>
      </c>
    </row>
    <row r="90" spans="1:12" x14ac:dyDescent="0.2">
      <c r="A90" s="3" t="s">
        <v>216</v>
      </c>
      <c r="B90" s="14">
        <f>'KY_Cost by Plant Acct P8 (REG)'!B91</f>
        <v>0</v>
      </c>
      <c r="C90" s="89"/>
      <c r="D90" s="14">
        <f>'KY_Cost by Plant Acct P8 (REG)'!D91</f>
        <v>0</v>
      </c>
      <c r="E90" s="89"/>
      <c r="F90" s="14">
        <f>'KY_Cost by Plant Acct P8 (REG)'!F91</f>
        <v>0</v>
      </c>
      <c r="G90" s="89"/>
      <c r="H90" s="14">
        <f>'KY_Cost by Plant Acct P8 (REG)'!H91</f>
        <v>0</v>
      </c>
      <c r="I90" s="89"/>
      <c r="J90" s="14">
        <f t="shared" si="8"/>
        <v>0</v>
      </c>
      <c r="K90" s="89"/>
      <c r="L90" s="14">
        <f t="shared" si="9"/>
        <v>0</v>
      </c>
    </row>
    <row r="91" spans="1:12" x14ac:dyDescent="0.2">
      <c r="A91" s="3" t="s">
        <v>217</v>
      </c>
      <c r="B91" s="14">
        <f>'KY_Cost by Plant Acct P8 (REG)'!B92</f>
        <v>33749760.060000002</v>
      </c>
      <c r="C91" s="89"/>
      <c r="D91" s="14">
        <f>'KY_Cost by Plant Acct P8 (REG)'!D92</f>
        <v>919736.19</v>
      </c>
      <c r="E91" s="89"/>
      <c r="F91" s="14">
        <f>'KY_Cost by Plant Acct P8 (REG)'!F92</f>
        <v>-416466.95</v>
      </c>
      <c r="G91" s="89"/>
      <c r="H91" s="14">
        <f>'KY_Cost by Plant Acct P8 (REG)'!H92</f>
        <v>22250.26</v>
      </c>
      <c r="I91" s="89"/>
      <c r="J91" s="14">
        <f t="shared" si="8"/>
        <v>525519.5</v>
      </c>
      <c r="K91" s="89"/>
      <c r="L91" s="14">
        <f t="shared" si="9"/>
        <v>34275279.560000002</v>
      </c>
    </row>
    <row r="92" spans="1:12" x14ac:dyDescent="0.2">
      <c r="A92" s="3" t="s">
        <v>218</v>
      </c>
      <c r="B92" s="17">
        <f>'KY_Cost by Plant Acct P8 (REG)'!B93</f>
        <v>27653256.49999994</v>
      </c>
      <c r="C92" s="90"/>
      <c r="D92" s="17">
        <f>'KY_Cost by Plant Acct P8 (REG)'!D93</f>
        <v>0</v>
      </c>
      <c r="E92" s="90"/>
      <c r="F92" s="17">
        <f>'KY_Cost by Plant Acct P8 (REG)'!F93</f>
        <v>-203134</v>
      </c>
      <c r="G92" s="90"/>
      <c r="H92" s="17">
        <f>'KY_Cost by Plant Acct P8 (REG)'!H93</f>
        <v>7488204.6200000001</v>
      </c>
      <c r="I92" s="90"/>
      <c r="J92" s="17">
        <f t="shared" si="8"/>
        <v>7285070.6200000001</v>
      </c>
      <c r="K92" s="90"/>
      <c r="L92" s="17">
        <f t="shared" si="9"/>
        <v>34938327.119999938</v>
      </c>
    </row>
    <row r="93" spans="1:12" x14ac:dyDescent="0.2">
      <c r="A93" s="3" t="s">
        <v>219</v>
      </c>
      <c r="B93" s="17">
        <f>'KY_Cost by Plant Acct P8 (REG)'!B94</f>
        <v>220491458.15000004</v>
      </c>
      <c r="C93" s="90"/>
      <c r="D93" s="17">
        <f>'KY_Cost by Plant Acct P8 (REG)'!D94</f>
        <v>0</v>
      </c>
      <c r="E93" s="90"/>
      <c r="F93" s="17">
        <f>'KY_Cost by Plant Acct P8 (REG)'!F94</f>
        <v>0</v>
      </c>
      <c r="G93" s="90"/>
      <c r="H93" s="17">
        <f>'KY_Cost by Plant Acct P8 (REG)'!H94</f>
        <v>-53428221.539999999</v>
      </c>
      <c r="I93" s="90"/>
      <c r="J93" s="17">
        <f t="shared" si="8"/>
        <v>-53428221.539999999</v>
      </c>
      <c r="K93" s="90"/>
      <c r="L93" s="17">
        <f t="shared" si="9"/>
        <v>167063236.61000004</v>
      </c>
    </row>
    <row r="94" spans="1:12" x14ac:dyDescent="0.2">
      <c r="B94" s="18">
        <f>SUM(B82:B93)</f>
        <v>3964520211.1800003</v>
      </c>
      <c r="C94" s="92"/>
      <c r="D94" s="18">
        <f>SUM(D82:D93)</f>
        <v>505487308.81999993</v>
      </c>
      <c r="E94" s="92"/>
      <c r="F94" s="18">
        <f>SUM(F82:F93)</f>
        <v>-14556935.389999999</v>
      </c>
      <c r="G94" s="92"/>
      <c r="H94" s="18">
        <f>SUM(H82:H93)</f>
        <v>-45940016.920000002</v>
      </c>
      <c r="I94" s="92"/>
      <c r="J94" s="18">
        <f>SUM(J82:J93)</f>
        <v>444990356.50999993</v>
      </c>
      <c r="K94" s="92"/>
      <c r="L94" s="18">
        <f>SUM(L82:L93)</f>
        <v>4409510567.6899996</v>
      </c>
    </row>
    <row r="95" spans="1:12" x14ac:dyDescent="0.2">
      <c r="B95" s="17"/>
      <c r="C95" s="90"/>
      <c r="D95" s="17"/>
      <c r="E95" s="90"/>
      <c r="F95" s="17"/>
      <c r="G95" s="90"/>
      <c r="H95" s="17"/>
      <c r="I95" s="90"/>
      <c r="J95" s="17"/>
      <c r="K95" s="90"/>
      <c r="L95" s="17"/>
    </row>
    <row r="96" spans="1:12" x14ac:dyDescent="0.2">
      <c r="A96" s="12" t="s">
        <v>18</v>
      </c>
      <c r="B96" s="17"/>
      <c r="C96" s="90"/>
      <c r="D96" s="17"/>
      <c r="E96" s="90"/>
      <c r="F96" s="17"/>
      <c r="G96" s="90"/>
      <c r="H96" s="17"/>
      <c r="I96" s="90"/>
      <c r="J96" s="17"/>
      <c r="K96" s="90"/>
      <c r="L96" s="17"/>
    </row>
    <row r="97" spans="1:12" x14ac:dyDescent="0.2">
      <c r="A97" s="3" t="s">
        <v>221</v>
      </c>
      <c r="B97" s="17">
        <f>'KY_Cost by Plant Acct P8 (REG)'!B98+'TN_Cost by Plant Acct P12 (REG)'!B27+'VA_Cost by Plant Acct P10 (REG)'!B47</f>
        <v>29529839.68</v>
      </c>
      <c r="C97" s="90"/>
      <c r="D97" s="17">
        <f>'KY_Cost by Plant Acct P8 (REG)'!D98+'TN_Cost by Plant Acct P12 (REG)'!D27+'VA_Cost by Plant Acct P10 (REG)'!D47</f>
        <v>0</v>
      </c>
      <c r="E97" s="90"/>
      <c r="F97" s="17">
        <f>'KY_Cost by Plant Acct P8 (REG)'!F98+'TN_Cost by Plant Acct P12 (REG)'!F27+'VA_Cost by Plant Acct P10 (REG)'!F47</f>
        <v>0</v>
      </c>
      <c r="G97" s="90"/>
      <c r="H97" s="17">
        <f>'KY_Cost by Plant Acct P8 (REG)'!H98+'TN_Cost by Plant Acct P12 (REG)'!H27+'VA_Cost by Plant Acct P10 (REG)'!H47</f>
        <v>0</v>
      </c>
      <c r="I97" s="90"/>
      <c r="J97" s="17">
        <f t="shared" ref="J97:J110" si="10">H97+F97+D97</f>
        <v>0</v>
      </c>
      <c r="K97" s="90"/>
      <c r="L97" s="17">
        <f t="shared" ref="L97:L110" si="11">J97+B97</f>
        <v>29529839.68</v>
      </c>
    </row>
    <row r="98" spans="1:12" x14ac:dyDescent="0.2">
      <c r="A98" s="3" t="s">
        <v>222</v>
      </c>
      <c r="B98" s="17">
        <f>'KY_Cost by Plant Acct P8 (REG)'!B99+'VA_Cost by Plant Acct P10 (REG)'!B48</f>
        <v>2360270.0699999998</v>
      </c>
      <c r="C98" s="90"/>
      <c r="D98" s="17">
        <f>'KY_Cost by Plant Acct P8 (REG)'!D99+'VA_Cost by Plant Acct P10 (REG)'!D48</f>
        <v>0</v>
      </c>
      <c r="E98" s="90"/>
      <c r="F98" s="17">
        <f>'KY_Cost by Plant Acct P8 (REG)'!F99+'VA_Cost by Plant Acct P10 (REG)'!F48</f>
        <v>0</v>
      </c>
      <c r="G98" s="90"/>
      <c r="H98" s="17">
        <f>'KY_Cost by Plant Acct P8 (REG)'!H99+'VA_Cost by Plant Acct P10 (REG)'!H48</f>
        <v>0</v>
      </c>
      <c r="I98" s="90"/>
      <c r="J98" s="17">
        <f t="shared" si="10"/>
        <v>0</v>
      </c>
      <c r="K98" s="90"/>
      <c r="L98" s="17">
        <f t="shared" si="11"/>
        <v>2360270.0699999998</v>
      </c>
    </row>
    <row r="99" spans="1:12" x14ac:dyDescent="0.2">
      <c r="A99" s="3" t="s">
        <v>223</v>
      </c>
      <c r="B99" s="17">
        <f>'KY_Cost by Plant Acct P8 (REG)'!B100+'VA_Cost by Plant Acct P10 (REG)'!B49</f>
        <v>28242765.080000006</v>
      </c>
      <c r="C99" s="90"/>
      <c r="D99" s="17">
        <f>'KY_Cost by Plant Acct P8 (REG)'!D100+'VA_Cost by Plant Acct P10 (REG)'!D49</f>
        <v>1130677.93</v>
      </c>
      <c r="E99" s="90"/>
      <c r="F99" s="17">
        <f>'KY_Cost by Plant Acct P8 (REG)'!F100+'VA_Cost by Plant Acct P10 (REG)'!F49</f>
        <v>-112814.59999999999</v>
      </c>
      <c r="G99" s="90"/>
      <c r="H99" s="17">
        <f>'KY_Cost by Plant Acct P8 (REG)'!H100+'VA_Cost by Plant Acct P10 (REG)'!H49</f>
        <v>147601.17000000001</v>
      </c>
      <c r="I99" s="90"/>
      <c r="J99" s="17">
        <f t="shared" si="10"/>
        <v>1165464.5</v>
      </c>
      <c r="K99" s="90"/>
      <c r="L99" s="17">
        <f t="shared" si="11"/>
        <v>29408229.580000006</v>
      </c>
    </row>
    <row r="100" spans="1:12" x14ac:dyDescent="0.2">
      <c r="A100" s="3" t="s">
        <v>224</v>
      </c>
      <c r="B100" s="17">
        <f>'KY_Cost by Plant Acct P8 (REG)'!B101</f>
        <v>193226.00999999992</v>
      </c>
      <c r="C100" s="90"/>
      <c r="D100" s="17">
        <f>'KY_Cost by Plant Acct P8 (REG)'!D101</f>
        <v>0</v>
      </c>
      <c r="E100" s="90"/>
      <c r="F100" s="17">
        <f>'KY_Cost by Plant Acct P8 (REG)'!F101</f>
        <v>-32410.2</v>
      </c>
      <c r="G100" s="90"/>
      <c r="H100" s="17">
        <f>'KY_Cost by Plant Acct P8 (REG)'!H101</f>
        <v>-77830.59</v>
      </c>
      <c r="I100" s="90"/>
      <c r="J100" s="17">
        <f t="shared" si="10"/>
        <v>-110240.79</v>
      </c>
      <c r="K100" s="90"/>
      <c r="L100" s="17">
        <f t="shared" si="11"/>
        <v>82985.219999999928</v>
      </c>
    </row>
    <row r="101" spans="1:12" x14ac:dyDescent="0.2">
      <c r="A101" s="3" t="s">
        <v>225</v>
      </c>
      <c r="B101" s="17">
        <f>'KY_Cost by Plant Acct P8 (REG)'!B102+'VA_Cost by Plant Acct P10 (REG)'!B50</f>
        <v>261188421.97999999</v>
      </c>
      <c r="C101" s="90"/>
      <c r="D101" s="17">
        <f>'KY_Cost by Plant Acct P8 (REG)'!D102+'VA_Cost by Plant Acct P10 (REG)'!D50</f>
        <v>14902255.26</v>
      </c>
      <c r="E101" s="90"/>
      <c r="F101" s="17">
        <f>'KY_Cost by Plant Acct P8 (REG)'!F102+'VA_Cost by Plant Acct P10 (REG)'!F50</f>
        <v>-2380835.6399999997</v>
      </c>
      <c r="G101" s="90"/>
      <c r="H101" s="17">
        <f>'KY_Cost by Plant Acct P8 (REG)'!H102+'VA_Cost by Plant Acct P10 (REG)'!H50</f>
        <v>676684.79</v>
      </c>
      <c r="I101" s="90"/>
      <c r="J101" s="17">
        <f t="shared" si="10"/>
        <v>13198104.41</v>
      </c>
      <c r="K101" s="90"/>
      <c r="L101" s="17">
        <f t="shared" si="11"/>
        <v>274386526.38999999</v>
      </c>
    </row>
    <row r="102" spans="1:12" x14ac:dyDescent="0.2">
      <c r="A102" s="3" t="s">
        <v>226</v>
      </c>
      <c r="B102" s="17">
        <f>'KY_Cost by Plant Acct P8 (REG)'!B103</f>
        <v>0</v>
      </c>
      <c r="C102" s="90"/>
      <c r="D102" s="17">
        <f>'KY_Cost by Plant Acct P8 (REG)'!D103</f>
        <v>0</v>
      </c>
      <c r="E102" s="90"/>
      <c r="F102" s="17">
        <f>'KY_Cost by Plant Acct P8 (REG)'!F103</f>
        <v>0</v>
      </c>
      <c r="G102" s="90"/>
      <c r="H102" s="17">
        <f>'KY_Cost by Plant Acct P8 (REG)'!H103</f>
        <v>0</v>
      </c>
      <c r="I102" s="90"/>
      <c r="J102" s="17">
        <f t="shared" si="10"/>
        <v>0</v>
      </c>
      <c r="K102" s="90"/>
      <c r="L102" s="17">
        <f t="shared" si="11"/>
        <v>0</v>
      </c>
    </row>
    <row r="103" spans="1:12" x14ac:dyDescent="0.2">
      <c r="A103" s="3" t="s">
        <v>227</v>
      </c>
      <c r="B103" s="17">
        <f>'KY_Cost by Plant Acct P8 (REG)'!B104</f>
        <v>6541159.8899999997</v>
      </c>
      <c r="C103" s="90"/>
      <c r="D103" s="17">
        <f>'KY_Cost by Plant Acct P8 (REG)'!D104</f>
        <v>35703.760000000002</v>
      </c>
      <c r="E103" s="90"/>
      <c r="F103" s="17">
        <f>'KY_Cost by Plant Acct P8 (REG)'!F104</f>
        <v>-3949271.49</v>
      </c>
      <c r="G103" s="90"/>
      <c r="H103" s="17">
        <f>'KY_Cost by Plant Acct P8 (REG)'!H104</f>
        <v>-3521.71</v>
      </c>
      <c r="I103" s="90"/>
      <c r="J103" s="17">
        <f t="shared" si="10"/>
        <v>-3917089.4400000004</v>
      </c>
      <c r="K103" s="90"/>
      <c r="L103" s="17">
        <f t="shared" si="11"/>
        <v>2624070.4499999993</v>
      </c>
    </row>
    <row r="104" spans="1:12" x14ac:dyDescent="0.2">
      <c r="A104" s="3" t="s">
        <v>228</v>
      </c>
      <c r="B104" s="17">
        <f>'KY_Cost by Plant Acct P8 (REG)'!B105+'VA_Cost by Plant Acct P10 (REG)'!B51</f>
        <v>76458680.919999987</v>
      </c>
      <c r="C104" s="90"/>
      <c r="D104" s="17">
        <f>'KY_Cost by Plant Acct P8 (REG)'!D105+'VA_Cost by Plant Acct P10 (REG)'!D51</f>
        <v>1593369.88</v>
      </c>
      <c r="E104" s="90"/>
      <c r="F104" s="17">
        <f>'KY_Cost by Plant Acct P8 (REG)'!F105+'VA_Cost by Plant Acct P10 (REG)'!F51</f>
        <v>-18956.650000000001</v>
      </c>
      <c r="G104" s="90"/>
      <c r="H104" s="17">
        <f>'KY_Cost by Plant Acct P8 (REG)'!H105+'VA_Cost by Plant Acct P10 (REG)'!H51</f>
        <v>0</v>
      </c>
      <c r="I104" s="90"/>
      <c r="J104" s="17">
        <f t="shared" si="10"/>
        <v>1574413.23</v>
      </c>
      <c r="K104" s="90"/>
      <c r="L104" s="17">
        <f t="shared" si="11"/>
        <v>78033094.149999991</v>
      </c>
    </row>
    <row r="105" spans="1:12" x14ac:dyDescent="0.2">
      <c r="A105" s="3" t="s">
        <v>229</v>
      </c>
      <c r="B105" s="17">
        <f>'KY_Cost by Plant Acct P8 (REG)'!B106+'TN_Cost by Plant Acct P12 (REG)'!B28+'VA_Cost by Plant Acct P10 (REG)'!B52</f>
        <v>235578802.79000002</v>
      </c>
      <c r="C105" s="90"/>
      <c r="D105" s="17">
        <f>'KY_Cost by Plant Acct P8 (REG)'!D106+'TN_Cost by Plant Acct P12 (REG)'!D28+'VA_Cost by Plant Acct P10 (REG)'!D52</f>
        <v>37555497.280000001</v>
      </c>
      <c r="E105" s="90"/>
      <c r="F105" s="17">
        <f>'KY_Cost by Plant Acct P8 (REG)'!F106+'TN_Cost by Plant Acct P12 (REG)'!F28+'VA_Cost by Plant Acct P10 (REG)'!F52</f>
        <v>-4186406.13</v>
      </c>
      <c r="G105" s="90"/>
      <c r="H105" s="17">
        <f>'KY_Cost by Plant Acct P8 (REG)'!H106+'TN_Cost by Plant Acct P12 (REG)'!H28+'VA_Cost by Plant Acct P10 (REG)'!H52</f>
        <v>0</v>
      </c>
      <c r="I105" s="90"/>
      <c r="J105" s="17">
        <f t="shared" si="10"/>
        <v>33369091.150000002</v>
      </c>
      <c r="K105" s="90"/>
      <c r="L105" s="17">
        <f t="shared" si="11"/>
        <v>268947893.94</v>
      </c>
    </row>
    <row r="106" spans="1:12" x14ac:dyDescent="0.2">
      <c r="A106" s="3" t="s">
        <v>230</v>
      </c>
      <c r="B106" s="17">
        <f>'KY_Cost by Plant Acct P8 (REG)'!B107+'TN_Cost by Plant Acct P12 (REG)'!B29+'VA_Cost by Plant Acct P10 (REG)'!B53</f>
        <v>173782499.40999997</v>
      </c>
      <c r="C106" s="90"/>
      <c r="D106" s="17">
        <f>'KY_Cost by Plant Acct P8 (REG)'!D107+'TN_Cost by Plant Acct P12 (REG)'!D29+'VA_Cost by Plant Acct P10 (REG)'!D53</f>
        <v>5454148.5700000003</v>
      </c>
      <c r="E106" s="90"/>
      <c r="F106" s="17">
        <f>'KY_Cost by Plant Acct P8 (REG)'!F107+'TN_Cost by Plant Acct P12 (REG)'!F29+'VA_Cost by Plant Acct P10 (REG)'!F53</f>
        <v>-2018494.5999999999</v>
      </c>
      <c r="G106" s="90"/>
      <c r="H106" s="17">
        <f>'KY_Cost by Plant Acct P8 (REG)'!H107+'TN_Cost by Plant Acct P12 (REG)'!H29+'VA_Cost by Plant Acct P10 (REG)'!H53</f>
        <v>0</v>
      </c>
      <c r="I106" s="90"/>
      <c r="J106" s="17">
        <f t="shared" si="10"/>
        <v>3435653.9700000007</v>
      </c>
      <c r="K106" s="90"/>
      <c r="L106" s="17">
        <f t="shared" si="11"/>
        <v>177218153.37999997</v>
      </c>
    </row>
    <row r="107" spans="1:12" x14ac:dyDescent="0.2">
      <c r="A107" s="3" t="s">
        <v>231</v>
      </c>
      <c r="B107" s="17">
        <f>'KY_Cost by Plant Acct P8 (REG)'!B108</f>
        <v>448760.26</v>
      </c>
      <c r="C107" s="90"/>
      <c r="D107" s="17">
        <f>'KY_Cost by Plant Acct P8 (REG)'!D108</f>
        <v>0</v>
      </c>
      <c r="E107" s="90"/>
      <c r="F107" s="17">
        <f>'KY_Cost by Plant Acct P8 (REG)'!F108</f>
        <v>0</v>
      </c>
      <c r="G107" s="90"/>
      <c r="H107" s="17">
        <f>'KY_Cost by Plant Acct P8 (REG)'!H108</f>
        <v>0</v>
      </c>
      <c r="I107" s="90"/>
      <c r="J107" s="17">
        <f t="shared" si="10"/>
        <v>0</v>
      </c>
      <c r="K107" s="90"/>
      <c r="L107" s="17">
        <f t="shared" si="11"/>
        <v>448760.26</v>
      </c>
    </row>
    <row r="108" spans="1:12" x14ac:dyDescent="0.2">
      <c r="A108" s="3" t="s">
        <v>232</v>
      </c>
      <c r="B108" s="17">
        <f>'KY_Cost by Plant Acct P8 (REG)'!B109</f>
        <v>1118444.1700000002</v>
      </c>
      <c r="C108" s="90"/>
      <c r="D108" s="17">
        <f>'KY_Cost by Plant Acct P8 (REG)'!D109</f>
        <v>180766.28</v>
      </c>
      <c r="E108" s="90"/>
      <c r="F108" s="17">
        <f>'KY_Cost by Plant Acct P8 (REG)'!F109</f>
        <v>-566.96</v>
      </c>
      <c r="G108" s="90"/>
      <c r="H108" s="17">
        <f>'KY_Cost by Plant Acct P8 (REG)'!H109</f>
        <v>0</v>
      </c>
      <c r="I108" s="90"/>
      <c r="J108" s="17">
        <f t="shared" si="10"/>
        <v>180199.32</v>
      </c>
      <c r="K108" s="90"/>
      <c r="L108" s="17">
        <f t="shared" si="11"/>
        <v>1298643.4900000002</v>
      </c>
    </row>
    <row r="109" spans="1:12" x14ac:dyDescent="0.2">
      <c r="A109" s="3" t="s">
        <v>233</v>
      </c>
      <c r="B109" s="17">
        <f>'KY_Cost by Plant Acct P8 (REG)'!B110</f>
        <v>84829.629999999976</v>
      </c>
      <c r="C109" s="90"/>
      <c r="D109" s="17">
        <f>'KY_Cost by Plant Acct P8 (REG)'!D110</f>
        <v>0</v>
      </c>
      <c r="E109" s="90"/>
      <c r="F109" s="17">
        <f>'KY_Cost by Plant Acct P8 (REG)'!F110</f>
        <v>0</v>
      </c>
      <c r="G109" s="90"/>
      <c r="H109" s="17">
        <f>'KY_Cost by Plant Acct P8 (REG)'!H110</f>
        <v>-11824.21</v>
      </c>
      <c r="I109" s="90"/>
      <c r="J109" s="17">
        <f t="shared" si="10"/>
        <v>-11824.21</v>
      </c>
      <c r="K109" s="90"/>
      <c r="L109" s="17">
        <f t="shared" si="11"/>
        <v>73005.419999999984</v>
      </c>
    </row>
    <row r="110" spans="1:12" x14ac:dyDescent="0.2">
      <c r="A110" s="3" t="s">
        <v>234</v>
      </c>
      <c r="B110" s="16">
        <f>'KY_Cost by Plant Acct P8 (REG)'!B111</f>
        <v>483852.19999999995</v>
      </c>
      <c r="C110" s="90"/>
      <c r="D110" s="16">
        <f>'KY_Cost by Plant Acct P8 (REG)'!D111</f>
        <v>0</v>
      </c>
      <c r="E110" s="90"/>
      <c r="F110" s="16">
        <f>'KY_Cost by Plant Acct P8 (REG)'!F111</f>
        <v>0</v>
      </c>
      <c r="G110" s="90"/>
      <c r="H110" s="16">
        <f>'KY_Cost by Plant Acct P8 (REG)'!H111</f>
        <v>0</v>
      </c>
      <c r="I110" s="90"/>
      <c r="J110" s="16">
        <f t="shared" si="10"/>
        <v>0</v>
      </c>
      <c r="K110" s="90"/>
      <c r="L110" s="16">
        <f t="shared" si="11"/>
        <v>483852.19999999995</v>
      </c>
    </row>
    <row r="111" spans="1:12" x14ac:dyDescent="0.2">
      <c r="B111" s="17">
        <f>SUM(B97:B110)</f>
        <v>816011552.09000003</v>
      </c>
      <c r="C111" s="90"/>
      <c r="D111" s="17">
        <f>SUM(D97:D110)</f>
        <v>60852418.960000001</v>
      </c>
      <c r="E111" s="90"/>
      <c r="F111" s="17">
        <f>SUM(F97:F110)</f>
        <v>-12699756.270000001</v>
      </c>
      <c r="G111" s="90"/>
      <c r="H111" s="17">
        <f>SUM(H97:H110)</f>
        <v>731109.45000000019</v>
      </c>
      <c r="I111" s="90"/>
      <c r="J111" s="17">
        <f>SUM(J97:J110)</f>
        <v>48883772.140000001</v>
      </c>
      <c r="K111" s="90"/>
      <c r="L111" s="17">
        <f>SUM(L97:L110)</f>
        <v>864895324.23000002</v>
      </c>
    </row>
    <row r="112" spans="1:12" x14ac:dyDescent="0.2">
      <c r="B112" s="17"/>
      <c r="C112" s="89"/>
      <c r="D112" s="17"/>
      <c r="E112" s="89"/>
      <c r="F112" s="17"/>
      <c r="G112" s="89"/>
      <c r="H112" s="17"/>
      <c r="I112" s="89"/>
      <c r="J112" s="17"/>
      <c r="K112" s="89"/>
      <c r="L112" s="17"/>
    </row>
    <row r="113" spans="1:13" x14ac:dyDescent="0.2">
      <c r="B113" s="17"/>
      <c r="C113" s="89"/>
      <c r="D113" s="17"/>
      <c r="E113" s="89"/>
      <c r="F113" s="17"/>
      <c r="G113" s="89"/>
      <c r="H113" s="17"/>
      <c r="I113" s="89"/>
      <c r="J113" s="17"/>
      <c r="K113" s="89"/>
      <c r="L113" s="17"/>
    </row>
    <row r="114" spans="1:13" x14ac:dyDescent="0.2">
      <c r="A114" s="12" t="s">
        <v>3645</v>
      </c>
      <c r="B114" s="31">
        <f>B111+B94+B79+B65+B58+B47+B27</f>
        <v>7739581176.3999996</v>
      </c>
      <c r="C114" s="115"/>
      <c r="D114" s="31">
        <f>D111+D94+D79+D65+D58+D47+D27</f>
        <v>716433004.27999997</v>
      </c>
      <c r="E114" s="115"/>
      <c r="F114" s="31">
        <f>F111+F94+F79+F65+F58+F47+F27</f>
        <v>-69007662.599999994</v>
      </c>
      <c r="G114" s="115"/>
      <c r="H114" s="31">
        <f>H111+H94+H79+H65+H58+H47+H27</f>
        <v>-46342515.649999999</v>
      </c>
      <c r="I114" s="115"/>
      <c r="J114" s="31">
        <f>J111+J94+J79+J65+J58+J47+J27</f>
        <v>601082826.02999985</v>
      </c>
      <c r="K114" s="115"/>
      <c r="L114" s="31">
        <f>L111+L94+L79+L65+L58+L47+L27</f>
        <v>8340664002.4300003</v>
      </c>
    </row>
    <row r="115" spans="1:13" x14ac:dyDescent="0.2">
      <c r="B115" s="17"/>
      <c r="C115" s="89"/>
      <c r="D115" s="17"/>
      <c r="E115" s="89"/>
      <c r="F115" s="17"/>
      <c r="G115" s="89"/>
      <c r="H115" s="17"/>
      <c r="I115" s="89"/>
      <c r="J115" s="17"/>
      <c r="K115" s="89"/>
      <c r="L115" s="17"/>
    </row>
    <row r="116" spans="1:13" x14ac:dyDescent="0.2">
      <c r="A116" s="12" t="s">
        <v>3646</v>
      </c>
      <c r="B116" s="19"/>
      <c r="C116" s="116"/>
      <c r="D116" s="19"/>
      <c r="E116" s="116"/>
      <c r="F116" s="19"/>
      <c r="G116" s="116"/>
      <c r="H116" s="19"/>
      <c r="I116" s="116"/>
      <c r="J116" s="19"/>
      <c r="K116" s="116"/>
      <c r="L116" s="19"/>
    </row>
    <row r="117" spans="1:13" x14ac:dyDescent="0.2">
      <c r="A117" s="12" t="s">
        <v>12</v>
      </c>
      <c r="B117" s="19"/>
      <c r="C117" s="116"/>
      <c r="D117" s="19"/>
      <c r="E117" s="116"/>
      <c r="F117" s="19"/>
      <c r="G117" s="116"/>
      <c r="H117" s="19"/>
      <c r="I117" s="116"/>
      <c r="J117" s="19"/>
      <c r="K117" s="116"/>
      <c r="L117" s="19"/>
    </row>
    <row r="118" spans="1:13" x14ac:dyDescent="0.2">
      <c r="A118" s="3" t="s">
        <v>147</v>
      </c>
      <c r="B118" s="19">
        <f>'KY_Cost by Plant Acct P8 (REG)'!B120</f>
        <v>0</v>
      </c>
      <c r="C118" s="116"/>
      <c r="D118" s="19">
        <f>'KY_Cost by Plant Acct P8 (REG)'!D120</f>
        <v>0</v>
      </c>
      <c r="E118" s="116"/>
      <c r="F118" s="19">
        <f>'KY_Cost by Plant Acct P8 (REG)'!F120</f>
        <v>0</v>
      </c>
      <c r="G118" s="116"/>
      <c r="H118" s="19">
        <f>'KY_Cost by Plant Acct P8 (REG)'!H120</f>
        <v>0</v>
      </c>
      <c r="I118" s="116"/>
      <c r="J118" s="19">
        <f t="shared" ref="J118:J130" si="12">H118+F118+D118</f>
        <v>0</v>
      </c>
      <c r="K118" s="116"/>
      <c r="L118" s="19">
        <f t="shared" ref="L118:L130" si="13">J118+B118</f>
        <v>0</v>
      </c>
    </row>
    <row r="119" spans="1:13" x14ac:dyDescent="0.2">
      <c r="A119" s="3" t="s">
        <v>148</v>
      </c>
      <c r="B119" s="19">
        <f>'KY_Cost by Plant Acct P8 (REG)'!B121+'VA_Cost by Plant Acct P10 (REG)'!B62</f>
        <v>1852174.7000000002</v>
      </c>
      <c r="C119" s="116"/>
      <c r="D119" s="19">
        <f>'KY_Cost by Plant Acct P8 (REG)'!D121+'VA_Cost by Plant Acct P10 (REG)'!D62</f>
        <v>-194410.41</v>
      </c>
      <c r="E119" s="116"/>
      <c r="F119" s="19">
        <f>'KY_Cost by Plant Acct P8 (REG)'!F121</f>
        <v>0</v>
      </c>
      <c r="G119" s="116"/>
      <c r="H119" s="19">
        <f>'KY_Cost by Plant Acct P8 (REG)'!H121</f>
        <v>0</v>
      </c>
      <c r="I119" s="116"/>
      <c r="J119" s="19">
        <f t="shared" si="12"/>
        <v>-194410.41</v>
      </c>
      <c r="K119" s="116"/>
      <c r="L119" s="19">
        <f t="shared" si="13"/>
        <v>1657764.2900000003</v>
      </c>
    </row>
    <row r="120" spans="1:13" x14ac:dyDescent="0.2">
      <c r="A120" s="3" t="s">
        <v>149</v>
      </c>
      <c r="B120" s="19">
        <f>'KY_Cost by Plant Acct P8 (REG)'!B122+'VA_Cost by Plant Acct P10 (REG)'!B63+'TN_Cost by Plant Acct P12 (REG)'!B38</f>
        <v>11988732.51</v>
      </c>
      <c r="C120" s="116"/>
      <c r="D120" s="119">
        <f>'KY_Cost by Plant Acct P8 (REG)'!D122+'VA_Cost by Plant Acct P10 (REG)'!D63+'TN_Cost by Plant Acct P12 (REG)'!D38</f>
        <v>1776933.72</v>
      </c>
      <c r="E120" s="116"/>
      <c r="F120" s="19">
        <f>'KY_Cost by Plant Acct P8 (REG)'!F122+'VA_Cost by Plant Acct P10 (REG)'!F63+'TN_Cost by Plant Acct P12 (REG)'!F38</f>
        <v>0</v>
      </c>
      <c r="G120" s="116"/>
      <c r="H120" s="19">
        <f>'KY_Cost by Plant Acct P8 (REG)'!H122+'VA_Cost by Plant Acct P10 (REG)'!H63+'TN_Cost by Plant Acct P12 (REG)'!H38</f>
        <v>0</v>
      </c>
      <c r="I120" s="116"/>
      <c r="J120" s="19">
        <f t="shared" si="12"/>
        <v>1776933.72</v>
      </c>
      <c r="K120" s="116"/>
      <c r="L120" s="19">
        <f t="shared" si="13"/>
        <v>13765666.23</v>
      </c>
    </row>
    <row r="121" spans="1:13" x14ac:dyDescent="0.2">
      <c r="A121" s="3" t="s">
        <v>150</v>
      </c>
      <c r="B121" s="19">
        <f>'KY_Cost by Plant Acct P8 (REG)'!B123+'VA_Cost by Plant Acct P10 (REG)'!B64</f>
        <v>13224222.310000001</v>
      </c>
      <c r="C121" s="116"/>
      <c r="D121" s="19">
        <f>'KY_Cost by Plant Acct P8 (REG)'!D123+'VA_Cost by Plant Acct P10 (REG)'!D64</f>
        <v>-5656995.1900000004</v>
      </c>
      <c r="E121" s="116"/>
      <c r="F121" s="19">
        <f>'KY_Cost by Plant Acct P8 (REG)'!F123+'VA_Cost by Plant Acct P10 (REG)'!F64</f>
        <v>0</v>
      </c>
      <c r="G121" s="116"/>
      <c r="H121" s="19">
        <f>'KY_Cost by Plant Acct P8 (REG)'!H123+'VA_Cost by Plant Acct P10 (REG)'!H64</f>
        <v>0</v>
      </c>
      <c r="I121" s="116"/>
      <c r="J121" s="19">
        <f t="shared" si="12"/>
        <v>-5656995.1900000004</v>
      </c>
      <c r="K121" s="116"/>
      <c r="L121" s="19">
        <f t="shared" si="13"/>
        <v>7567227.1200000001</v>
      </c>
    </row>
    <row r="122" spans="1:13" x14ac:dyDescent="0.2">
      <c r="A122" s="3" t="s">
        <v>151</v>
      </c>
      <c r="B122" s="19">
        <f>'KY_Cost by Plant Acct P8 (REG)'!B124+'VA_Cost by Plant Acct P10 (REG)'!B65</f>
        <v>15582400.719999999</v>
      </c>
      <c r="C122" s="116"/>
      <c r="D122" s="19">
        <f>'KY_Cost by Plant Acct P8 (REG)'!D124+'VA_Cost by Plant Acct P10 (REG)'!D65</f>
        <v>-2413493.35</v>
      </c>
      <c r="E122" s="116"/>
      <c r="F122" s="19">
        <f>'KY_Cost by Plant Acct P8 (REG)'!F124+'VA_Cost by Plant Acct P10 (REG)'!F65</f>
        <v>0</v>
      </c>
      <c r="G122" s="116"/>
      <c r="H122" s="19">
        <f>'KY_Cost by Plant Acct P8 (REG)'!H124+'VA_Cost by Plant Acct P10 (REG)'!H65</f>
        <v>0</v>
      </c>
      <c r="I122" s="116"/>
      <c r="J122" s="19">
        <f t="shared" si="12"/>
        <v>-2413493.35</v>
      </c>
      <c r="K122" s="116"/>
      <c r="L122" s="19">
        <f t="shared" si="13"/>
        <v>13168907.369999999</v>
      </c>
    </row>
    <row r="123" spans="1:13" x14ac:dyDescent="0.2">
      <c r="A123" s="3" t="s">
        <v>152</v>
      </c>
      <c r="B123" s="19">
        <f>'KY_Cost by Plant Acct P8 (REG)'!B125+'VA_Cost by Plant Acct P10 (REG)'!B66</f>
        <v>200795.77</v>
      </c>
      <c r="C123" s="116"/>
      <c r="D123" s="19">
        <f>'KY_Cost by Plant Acct P8 (REG)'!D125+'VA_Cost by Plant Acct P10 (REG)'!D66</f>
        <v>-29793.25</v>
      </c>
      <c r="E123" s="116"/>
      <c r="F123" s="19">
        <f>'KY_Cost by Plant Acct P8 (REG)'!F125+'VA_Cost by Plant Acct P10 (REG)'!F66</f>
        <v>0</v>
      </c>
      <c r="G123" s="116"/>
      <c r="H123" s="19">
        <f>'KY_Cost by Plant Acct P8 (REG)'!H125+'VA_Cost by Plant Acct P10 (REG)'!H66</f>
        <v>0</v>
      </c>
      <c r="I123" s="116"/>
      <c r="J123" s="19">
        <f t="shared" si="12"/>
        <v>-29793.25</v>
      </c>
      <c r="K123" s="116"/>
      <c r="L123" s="19">
        <f t="shared" si="13"/>
        <v>171002.52</v>
      </c>
    </row>
    <row r="124" spans="1:13" x14ac:dyDescent="0.2">
      <c r="A124" s="3" t="s">
        <v>153</v>
      </c>
      <c r="B124" s="19">
        <f>'KY_Cost by Plant Acct P8 (REG)'!B126+'VA_Cost by Plant Acct P10 (REG)'!B67</f>
        <v>9273324.8300000001</v>
      </c>
      <c r="C124" s="115"/>
      <c r="D124" s="19">
        <f>'KY_Cost by Plant Acct P8 (REG)'!D126+'VA_Cost by Plant Acct P10 (REG)'!D67</f>
        <v>-2376951.2600000002</v>
      </c>
      <c r="E124" s="115"/>
      <c r="F124" s="19">
        <f>'KY_Cost by Plant Acct P8 (REG)'!F126+'VA_Cost by Plant Acct P10 (REG)'!F67</f>
        <v>0</v>
      </c>
      <c r="G124" s="115"/>
      <c r="H124" s="19">
        <f>'KY_Cost by Plant Acct P8 (REG)'!H126+'VA_Cost by Plant Acct P10 (REG)'!H67</f>
        <v>0</v>
      </c>
      <c r="I124" s="115"/>
      <c r="J124" s="26">
        <f t="shared" si="12"/>
        <v>-2376951.2600000002</v>
      </c>
      <c r="K124" s="115"/>
      <c r="L124" s="26">
        <f t="shared" si="13"/>
        <v>6896373.5700000003</v>
      </c>
      <c r="M124" s="59"/>
    </row>
    <row r="125" spans="1:13" x14ac:dyDescent="0.2">
      <c r="A125" s="3" t="s">
        <v>154</v>
      </c>
      <c r="B125" s="19">
        <f>'KY_Cost by Plant Acct P8 (REG)'!B127+'VA_Cost by Plant Acct P10 (REG)'!B68</f>
        <v>3410820.959999999</v>
      </c>
      <c r="C125" s="115"/>
      <c r="D125" s="19">
        <f>'KY_Cost by Plant Acct P8 (REG)'!D127+'VA_Cost by Plant Acct P10 (REG)'!D68</f>
        <v>596635.49</v>
      </c>
      <c r="E125" s="115"/>
      <c r="F125" s="19">
        <f>'KY_Cost by Plant Acct P8 (REG)'!F127+'VA_Cost by Plant Acct P10 (REG)'!F68</f>
        <v>0</v>
      </c>
      <c r="G125" s="115"/>
      <c r="H125" s="19">
        <f>'KY_Cost by Plant Acct P8 (REG)'!H127+'VA_Cost by Plant Acct P10 (REG)'!H68</f>
        <v>0</v>
      </c>
      <c r="I125" s="115"/>
      <c r="J125" s="26">
        <f t="shared" si="12"/>
        <v>596635.49</v>
      </c>
      <c r="K125" s="115"/>
      <c r="L125" s="26">
        <f t="shared" si="13"/>
        <v>4007456.4499999993</v>
      </c>
      <c r="M125" s="59"/>
    </row>
    <row r="126" spans="1:13" x14ac:dyDescent="0.2">
      <c r="A126" s="3" t="s">
        <v>155</v>
      </c>
      <c r="B126" s="19">
        <f>'KY_Cost by Plant Acct P8 (REG)'!B128+'VA_Cost by Plant Acct P10 (REG)'!B69</f>
        <v>197403.23</v>
      </c>
      <c r="C126" s="115"/>
      <c r="D126" s="19">
        <f>'KY_Cost by Plant Acct P8 (REG)'!D128+'VA_Cost by Plant Acct P10 (REG)'!D69</f>
        <v>-174863.88</v>
      </c>
      <c r="E126" s="115"/>
      <c r="F126" s="19">
        <f>'KY_Cost by Plant Acct P8 (REG)'!F128+'VA_Cost by Plant Acct P10 (REG)'!F69</f>
        <v>0</v>
      </c>
      <c r="G126" s="115"/>
      <c r="H126" s="19">
        <f>'KY_Cost by Plant Acct P8 (REG)'!H128+'VA_Cost by Plant Acct P10 (REG)'!H69</f>
        <v>0</v>
      </c>
      <c r="I126" s="115"/>
      <c r="J126" s="26">
        <f t="shared" si="12"/>
        <v>-174863.88</v>
      </c>
      <c r="K126" s="115"/>
      <c r="L126" s="26">
        <f t="shared" si="13"/>
        <v>22539.350000000006</v>
      </c>
      <c r="M126" s="59"/>
    </row>
    <row r="127" spans="1:13" x14ac:dyDescent="0.2">
      <c r="A127" s="43" t="s">
        <v>156</v>
      </c>
      <c r="B127" s="19">
        <f>'KY_Cost by Plant Acct P8 (REG)'!B129+'VA_Cost by Plant Acct P10 (REG)'!B70</f>
        <v>640506.97</v>
      </c>
      <c r="C127" s="19">
        <f>'KY_Cost by Plant Acct P8 (REG)'!C129+'VA_Cost by Plant Acct P10 (REG)'!C70</f>
        <v>0</v>
      </c>
      <c r="D127" s="19">
        <f>'KY_Cost by Plant Acct P8 (REG)'!D129+'VA_Cost by Plant Acct P10 (REG)'!D70</f>
        <v>133230.37</v>
      </c>
      <c r="E127" s="19">
        <f>'KY_Cost by Plant Acct P8 (REG)'!E129+'VA_Cost by Plant Acct P10 (REG)'!E70</f>
        <v>0</v>
      </c>
      <c r="F127" s="19">
        <f>'KY_Cost by Plant Acct P8 (REG)'!F129+'VA_Cost by Plant Acct P10 (REG)'!F70</f>
        <v>0</v>
      </c>
      <c r="G127" s="19">
        <f>'KY_Cost by Plant Acct P8 (REG)'!G129+'VA_Cost by Plant Acct P10 (REG)'!G70</f>
        <v>0</v>
      </c>
      <c r="H127" s="19">
        <f>'KY_Cost by Plant Acct P8 (REG)'!H129+'VA_Cost by Plant Acct P10 (REG)'!H70</f>
        <v>0</v>
      </c>
      <c r="I127" s="115"/>
      <c r="J127" s="26">
        <f t="shared" si="12"/>
        <v>133230.37</v>
      </c>
      <c r="K127" s="115"/>
      <c r="L127" s="26">
        <f t="shared" si="13"/>
        <v>773737.34</v>
      </c>
      <c r="M127" s="59"/>
    </row>
    <row r="128" spans="1:13" x14ac:dyDescent="0.2">
      <c r="A128" s="43" t="s">
        <v>157</v>
      </c>
      <c r="B128" s="19">
        <f>'KY_Cost by Plant Acct P8 (REG)'!B130</f>
        <v>47412.32</v>
      </c>
      <c r="C128" s="115"/>
      <c r="D128" s="19">
        <f>'KY_Cost by Plant Acct P8 (REG)'!D130</f>
        <v>34029.589999999997</v>
      </c>
      <c r="E128" s="19">
        <f>'KY_Cost by Plant Acct P8 (REG)'!E130+'VA_Cost by Plant Acct P10 (REG)'!E71</f>
        <v>0</v>
      </c>
      <c r="F128" s="19">
        <f>'KY_Cost by Plant Acct P8 (REG)'!F130</f>
        <v>0</v>
      </c>
      <c r="G128" s="19">
        <f>'KY_Cost by Plant Acct P8 (REG)'!G130+'VA_Cost by Plant Acct P10 (REG)'!G71</f>
        <v>0</v>
      </c>
      <c r="H128" s="19">
        <f>'KY_Cost by Plant Acct P8 (REG)'!H130</f>
        <v>0</v>
      </c>
      <c r="I128" s="115"/>
      <c r="J128" s="26">
        <f t="shared" si="12"/>
        <v>34029.589999999997</v>
      </c>
      <c r="K128" s="115"/>
      <c r="L128" s="26">
        <f t="shared" si="13"/>
        <v>81441.91</v>
      </c>
      <c r="M128" s="59"/>
    </row>
    <row r="129" spans="1:13" x14ac:dyDescent="0.2">
      <c r="A129" s="43" t="s">
        <v>159</v>
      </c>
      <c r="B129" s="19">
        <f>'KY_Cost by Plant Acct P8 (REG)'!B131</f>
        <v>0</v>
      </c>
      <c r="C129" s="115"/>
      <c r="D129" s="19">
        <f>'KY_Cost by Plant Acct P8 (REG)'!D131</f>
        <v>6164.11</v>
      </c>
      <c r="E129" s="19">
        <f>'KY_Cost by Plant Acct P8 (REG)'!E131+'VA_Cost by Plant Acct P10 (REG)'!E72</f>
        <v>0</v>
      </c>
      <c r="F129" s="19">
        <f>'KY_Cost by Plant Acct P8 (REG)'!F131</f>
        <v>0</v>
      </c>
      <c r="G129" s="19">
        <f>'KY_Cost by Plant Acct P8 (REG)'!G131+'VA_Cost by Plant Acct P10 (REG)'!G72</f>
        <v>0</v>
      </c>
      <c r="H129" s="19">
        <f>'KY_Cost by Plant Acct P8 (REG)'!H131</f>
        <v>0</v>
      </c>
      <c r="I129" s="115"/>
      <c r="J129" s="26">
        <f t="shared" si="12"/>
        <v>6164.11</v>
      </c>
      <c r="K129" s="115"/>
      <c r="L129" s="26">
        <f t="shared" si="13"/>
        <v>6164.11</v>
      </c>
      <c r="M129" s="59"/>
    </row>
    <row r="130" spans="1:13" x14ac:dyDescent="0.2">
      <c r="A130" s="3" t="s">
        <v>160</v>
      </c>
      <c r="B130" s="27">
        <f>'KY_Cost by Plant Acct P8 (REG)'!B132+'VA_Cost by Plant Acct P10 (REG)'!B71</f>
        <v>5605028.1300000045</v>
      </c>
      <c r="C130" s="115"/>
      <c r="D130" s="27">
        <f>'KY_Cost by Plant Acct P8 (REG)'!D132+'VA_Cost by Plant Acct P10 (REG)'!D71</f>
        <v>-1505128.65</v>
      </c>
      <c r="E130" s="115"/>
      <c r="F130" s="27">
        <f>'KY_Cost by Plant Acct P8 (REG)'!F132+'VA_Cost by Plant Acct P10 (REG)'!F71</f>
        <v>0</v>
      </c>
      <c r="G130" s="115"/>
      <c r="H130" s="27">
        <f>'KY_Cost by Plant Acct P8 (REG)'!H132+'VA_Cost by Plant Acct P10 (REG)'!H71</f>
        <v>0</v>
      </c>
      <c r="I130" s="115"/>
      <c r="J130" s="27">
        <f t="shared" si="12"/>
        <v>-1505128.65</v>
      </c>
      <c r="K130" s="115"/>
      <c r="L130" s="27">
        <f t="shared" si="13"/>
        <v>4099899.4800000046</v>
      </c>
      <c r="M130" s="59"/>
    </row>
    <row r="131" spans="1:13" x14ac:dyDescent="0.2">
      <c r="B131" s="26">
        <f>SUM(B118:B130)</f>
        <v>62022822.450000003</v>
      </c>
      <c r="C131" s="115"/>
      <c r="D131" s="26">
        <f>SUM(D118:D130)</f>
        <v>-9804642.7100000009</v>
      </c>
      <c r="E131" s="115"/>
      <c r="F131" s="26">
        <f>SUM(F118:F130)</f>
        <v>0</v>
      </c>
      <c r="G131" s="115"/>
      <c r="H131" s="26">
        <f>SUM(H118:H130)</f>
        <v>0</v>
      </c>
      <c r="I131" s="115"/>
      <c r="J131" s="26">
        <f>SUM(J118:J130)</f>
        <v>-9804642.7100000009</v>
      </c>
      <c r="K131" s="115"/>
      <c r="L131" s="26">
        <f>SUM(L118:L130)</f>
        <v>52218179.740000002</v>
      </c>
      <c r="M131" s="59"/>
    </row>
    <row r="132" spans="1:13" x14ac:dyDescent="0.2">
      <c r="B132" s="26"/>
      <c r="C132" s="115"/>
      <c r="D132" s="26"/>
      <c r="E132" s="115"/>
      <c r="F132" s="26"/>
      <c r="G132" s="115"/>
      <c r="H132" s="26"/>
      <c r="I132" s="115"/>
      <c r="J132" s="26"/>
      <c r="K132" s="115"/>
      <c r="L132" s="26"/>
      <c r="M132" s="59"/>
    </row>
    <row r="133" spans="1:13" x14ac:dyDescent="0.2">
      <c r="A133" s="12" t="s">
        <v>13</v>
      </c>
      <c r="B133" s="26"/>
      <c r="C133" s="115"/>
      <c r="D133" s="26"/>
      <c r="E133" s="115"/>
      <c r="F133" s="26"/>
      <c r="G133" s="115"/>
      <c r="H133" s="26"/>
      <c r="I133" s="115"/>
      <c r="J133" s="26"/>
      <c r="K133" s="115"/>
      <c r="L133" s="26"/>
      <c r="M133" s="59"/>
    </row>
    <row r="134" spans="1:13" x14ac:dyDescent="0.2">
      <c r="A134" s="3" t="s">
        <v>165</v>
      </c>
      <c r="B134" s="26">
        <f>'KY_Cost by Plant Acct P8 (REG)'!B136+'VA_Cost by Plant Acct P10 (REG)'!B75</f>
        <v>948369.69000000041</v>
      </c>
      <c r="C134" s="115"/>
      <c r="D134" s="26">
        <f>'KY_Cost by Plant Acct P8 (REG)'!D136+'VA_Cost by Plant Acct P10 (REG)'!D75</f>
        <v>837791.46</v>
      </c>
      <c r="E134" s="115"/>
      <c r="F134" s="26">
        <f>'KY_Cost by Plant Acct P8 (REG)'!F136</f>
        <v>0</v>
      </c>
      <c r="G134" s="115"/>
      <c r="H134" s="26">
        <f>'KY_Cost by Plant Acct P8 (REG)'!H136</f>
        <v>0</v>
      </c>
      <c r="I134" s="115"/>
      <c r="J134" s="26">
        <f t="shared" ref="J134:J144" si="14">H134+F134+D134</f>
        <v>837791.46</v>
      </c>
      <c r="K134" s="115"/>
      <c r="L134" s="26">
        <f t="shared" ref="L134:L144" si="15">J134+B134</f>
        <v>1786161.1500000004</v>
      </c>
      <c r="M134" s="59"/>
    </row>
    <row r="135" spans="1:13" x14ac:dyDescent="0.2">
      <c r="A135" s="3" t="s">
        <v>167</v>
      </c>
      <c r="B135" s="26">
        <f>'KY_Cost by Plant Acct P8 (REG)'!B137</f>
        <v>754468.05</v>
      </c>
      <c r="C135" s="115"/>
      <c r="D135" s="26">
        <f>'KY_Cost by Plant Acct P8 (REG)'!D137</f>
        <v>-729594.33</v>
      </c>
      <c r="E135" s="115"/>
      <c r="F135" s="26">
        <f>'KY_Cost by Plant Acct P8 (REG)'!F137</f>
        <v>0</v>
      </c>
      <c r="G135" s="115"/>
      <c r="H135" s="26">
        <f>'KY_Cost by Plant Acct P8 (REG)'!H137</f>
        <v>0</v>
      </c>
      <c r="I135" s="115"/>
      <c r="J135" s="26">
        <f t="shared" si="14"/>
        <v>-729594.33</v>
      </c>
      <c r="K135" s="115"/>
      <c r="L135" s="26">
        <f t="shared" si="15"/>
        <v>24873.720000000088</v>
      </c>
      <c r="M135" s="59"/>
    </row>
    <row r="136" spans="1:13" x14ac:dyDescent="0.2">
      <c r="A136" s="3" t="s">
        <v>168</v>
      </c>
      <c r="B136" s="26">
        <f>'KY_Cost by Plant Acct P8 (REG)'!B138</f>
        <v>4864934.5799999991</v>
      </c>
      <c r="C136" s="115"/>
      <c r="D136" s="26">
        <f>'KY_Cost by Plant Acct P8 (REG)'!D138</f>
        <v>-4849619.9800000004</v>
      </c>
      <c r="E136" s="115"/>
      <c r="F136" s="26">
        <f>'KY_Cost by Plant Acct P8 (REG)'!F138</f>
        <v>0</v>
      </c>
      <c r="G136" s="115"/>
      <c r="H136" s="26">
        <f>'KY_Cost by Plant Acct P8 (REG)'!H138</f>
        <v>0</v>
      </c>
      <c r="I136" s="115"/>
      <c r="J136" s="26">
        <f t="shared" si="14"/>
        <v>-4849619.9800000004</v>
      </c>
      <c r="K136" s="115"/>
      <c r="L136" s="26">
        <f t="shared" si="15"/>
        <v>15314.599999998696</v>
      </c>
      <c r="M136" s="59"/>
    </row>
    <row r="137" spans="1:13" x14ac:dyDescent="0.2">
      <c r="A137" s="3" t="s">
        <v>169</v>
      </c>
      <c r="B137" s="26">
        <f>'KY_Cost by Plant Acct P8 (REG)'!B139</f>
        <v>0</v>
      </c>
      <c r="C137" s="115"/>
      <c r="D137" s="26">
        <f>'KY_Cost by Plant Acct P8 (REG)'!D139</f>
        <v>0</v>
      </c>
      <c r="E137" s="115"/>
      <c r="F137" s="26">
        <f>'KY_Cost by Plant Acct P8 (REG)'!F139</f>
        <v>0</v>
      </c>
      <c r="G137" s="115"/>
      <c r="H137" s="26">
        <f>'KY_Cost by Plant Acct P8 (REG)'!H139</f>
        <v>0</v>
      </c>
      <c r="I137" s="115"/>
      <c r="J137" s="26">
        <f t="shared" si="14"/>
        <v>0</v>
      </c>
      <c r="K137" s="115"/>
      <c r="L137" s="26">
        <f t="shared" si="15"/>
        <v>0</v>
      </c>
      <c r="M137" s="59"/>
    </row>
    <row r="138" spans="1:13" x14ac:dyDescent="0.2">
      <c r="A138" s="3" t="s">
        <v>170</v>
      </c>
      <c r="B138" s="26">
        <f>'KY_Cost by Plant Acct P8 (REG)'!B140</f>
        <v>57951.609999999986</v>
      </c>
      <c r="C138" s="115"/>
      <c r="D138" s="26">
        <f>'KY_Cost by Plant Acct P8 (REG)'!D140</f>
        <v>-46039.91</v>
      </c>
      <c r="E138" s="115"/>
      <c r="F138" s="26">
        <f>'KY_Cost by Plant Acct P8 (REG)'!F140</f>
        <v>0</v>
      </c>
      <c r="G138" s="115"/>
      <c r="H138" s="26">
        <f>'KY_Cost by Plant Acct P8 (REG)'!H140</f>
        <v>0</v>
      </c>
      <c r="I138" s="115"/>
      <c r="J138" s="26">
        <f t="shared" si="14"/>
        <v>-46039.91</v>
      </c>
      <c r="K138" s="115"/>
      <c r="L138" s="26">
        <f t="shared" si="15"/>
        <v>11911.699999999983</v>
      </c>
      <c r="M138" s="59"/>
    </row>
    <row r="139" spans="1:13" x14ac:dyDescent="0.2">
      <c r="A139" s="3" t="s">
        <v>173</v>
      </c>
      <c r="B139" s="26">
        <f>'KY_Cost by Plant Acct P8 (REG)'!B141</f>
        <v>0</v>
      </c>
      <c r="C139" s="115"/>
      <c r="D139" s="26">
        <f>'KY_Cost by Plant Acct P8 (REG)'!D141</f>
        <v>0</v>
      </c>
      <c r="E139" s="115"/>
      <c r="F139" s="26">
        <f>'KY_Cost by Plant Acct P8 (REG)'!F141</f>
        <v>0</v>
      </c>
      <c r="G139" s="115"/>
      <c r="H139" s="26">
        <f>'KY_Cost by Plant Acct P8 (REG)'!H141</f>
        <v>0</v>
      </c>
      <c r="I139" s="115"/>
      <c r="J139" s="26">
        <f t="shared" si="14"/>
        <v>0</v>
      </c>
      <c r="K139" s="115"/>
      <c r="L139" s="26">
        <f t="shared" si="15"/>
        <v>0</v>
      </c>
      <c r="M139" s="59"/>
    </row>
    <row r="140" spans="1:13" x14ac:dyDescent="0.2">
      <c r="A140" s="3" t="s">
        <v>174</v>
      </c>
      <c r="B140" s="26">
        <f>'KY_Cost by Plant Acct P8 (REG)'!B142+'VA_Cost by Plant Acct P10 (REG)'!B76</f>
        <v>253241.20000000004</v>
      </c>
      <c r="C140" s="115"/>
      <c r="D140" s="26">
        <f>'KY_Cost by Plant Acct P8 (REG)'!D142+'VA_Cost by Plant Acct P10 (REG)'!D76</f>
        <v>-73344.36</v>
      </c>
      <c r="E140" s="115"/>
      <c r="F140" s="26">
        <f>'KY_Cost by Plant Acct P8 (REG)'!F142+'VA_Cost by Plant Acct P10 (REG)'!F76</f>
        <v>0</v>
      </c>
      <c r="G140" s="115"/>
      <c r="H140" s="26">
        <f>'KY_Cost by Plant Acct P8 (REG)'!H142+'VA_Cost by Plant Acct P10 (REG)'!H76</f>
        <v>0</v>
      </c>
      <c r="I140" s="115"/>
      <c r="J140" s="26">
        <f t="shared" si="14"/>
        <v>-73344.36</v>
      </c>
      <c r="K140" s="115"/>
      <c r="L140" s="26">
        <f t="shared" si="15"/>
        <v>179896.84000000003</v>
      </c>
      <c r="M140" s="59"/>
    </row>
    <row r="141" spans="1:13" x14ac:dyDescent="0.2">
      <c r="A141" s="43" t="s">
        <v>3639</v>
      </c>
      <c r="B141" s="26">
        <f>'VA_Cost by Plant Acct P10 (REG)'!B77+'KY_Cost by Plant Acct P8 (REG)'!B143</f>
        <v>0</v>
      </c>
      <c r="C141" s="115"/>
      <c r="D141" s="26">
        <f>'VA_Cost by Plant Acct P10 (REG)'!D77+'KY_Cost by Plant Acct P8 (REG)'!D143</f>
        <v>1005159.48</v>
      </c>
      <c r="E141" s="115"/>
      <c r="F141" s="26">
        <f>'VA_Cost by Plant Acct P10 (REG)'!F77</f>
        <v>0</v>
      </c>
      <c r="G141" s="115"/>
      <c r="H141" s="26">
        <f>'VA_Cost by Plant Acct P10 (REG)'!H77</f>
        <v>0</v>
      </c>
      <c r="I141" s="115"/>
      <c r="J141" s="26">
        <f t="shared" si="14"/>
        <v>1005159.48</v>
      </c>
      <c r="K141" s="115"/>
      <c r="L141" s="26">
        <f t="shared" si="15"/>
        <v>1005159.48</v>
      </c>
      <c r="M141" s="59"/>
    </row>
    <row r="142" spans="1:13" x14ac:dyDescent="0.2">
      <c r="A142" s="43" t="s">
        <v>177</v>
      </c>
      <c r="B142" s="26">
        <f>'KY_Cost by Plant Acct P8 (REG)'!B144</f>
        <v>2831227.2299999995</v>
      </c>
      <c r="C142" s="115"/>
      <c r="D142" s="26">
        <f>'KY_Cost by Plant Acct P8 (REG)'!D144+'VA_Cost by Plant Acct P10 (REG)'!D78</f>
        <v>-2554481.85</v>
      </c>
      <c r="E142" s="115"/>
      <c r="F142" s="26">
        <f>'KY_Cost by Plant Acct P8 (REG)'!F144</f>
        <v>0</v>
      </c>
      <c r="G142" s="115"/>
      <c r="H142" s="26">
        <f>'KY_Cost by Plant Acct P8 (REG)'!H144</f>
        <v>0</v>
      </c>
      <c r="I142" s="115"/>
      <c r="J142" s="26">
        <f t="shared" si="14"/>
        <v>-2554481.85</v>
      </c>
      <c r="K142" s="115"/>
      <c r="L142" s="26">
        <f t="shared" si="15"/>
        <v>276745.37999999942</v>
      </c>
      <c r="M142" s="59"/>
    </row>
    <row r="143" spans="1:13" x14ac:dyDescent="0.2">
      <c r="A143" s="43" t="s">
        <v>178</v>
      </c>
      <c r="B143" s="26">
        <f>'KY_Cost by Plant Acct P8 (REG)'!B145</f>
        <v>823568.2799999998</v>
      </c>
      <c r="C143" s="115"/>
      <c r="D143" s="26">
        <f>'KY_Cost by Plant Acct P8 (REG)'!D145+'VA_Cost by Plant Acct P10 (REG)'!D79</f>
        <v>-658817.64</v>
      </c>
      <c r="E143" s="115"/>
      <c r="F143" s="26">
        <f>'KY_Cost by Plant Acct P8 (REG)'!F145</f>
        <v>0</v>
      </c>
      <c r="G143" s="115"/>
      <c r="H143" s="26">
        <f>'KY_Cost by Plant Acct P8 (REG)'!H145</f>
        <v>0</v>
      </c>
      <c r="I143" s="115"/>
      <c r="J143" s="26">
        <f t="shared" si="14"/>
        <v>-658817.64</v>
      </c>
      <c r="K143" s="115"/>
      <c r="L143" s="26">
        <f>J143+B143</f>
        <v>164750.63999999978</v>
      </c>
      <c r="M143" s="59"/>
    </row>
    <row r="144" spans="1:13" x14ac:dyDescent="0.2">
      <c r="A144" s="3" t="s">
        <v>3647</v>
      </c>
      <c r="B144" s="26">
        <f>'KY_Cost by Plant Acct P8 (REG)'!B146</f>
        <v>163229.63</v>
      </c>
      <c r="C144" s="115"/>
      <c r="D144" s="26">
        <f>'KY_Cost by Plant Acct P8 (REG)'!D146</f>
        <v>-137535.23000000001</v>
      </c>
      <c r="E144" s="115"/>
      <c r="F144" s="26">
        <f>'KY_Cost by Plant Acct P8 (REG)'!F146</f>
        <v>0</v>
      </c>
      <c r="G144" s="115"/>
      <c r="H144" s="26">
        <f>'KY_Cost by Plant Acct P8 (REG)'!H146</f>
        <v>0</v>
      </c>
      <c r="I144" s="115"/>
      <c r="J144" s="26">
        <f t="shared" si="14"/>
        <v>-137535.23000000001</v>
      </c>
      <c r="K144" s="115"/>
      <c r="L144" s="26">
        <f t="shared" si="15"/>
        <v>25694.399999999994</v>
      </c>
      <c r="M144" s="59"/>
    </row>
    <row r="145" spans="1:13" x14ac:dyDescent="0.2">
      <c r="B145" s="32">
        <f>SUM(B134:B144)</f>
        <v>10696990.27</v>
      </c>
      <c r="C145" s="115"/>
      <c r="D145" s="32">
        <f>SUM(D134:D144)</f>
        <v>-7206482.3600000013</v>
      </c>
      <c r="E145" s="115"/>
      <c r="F145" s="32">
        <f>SUM(F134:F144)</f>
        <v>0</v>
      </c>
      <c r="G145" s="115"/>
      <c r="H145" s="32">
        <f>SUM(H134:H144)</f>
        <v>0</v>
      </c>
      <c r="I145" s="115"/>
      <c r="J145" s="32">
        <f>SUM(J134:J144)</f>
        <v>-7206482.3600000013</v>
      </c>
      <c r="K145" s="115"/>
      <c r="L145" s="32">
        <f>SUM(L134:L144)</f>
        <v>3490507.9099999983</v>
      </c>
      <c r="M145" s="59"/>
    </row>
    <row r="146" spans="1:13" x14ac:dyDescent="0.2">
      <c r="B146" s="26"/>
      <c r="C146" s="115"/>
      <c r="D146" s="26"/>
      <c r="E146" s="115"/>
      <c r="F146" s="26"/>
      <c r="G146" s="115"/>
      <c r="H146" s="26"/>
      <c r="I146" s="115"/>
      <c r="J146" s="26"/>
      <c r="K146" s="115"/>
      <c r="L146" s="26"/>
      <c r="M146" s="59"/>
    </row>
    <row r="147" spans="1:13" x14ac:dyDescent="0.2">
      <c r="A147" s="12" t="s">
        <v>14</v>
      </c>
      <c r="B147" s="19"/>
      <c r="C147" s="116"/>
      <c r="D147" s="19"/>
      <c r="E147" s="116"/>
      <c r="F147" s="19"/>
      <c r="G147" s="116"/>
      <c r="H147" s="19"/>
      <c r="I147" s="116"/>
      <c r="J147" s="19"/>
      <c r="K147" s="116"/>
      <c r="L147" s="19"/>
    </row>
    <row r="148" spans="1:13" x14ac:dyDescent="0.2">
      <c r="A148" s="3" t="s">
        <v>183</v>
      </c>
      <c r="B148" s="19">
        <f>'KY_Cost by Plant Acct P8 (REG)'!B150</f>
        <v>0</v>
      </c>
      <c r="C148" s="116"/>
      <c r="D148" s="19">
        <f>'KY_Cost by Plant Acct P8 (REG)'!D150</f>
        <v>0</v>
      </c>
      <c r="E148" s="116"/>
      <c r="F148" s="19">
        <f>'KY_Cost by Plant Acct P8 (REG)'!F150</f>
        <v>0</v>
      </c>
      <c r="G148" s="116"/>
      <c r="H148" s="19">
        <f>'KY_Cost by Plant Acct P8 (REG)'!H150</f>
        <v>0</v>
      </c>
      <c r="I148" s="116"/>
      <c r="J148" s="26">
        <f t="shared" ref="J148:J153" si="16">H148+F148+D148</f>
        <v>0</v>
      </c>
      <c r="K148" s="116"/>
      <c r="L148" s="19">
        <f t="shared" ref="L148:L153" si="17">J148+B148</f>
        <v>0</v>
      </c>
    </row>
    <row r="149" spans="1:13" x14ac:dyDescent="0.2">
      <c r="A149" s="3" t="s">
        <v>184</v>
      </c>
      <c r="B149" s="19">
        <f>'KY_Cost by Plant Acct P8 (REG)'!B151</f>
        <v>0</v>
      </c>
      <c r="C149" s="116"/>
      <c r="D149" s="19">
        <f>'KY_Cost by Plant Acct P8 (REG)'!D151</f>
        <v>0</v>
      </c>
      <c r="E149" s="116"/>
      <c r="F149" s="19">
        <f>'KY_Cost by Plant Acct P8 (REG)'!F151</f>
        <v>0</v>
      </c>
      <c r="G149" s="116"/>
      <c r="H149" s="19">
        <f>'KY_Cost by Plant Acct P8 (REG)'!H151</f>
        <v>0</v>
      </c>
      <c r="I149" s="116"/>
      <c r="J149" s="26">
        <f t="shared" si="16"/>
        <v>0</v>
      </c>
      <c r="K149" s="116"/>
      <c r="L149" s="19">
        <f t="shared" si="17"/>
        <v>0</v>
      </c>
    </row>
    <row r="150" spans="1:13" x14ac:dyDescent="0.2">
      <c r="A150" s="3" t="s">
        <v>185</v>
      </c>
      <c r="B150" s="19">
        <f>'KY_Cost by Plant Acct P8 (REG)'!B152</f>
        <v>7.5669959187507629E-10</v>
      </c>
      <c r="C150" s="116"/>
      <c r="D150" s="19">
        <f>'KY_Cost by Plant Acct P8 (REG)'!D152</f>
        <v>0</v>
      </c>
      <c r="E150" s="116"/>
      <c r="F150" s="19">
        <f>'KY_Cost by Plant Acct P8 (REG)'!F152</f>
        <v>0</v>
      </c>
      <c r="G150" s="116"/>
      <c r="H150" s="19">
        <f>'KY_Cost by Plant Acct P8 (REG)'!H152</f>
        <v>0</v>
      </c>
      <c r="I150" s="116"/>
      <c r="J150" s="26">
        <f t="shared" si="16"/>
        <v>0</v>
      </c>
      <c r="K150" s="116"/>
      <c r="L150" s="19">
        <f t="shared" si="17"/>
        <v>7.5669959187507629E-10</v>
      </c>
    </row>
    <row r="151" spans="1:13" x14ac:dyDescent="0.2">
      <c r="A151" s="3" t="s">
        <v>3648</v>
      </c>
      <c r="B151" s="19">
        <f>'KY_Cost by Plant Acct P8 (REG)'!B153</f>
        <v>0</v>
      </c>
      <c r="C151" s="116"/>
      <c r="D151" s="19">
        <f>'KY_Cost by Plant Acct P8 (REG)'!D153</f>
        <v>19285.88</v>
      </c>
      <c r="E151" s="116"/>
      <c r="F151" s="19">
        <v>0</v>
      </c>
      <c r="G151" s="116"/>
      <c r="H151" s="19">
        <v>0</v>
      </c>
      <c r="I151" s="116"/>
      <c r="J151" s="26">
        <f t="shared" si="16"/>
        <v>19285.88</v>
      </c>
      <c r="K151" s="116"/>
      <c r="L151" s="19">
        <f t="shared" si="17"/>
        <v>19285.88</v>
      </c>
    </row>
    <row r="152" spans="1:13" x14ac:dyDescent="0.2">
      <c r="A152" s="3" t="s">
        <v>187</v>
      </c>
      <c r="B152" s="19">
        <v>0</v>
      </c>
      <c r="C152" s="116"/>
      <c r="D152" s="19">
        <f>'KY_Cost by Plant Acct P8 (REG)'!D154</f>
        <v>12427.44</v>
      </c>
      <c r="E152" s="116"/>
      <c r="F152" s="19">
        <v>0</v>
      </c>
      <c r="G152" s="116"/>
      <c r="H152" s="19">
        <v>0</v>
      </c>
      <c r="I152" s="116"/>
      <c r="J152" s="26">
        <f t="shared" si="16"/>
        <v>12427.44</v>
      </c>
      <c r="K152" s="116"/>
      <c r="L152" s="19">
        <f t="shared" si="17"/>
        <v>12427.44</v>
      </c>
    </row>
    <row r="153" spans="1:13" x14ac:dyDescent="0.2">
      <c r="A153" s="3" t="s">
        <v>188</v>
      </c>
      <c r="B153" s="27">
        <f>'KY_Cost by Plant Acct P8 (REG)'!B155</f>
        <v>0</v>
      </c>
      <c r="C153" s="115"/>
      <c r="D153" s="27">
        <f>'KY_Cost by Plant Acct P8 (REG)'!D155</f>
        <v>0</v>
      </c>
      <c r="E153" s="115"/>
      <c r="F153" s="27">
        <f>'KY_Cost by Plant Acct P8 (REG)'!F155</f>
        <v>0</v>
      </c>
      <c r="G153" s="115"/>
      <c r="H153" s="27">
        <f>'KY_Cost by Plant Acct P8 (REG)'!H155</f>
        <v>0</v>
      </c>
      <c r="I153" s="115"/>
      <c r="J153" s="27">
        <f t="shared" si="16"/>
        <v>0</v>
      </c>
      <c r="K153" s="115"/>
      <c r="L153" s="27">
        <f t="shared" si="17"/>
        <v>0</v>
      </c>
      <c r="M153" s="59"/>
    </row>
    <row r="154" spans="1:13" x14ac:dyDescent="0.2">
      <c r="B154" s="26">
        <f>SUM(B148:B153)</f>
        <v>7.5669959187507629E-10</v>
      </c>
      <c r="C154" s="115"/>
      <c r="D154" s="26">
        <f>SUM(D148:D153)</f>
        <v>31713.32</v>
      </c>
      <c r="E154" s="115"/>
      <c r="F154" s="26">
        <f>SUM(F148:F153)</f>
        <v>0</v>
      </c>
      <c r="G154" s="115"/>
      <c r="H154" s="26">
        <f>SUM(H148:H153)</f>
        <v>0</v>
      </c>
      <c r="I154" s="115"/>
      <c r="J154" s="26">
        <f>SUM(J148:J153)</f>
        <v>31713.32</v>
      </c>
      <c r="K154" s="115"/>
      <c r="L154" s="26">
        <f>SUM(L148:L153)</f>
        <v>31713.320000000756</v>
      </c>
      <c r="M154" s="59"/>
    </row>
    <row r="155" spans="1:13" x14ac:dyDescent="0.2">
      <c r="B155" s="26"/>
      <c r="C155" s="115"/>
      <c r="D155" s="26"/>
      <c r="E155" s="115"/>
      <c r="F155" s="26"/>
      <c r="G155" s="115"/>
      <c r="H155" s="26"/>
      <c r="I155" s="115"/>
      <c r="J155" s="26"/>
      <c r="K155" s="115"/>
      <c r="L155" s="26"/>
      <c r="M155" s="59"/>
    </row>
    <row r="156" spans="1:13" x14ac:dyDescent="0.2">
      <c r="A156" s="12" t="s">
        <v>15</v>
      </c>
      <c r="B156" s="26"/>
      <c r="C156" s="115"/>
      <c r="D156" s="26"/>
      <c r="E156" s="115"/>
      <c r="F156" s="26"/>
      <c r="G156" s="115"/>
      <c r="H156" s="26"/>
      <c r="I156" s="115"/>
      <c r="J156" s="26"/>
      <c r="K156" s="115"/>
      <c r="L156" s="26"/>
      <c r="M156" s="59"/>
    </row>
    <row r="157" spans="1:13" x14ac:dyDescent="0.2">
      <c r="A157" s="3" t="s">
        <v>193</v>
      </c>
      <c r="B157" s="26">
        <f>'KY_Cost by Plant Acct P8 (REG)'!B159</f>
        <v>8287193.8500000006</v>
      </c>
      <c r="C157" s="115"/>
      <c r="D157" s="26">
        <f>'KY_Cost by Plant Acct P8 (REG)'!D159</f>
        <v>2354147.4499999997</v>
      </c>
      <c r="E157" s="115"/>
      <c r="F157" s="26">
        <f>'KY_Cost by Plant Acct P8 (REG)'!F159</f>
        <v>0</v>
      </c>
      <c r="G157" s="115"/>
      <c r="H157" s="26">
        <f>'KY_Cost by Plant Acct P8 (REG)'!H159</f>
        <v>0</v>
      </c>
      <c r="I157" s="115"/>
      <c r="J157" s="26">
        <f>H157+F157+D157</f>
        <v>2354147.4499999997</v>
      </c>
      <c r="K157" s="115"/>
      <c r="L157" s="26">
        <f>J157+B157</f>
        <v>10641341.300000001</v>
      </c>
      <c r="M157" s="59"/>
    </row>
    <row r="158" spans="1:13" x14ac:dyDescent="0.2">
      <c r="A158" s="43" t="s">
        <v>194</v>
      </c>
      <c r="B158" s="27">
        <f>+'KY_Cost by Plant Acct P8 (REG)'!B160</f>
        <v>0</v>
      </c>
      <c r="C158" s="115"/>
      <c r="D158" s="27">
        <f>'KY_Cost by Plant Acct P8 (REG)'!D160</f>
        <v>14448869.460000001</v>
      </c>
      <c r="E158" s="115"/>
      <c r="F158" s="27"/>
      <c r="G158" s="115"/>
      <c r="H158" s="27"/>
      <c r="I158" s="115"/>
      <c r="J158" s="27">
        <f>H158+F158+D158</f>
        <v>14448869.460000001</v>
      </c>
      <c r="K158" s="115"/>
      <c r="L158" s="27">
        <f>J158+B158</f>
        <v>14448869.460000001</v>
      </c>
      <c r="M158" s="59"/>
    </row>
    <row r="159" spans="1:13" x14ac:dyDescent="0.2">
      <c r="B159" s="26">
        <f>SUM(B157:B158)</f>
        <v>8287193.8500000006</v>
      </c>
      <c r="C159" s="115"/>
      <c r="D159" s="26">
        <f>SUM(D157:D158)</f>
        <v>16803016.91</v>
      </c>
      <c r="E159" s="115"/>
      <c r="F159" s="26">
        <f>SUM(F157)</f>
        <v>0</v>
      </c>
      <c r="G159" s="115"/>
      <c r="H159" s="26">
        <f>SUM(H157)</f>
        <v>0</v>
      </c>
      <c r="I159" s="115"/>
      <c r="J159" s="26">
        <f>SUM(J157:J158)</f>
        <v>16803016.91</v>
      </c>
      <c r="K159" s="115"/>
      <c r="L159" s="26">
        <f>SUM(L157:L158)</f>
        <v>25090210.760000002</v>
      </c>
      <c r="M159" s="59"/>
    </row>
    <row r="160" spans="1:13" x14ac:dyDescent="0.2">
      <c r="B160" s="26"/>
      <c r="C160" s="115"/>
      <c r="D160" s="26"/>
      <c r="E160" s="115"/>
      <c r="F160" s="26"/>
      <c r="G160" s="115"/>
      <c r="H160" s="26"/>
      <c r="I160" s="115"/>
      <c r="J160" s="26"/>
      <c r="K160" s="115"/>
      <c r="L160" s="26"/>
      <c r="M160" s="59"/>
    </row>
    <row r="161" spans="1:13" x14ac:dyDescent="0.2">
      <c r="A161" s="12" t="s">
        <v>16</v>
      </c>
      <c r="B161" s="26"/>
      <c r="C161" s="115"/>
      <c r="D161" s="26"/>
      <c r="E161" s="115"/>
      <c r="F161" s="26"/>
      <c r="G161" s="115"/>
      <c r="H161" s="26"/>
      <c r="I161" s="115"/>
      <c r="J161" s="26"/>
      <c r="K161" s="115"/>
      <c r="L161" s="26"/>
      <c r="M161" s="59"/>
    </row>
    <row r="162" spans="1:13" x14ac:dyDescent="0.2">
      <c r="A162" s="3" t="s">
        <v>198</v>
      </c>
      <c r="B162" s="26">
        <f>'KY_Cost by Plant Acct P8 (REG)'!B164</f>
        <v>961872.55000000447</v>
      </c>
      <c r="C162" s="115"/>
      <c r="D162" s="26">
        <f>'KY_Cost by Plant Acct P8 (REG)'!D164</f>
        <v>-961872.55</v>
      </c>
      <c r="E162" s="115"/>
      <c r="F162" s="26">
        <f>'KY_Cost by Plant Acct P8 (REG)'!F164</f>
        <v>0</v>
      </c>
      <c r="G162" s="115"/>
      <c r="H162" s="26">
        <f>'KY_Cost by Plant Acct P8 (REG)'!H164</f>
        <v>0</v>
      </c>
      <c r="I162" s="115"/>
      <c r="J162" s="26">
        <f t="shared" ref="J162:J167" si="18">H162+F162+D162</f>
        <v>-961872.55</v>
      </c>
      <c r="K162" s="115"/>
      <c r="L162" s="26">
        <f t="shared" ref="L162:L167" si="19">J162+B162</f>
        <v>4.4237822294235229E-9</v>
      </c>
      <c r="M162" s="59"/>
    </row>
    <row r="163" spans="1:13" x14ac:dyDescent="0.2">
      <c r="A163" s="3" t="s">
        <v>199</v>
      </c>
      <c r="B163" s="26">
        <f>'KY_Cost by Plant Acct P8 (REG)'!B165</f>
        <v>6941086.3800000101</v>
      </c>
      <c r="C163" s="115"/>
      <c r="D163" s="26">
        <f>'KY_Cost by Plant Acct P8 (REG)'!D165</f>
        <v>-6155470.21</v>
      </c>
      <c r="E163" s="115"/>
      <c r="F163" s="26">
        <f>'KY_Cost by Plant Acct P8 (REG)'!F165</f>
        <v>0</v>
      </c>
      <c r="G163" s="115"/>
      <c r="H163" s="26">
        <f>'KY_Cost by Plant Acct P8 (REG)'!H165</f>
        <v>0</v>
      </c>
      <c r="I163" s="115"/>
      <c r="J163" s="26">
        <f t="shared" si="18"/>
        <v>-6155470.21</v>
      </c>
      <c r="K163" s="115"/>
      <c r="L163" s="26">
        <f t="shared" si="19"/>
        <v>785616.17000001017</v>
      </c>
      <c r="M163" s="59"/>
    </row>
    <row r="164" spans="1:13" x14ac:dyDescent="0.2">
      <c r="A164" s="3" t="s">
        <v>201</v>
      </c>
      <c r="B164" s="26">
        <f>'KY_Cost by Plant Acct P8 (REG)'!B166</f>
        <v>3632252.9099999964</v>
      </c>
      <c r="C164" s="115"/>
      <c r="D164" s="26">
        <f>'KY_Cost by Plant Acct P8 (REG)'!D166</f>
        <v>13585585.42</v>
      </c>
      <c r="E164" s="115"/>
      <c r="F164" s="26">
        <f>'KY_Cost by Plant Acct P8 (REG)'!F166</f>
        <v>0</v>
      </c>
      <c r="G164" s="115"/>
      <c r="H164" s="26">
        <f>'KY_Cost by Plant Acct P8 (REG)'!H166</f>
        <v>0</v>
      </c>
      <c r="I164" s="115"/>
      <c r="J164" s="26">
        <f t="shared" si="18"/>
        <v>13585585.42</v>
      </c>
      <c r="K164" s="115"/>
      <c r="L164" s="26">
        <f t="shared" si="19"/>
        <v>17217838.329999998</v>
      </c>
      <c r="M164" s="59"/>
    </row>
    <row r="165" spans="1:13" x14ac:dyDescent="0.2">
      <c r="A165" s="3" t="s">
        <v>202</v>
      </c>
      <c r="B165" s="26">
        <f>'KY_Cost by Plant Acct P8 (REG)'!B167</f>
        <v>14424687.25</v>
      </c>
      <c r="C165" s="115"/>
      <c r="D165" s="26">
        <f>'KY_Cost by Plant Acct P8 (REG)'!D167</f>
        <v>-14188014.300000001</v>
      </c>
      <c r="E165" s="115"/>
      <c r="F165" s="26">
        <f>'KY_Cost by Plant Acct P8 (REG)'!F167</f>
        <v>0</v>
      </c>
      <c r="G165" s="115"/>
      <c r="H165" s="26">
        <f>'KY_Cost by Plant Acct P8 (REG)'!H167</f>
        <v>0</v>
      </c>
      <c r="I165" s="115"/>
      <c r="J165" s="26">
        <f t="shared" si="18"/>
        <v>-14188014.300000001</v>
      </c>
      <c r="K165" s="115"/>
      <c r="L165" s="26">
        <f t="shared" si="19"/>
        <v>236672.94999999925</v>
      </c>
      <c r="M165" s="59"/>
    </row>
    <row r="166" spans="1:13" s="59" customFormat="1" x14ac:dyDescent="0.2">
      <c r="A166" s="59" t="s">
        <v>3649</v>
      </c>
      <c r="B166" s="26">
        <f>'KY_Cost by Plant Acct P8 (REG)'!B168</f>
        <v>695453.35000000149</v>
      </c>
      <c r="C166" s="115"/>
      <c r="D166" s="26">
        <f>'KY_Cost by Plant Acct P8 (REG)'!D168</f>
        <v>11751792.75</v>
      </c>
      <c r="E166" s="115"/>
      <c r="F166" s="26">
        <f>'KY_Cost by Plant Acct P8 (REG)'!F168</f>
        <v>0</v>
      </c>
      <c r="G166" s="115"/>
      <c r="H166" s="26">
        <f>'KY_Cost by Plant Acct P8 (REG)'!H168</f>
        <v>0</v>
      </c>
      <c r="I166" s="115"/>
      <c r="J166" s="26">
        <f t="shared" si="18"/>
        <v>11751792.75</v>
      </c>
      <c r="K166" s="115"/>
      <c r="L166" s="26">
        <f t="shared" si="19"/>
        <v>12447246.100000001</v>
      </c>
    </row>
    <row r="167" spans="1:13" x14ac:dyDescent="0.2">
      <c r="A167" s="3" t="s">
        <v>3650</v>
      </c>
      <c r="B167" s="27">
        <f>'KY_Cost by Plant Acct P8 (REG)'!B169</f>
        <v>418017.53</v>
      </c>
      <c r="C167" s="115"/>
      <c r="D167" s="27">
        <f>'KY_Cost by Plant Acct P8 (REG)'!D169</f>
        <v>-418017.53</v>
      </c>
      <c r="E167" s="115"/>
      <c r="F167" s="27">
        <f>'KY_Cost by Plant Acct P8 (REG)'!F169</f>
        <v>0</v>
      </c>
      <c r="G167" s="115"/>
      <c r="H167" s="27">
        <f>'KY_Cost by Plant Acct P8 (REG)'!H169</f>
        <v>0</v>
      </c>
      <c r="I167" s="115"/>
      <c r="J167" s="27">
        <f t="shared" si="18"/>
        <v>-418017.53</v>
      </c>
      <c r="K167" s="115"/>
      <c r="L167" s="27">
        <f t="shared" si="19"/>
        <v>0</v>
      </c>
      <c r="M167" s="59"/>
    </row>
    <row r="168" spans="1:13" x14ac:dyDescent="0.2">
      <c r="B168" s="26">
        <f>SUM(B162:B167)</f>
        <v>27073369.970000014</v>
      </c>
      <c r="C168" s="115"/>
      <c r="D168" s="26">
        <f>SUM(D162:D167)</f>
        <v>3614003.5799999991</v>
      </c>
      <c r="E168" s="115"/>
      <c r="F168" s="26">
        <f>SUM(F162:F167)</f>
        <v>0</v>
      </c>
      <c r="G168" s="115"/>
      <c r="H168" s="26">
        <f>SUM(H162:H167)</f>
        <v>0</v>
      </c>
      <c r="I168" s="115"/>
      <c r="J168" s="26">
        <f>SUM(J162:J167)</f>
        <v>3614003.5799999991</v>
      </c>
      <c r="K168" s="115"/>
      <c r="L168" s="26">
        <f>SUM(L162:L167)</f>
        <v>30687373.550000012</v>
      </c>
      <c r="M168" s="59"/>
    </row>
    <row r="169" spans="1:13" x14ac:dyDescent="0.2">
      <c r="B169" s="26"/>
      <c r="C169" s="115"/>
      <c r="D169" s="26"/>
      <c r="E169" s="115"/>
      <c r="F169" s="26"/>
      <c r="G169" s="115"/>
      <c r="H169" s="26"/>
      <c r="I169" s="115"/>
      <c r="J169" s="26"/>
      <c r="K169" s="115"/>
      <c r="L169" s="26"/>
      <c r="M169" s="59"/>
    </row>
    <row r="170" spans="1:13" x14ac:dyDescent="0.2">
      <c r="A170" s="12" t="s">
        <v>17</v>
      </c>
      <c r="B170" s="26"/>
      <c r="C170" s="115"/>
      <c r="D170" s="26"/>
      <c r="E170" s="115"/>
      <c r="F170" s="26"/>
      <c r="G170" s="115"/>
      <c r="H170" s="26"/>
      <c r="I170" s="115"/>
      <c r="J170" s="26"/>
      <c r="K170" s="115"/>
      <c r="L170" s="26"/>
      <c r="M170" s="59"/>
    </row>
    <row r="171" spans="1:13" x14ac:dyDescent="0.2">
      <c r="A171" s="43" t="s">
        <v>208</v>
      </c>
      <c r="B171" s="26">
        <f>'KY_Cost by Plant Acct P8 (REG)'!B173</f>
        <v>10680389.709999999</v>
      </c>
      <c r="C171" s="115"/>
      <c r="D171" s="26">
        <f>'KY_Cost by Plant Acct P8 (REG)'!D173</f>
        <v>1204779.8999999999</v>
      </c>
      <c r="E171" s="115"/>
      <c r="F171" s="26">
        <f>'KY_Cost by Plant Acct P8 (REG)'!F173</f>
        <v>0</v>
      </c>
      <c r="G171" s="115"/>
      <c r="H171" s="26">
        <f>'KY_Cost by Plant Acct P8 (REG)'!H173</f>
        <v>0</v>
      </c>
      <c r="I171" s="115"/>
      <c r="J171" s="26">
        <f>H171+F171+D171</f>
        <v>1204779.8999999999</v>
      </c>
      <c r="K171" s="115"/>
      <c r="L171" s="26">
        <f>J171+B171</f>
        <v>11885169.609999999</v>
      </c>
      <c r="M171" s="59"/>
    </row>
    <row r="172" spans="1:13" x14ac:dyDescent="0.2">
      <c r="A172" s="3" t="s">
        <v>209</v>
      </c>
      <c r="B172" s="26">
        <f>'KY_Cost by Plant Acct P8 (REG)'!B174</f>
        <v>14486993.290000001</v>
      </c>
      <c r="C172" s="115"/>
      <c r="D172" s="26">
        <f>'KY_Cost by Plant Acct P8 (REG)'!D174</f>
        <v>2884826.21</v>
      </c>
      <c r="E172" s="115"/>
      <c r="F172" s="26">
        <f>'KY_Cost by Plant Acct P8 (REG)'!F174</f>
        <v>0</v>
      </c>
      <c r="G172" s="115"/>
      <c r="H172" s="26">
        <f>'KY_Cost by Plant Acct P8 (REG)'!H174</f>
        <v>0</v>
      </c>
      <c r="I172" s="115"/>
      <c r="J172" s="26">
        <f t="shared" ref="J172:J177" si="20">H172+F172+D172</f>
        <v>2884826.21</v>
      </c>
      <c r="K172" s="115"/>
      <c r="L172" s="26">
        <f t="shared" ref="L172:L177" si="21">J172+B172</f>
        <v>17371819.5</v>
      </c>
      <c r="M172" s="59"/>
    </row>
    <row r="173" spans="1:13" x14ac:dyDescent="0.2">
      <c r="A173" s="73" t="s">
        <v>3651</v>
      </c>
      <c r="B173" s="26">
        <f>'KY_Cost by Plant Acct P8 (REG)'!B175</f>
        <v>0</v>
      </c>
      <c r="C173" s="115"/>
      <c r="D173" s="26">
        <f>'KY_Cost by Plant Acct P8 (REG)'!D175</f>
        <v>0</v>
      </c>
      <c r="E173" s="115"/>
      <c r="F173" s="26">
        <f>'KY_Cost by Plant Acct P8 (REG)'!F175</f>
        <v>0</v>
      </c>
      <c r="G173" s="115"/>
      <c r="H173" s="26">
        <f>'KY_Cost by Plant Acct P8 (REG)'!H175</f>
        <v>0</v>
      </c>
      <c r="I173" s="115"/>
      <c r="J173" s="26">
        <f t="shared" si="20"/>
        <v>0</v>
      </c>
      <c r="K173" s="115"/>
      <c r="L173" s="26">
        <f t="shared" si="21"/>
        <v>0</v>
      </c>
      <c r="M173" s="59"/>
    </row>
    <row r="174" spans="1:13" x14ac:dyDescent="0.2">
      <c r="A174" s="3" t="s">
        <v>211</v>
      </c>
      <c r="B174" s="26">
        <f>'KY_Cost by Plant Acct P8 (REG)'!B176</f>
        <v>1133977552.5</v>
      </c>
      <c r="C174" s="115"/>
      <c r="D174" s="26">
        <f>'KY_Cost by Plant Acct P8 (REG)'!D176</f>
        <v>-417351266.74000001</v>
      </c>
      <c r="E174" s="115"/>
      <c r="F174" s="26">
        <f>'KY_Cost by Plant Acct P8 (REG)'!F176</f>
        <v>0</v>
      </c>
      <c r="G174" s="115"/>
      <c r="H174" s="26">
        <f>'KY_Cost by Plant Acct P8 (REG)'!H176</f>
        <v>0</v>
      </c>
      <c r="I174" s="115"/>
      <c r="J174" s="26">
        <f t="shared" si="20"/>
        <v>-417351266.74000001</v>
      </c>
      <c r="K174" s="115"/>
      <c r="L174" s="26">
        <f t="shared" si="21"/>
        <v>716626285.75999999</v>
      </c>
      <c r="M174" s="59"/>
    </row>
    <row r="175" spans="1:13" x14ac:dyDescent="0.2">
      <c r="A175" s="3" t="s">
        <v>213</v>
      </c>
      <c r="B175" s="26">
        <f>'KY_Cost by Plant Acct P8 (REG)'!B177</f>
        <v>5781109.4500000002</v>
      </c>
      <c r="C175" s="115"/>
      <c r="D175" s="26">
        <f>'KY_Cost by Plant Acct P8 (REG)'!D177</f>
        <v>-3481156.37</v>
      </c>
      <c r="E175" s="115"/>
      <c r="F175" s="26">
        <f>'KY_Cost by Plant Acct P8 (REG)'!F177</f>
        <v>0</v>
      </c>
      <c r="G175" s="115"/>
      <c r="H175" s="26">
        <f>'KY_Cost by Plant Acct P8 (REG)'!H177</f>
        <v>0</v>
      </c>
      <c r="I175" s="115"/>
      <c r="J175" s="26">
        <f t="shared" si="20"/>
        <v>-3481156.37</v>
      </c>
      <c r="K175" s="115"/>
      <c r="L175" s="26">
        <f t="shared" si="21"/>
        <v>2299953.08</v>
      </c>
      <c r="M175" s="59"/>
    </row>
    <row r="176" spans="1:13" x14ac:dyDescent="0.2">
      <c r="A176" s="3" t="s">
        <v>215</v>
      </c>
      <c r="B176" s="26">
        <f>'KY_Cost by Plant Acct P8 (REG)'!B178</f>
        <v>10347043.039999999</v>
      </c>
      <c r="C176" s="115"/>
      <c r="D176" s="26">
        <f>'KY_Cost by Plant Acct P8 (REG)'!D178</f>
        <v>2436080</v>
      </c>
      <c r="E176" s="115"/>
      <c r="F176" s="26">
        <f>'KY_Cost by Plant Acct P8 (REG)'!F178</f>
        <v>0</v>
      </c>
      <c r="G176" s="115"/>
      <c r="H176" s="26">
        <f>'KY_Cost by Plant Acct P8 (REG)'!H178</f>
        <v>0</v>
      </c>
      <c r="I176" s="115"/>
      <c r="J176" s="26">
        <f t="shared" si="20"/>
        <v>2436080</v>
      </c>
      <c r="K176" s="115"/>
      <c r="L176" s="26">
        <f t="shared" si="21"/>
        <v>12783123.039999999</v>
      </c>
      <c r="M176" s="59"/>
    </row>
    <row r="177" spans="1:13" x14ac:dyDescent="0.2">
      <c r="A177" s="3" t="s">
        <v>217</v>
      </c>
      <c r="B177" s="27">
        <f>'KY_Cost by Plant Acct P8 (REG)'!B179</f>
        <v>3166124.0599999996</v>
      </c>
      <c r="C177" s="115"/>
      <c r="D177" s="27">
        <f>'KY_Cost by Plant Acct P8 (REG)'!D179</f>
        <v>-839817.9</v>
      </c>
      <c r="E177" s="115"/>
      <c r="F177" s="27">
        <f>'KY_Cost by Plant Acct P8 (REG)'!F179</f>
        <v>0</v>
      </c>
      <c r="G177" s="115"/>
      <c r="H177" s="27">
        <f>'KY_Cost by Plant Acct P8 (REG)'!H179</f>
        <v>0</v>
      </c>
      <c r="I177" s="115"/>
      <c r="J177" s="27">
        <f t="shared" si="20"/>
        <v>-839817.9</v>
      </c>
      <c r="K177" s="115"/>
      <c r="L177" s="27">
        <f t="shared" si="21"/>
        <v>2326306.1599999997</v>
      </c>
      <c r="M177" s="59"/>
    </row>
    <row r="178" spans="1:13" x14ac:dyDescent="0.2">
      <c r="B178" s="26">
        <f>SUM(B171:B177)</f>
        <v>1178439212.05</v>
      </c>
      <c r="C178" s="115"/>
      <c r="D178" s="26">
        <f>SUM(D171:D177)</f>
        <v>-415146554.89999998</v>
      </c>
      <c r="E178" s="115"/>
      <c r="F178" s="26">
        <f>SUM(F171:F177)</f>
        <v>0</v>
      </c>
      <c r="G178" s="115"/>
      <c r="H178" s="26">
        <f>SUM(H171:H177)</f>
        <v>0</v>
      </c>
      <c r="I178" s="115"/>
      <c r="J178" s="26">
        <f>SUM(J171:J177)</f>
        <v>-415146554.89999998</v>
      </c>
      <c r="K178" s="115"/>
      <c r="L178" s="26">
        <f>SUM(L171:L177)</f>
        <v>763292657.14999998</v>
      </c>
      <c r="M178" s="59"/>
    </row>
    <row r="179" spans="1:13" x14ac:dyDescent="0.2">
      <c r="B179" s="26"/>
      <c r="C179" s="115"/>
      <c r="D179" s="26"/>
      <c r="E179" s="115"/>
      <c r="F179" s="26"/>
      <c r="G179" s="115"/>
      <c r="H179" s="26"/>
      <c r="I179" s="115"/>
      <c r="J179" s="26"/>
      <c r="K179" s="115"/>
      <c r="L179" s="26"/>
      <c r="M179" s="59"/>
    </row>
    <row r="180" spans="1:13" x14ac:dyDescent="0.2">
      <c r="A180" s="12" t="s">
        <v>18</v>
      </c>
      <c r="B180" s="26"/>
      <c r="C180" s="115"/>
      <c r="D180" s="26"/>
      <c r="E180" s="115"/>
      <c r="F180" s="26"/>
      <c r="G180" s="115"/>
      <c r="H180" s="26"/>
      <c r="I180" s="115"/>
      <c r="J180" s="26"/>
      <c r="K180" s="115"/>
      <c r="L180" s="26"/>
      <c r="M180" s="59"/>
    </row>
    <row r="181" spans="1:13" x14ac:dyDescent="0.2">
      <c r="A181" s="3" t="s">
        <v>221</v>
      </c>
      <c r="B181" s="26">
        <f>'KY_Cost by Plant Acct P8 (REG)'!B183</f>
        <v>0</v>
      </c>
      <c r="C181" s="115"/>
      <c r="D181" s="26">
        <f>'KY_Cost by Plant Acct P8 (REG)'!D183</f>
        <v>0</v>
      </c>
      <c r="E181" s="115"/>
      <c r="F181" s="26">
        <f>'KY_Cost by Plant Acct P8 (REG)'!F183</f>
        <v>0</v>
      </c>
      <c r="G181" s="115"/>
      <c r="H181" s="26">
        <f>'KY_Cost by Plant Acct P8 (REG)'!H183</f>
        <v>0</v>
      </c>
      <c r="I181" s="115"/>
      <c r="J181" s="26">
        <f t="shared" ref="J181:J190" si="22">H181+F181+D181</f>
        <v>0</v>
      </c>
      <c r="K181" s="115"/>
      <c r="L181" s="26">
        <f t="shared" ref="L181:L190" si="23">J181+B181</f>
        <v>0</v>
      </c>
      <c r="M181" s="59"/>
    </row>
    <row r="182" spans="1:13" x14ac:dyDescent="0.2">
      <c r="A182" s="3" t="s">
        <v>222</v>
      </c>
      <c r="B182" s="26">
        <f>'KY_Cost by Plant Acct P8 (REG)'!B184</f>
        <v>0</v>
      </c>
      <c r="C182" s="115"/>
      <c r="D182" s="26">
        <f>'KY_Cost by Plant Acct P8 (REG)'!D184</f>
        <v>0</v>
      </c>
      <c r="E182" s="115"/>
      <c r="F182" s="26">
        <f>'KY_Cost by Plant Acct P8 (REG)'!F184</f>
        <v>0</v>
      </c>
      <c r="G182" s="115"/>
      <c r="H182" s="26">
        <f>'KY_Cost by Plant Acct P8 (REG)'!H184</f>
        <v>0</v>
      </c>
      <c r="I182" s="115"/>
      <c r="J182" s="26">
        <f t="shared" si="22"/>
        <v>0</v>
      </c>
      <c r="K182" s="115"/>
      <c r="L182" s="26">
        <f t="shared" si="23"/>
        <v>0</v>
      </c>
      <c r="M182" s="59"/>
    </row>
    <row r="183" spans="1:13" x14ac:dyDescent="0.2">
      <c r="A183" s="3" t="s">
        <v>223</v>
      </c>
      <c r="B183" s="26">
        <f>'KY_Cost by Plant Acct P8 (REG)'!B185</f>
        <v>602863.02</v>
      </c>
      <c r="C183" s="115"/>
      <c r="D183" s="26">
        <f>'KY_Cost by Plant Acct P8 (REG)'!D185+'VA_Cost by Plant Acct P10 (REG)'!D82</f>
        <v>-593072.34</v>
      </c>
      <c r="E183" s="115"/>
      <c r="F183" s="26">
        <f>'KY_Cost by Plant Acct P8 (REG)'!F185</f>
        <v>0</v>
      </c>
      <c r="G183" s="115"/>
      <c r="H183" s="26">
        <f>'KY_Cost by Plant Acct P8 (REG)'!H185</f>
        <v>0</v>
      </c>
      <c r="I183" s="115"/>
      <c r="J183" s="26">
        <f t="shared" si="22"/>
        <v>-593072.34</v>
      </c>
      <c r="K183" s="115"/>
      <c r="L183" s="26">
        <f t="shared" si="23"/>
        <v>9790.6800000000512</v>
      </c>
      <c r="M183" s="59"/>
    </row>
    <row r="184" spans="1:13" x14ac:dyDescent="0.2">
      <c r="A184" s="3" t="s">
        <v>3652</v>
      </c>
      <c r="B184" s="26">
        <f>'KY_Cost by Plant Acct P8 (REG)'!B186</f>
        <v>0</v>
      </c>
      <c r="C184" s="115"/>
      <c r="D184" s="26">
        <f>'KY_Cost by Plant Acct P8 (REG)'!D186</f>
        <v>5785.94</v>
      </c>
      <c r="E184" s="115"/>
      <c r="F184" s="26">
        <f>'KY_Cost by Plant Acct P8 (REG)'!F186</f>
        <v>0</v>
      </c>
      <c r="G184" s="115"/>
      <c r="H184" s="26">
        <f>'KY_Cost by Plant Acct P8 (REG)'!H186</f>
        <v>0</v>
      </c>
      <c r="I184" s="115"/>
      <c r="J184" s="26">
        <f t="shared" si="22"/>
        <v>5785.94</v>
      </c>
      <c r="K184" s="115"/>
      <c r="L184" s="26">
        <f t="shared" si="23"/>
        <v>5785.94</v>
      </c>
      <c r="M184" s="59"/>
    </row>
    <row r="185" spans="1:13" x14ac:dyDescent="0.2">
      <c r="A185" s="3" t="s">
        <v>225</v>
      </c>
      <c r="B185" s="26">
        <f>'KY_Cost by Plant Acct P8 (REG)'!B187+'VA_Cost by Plant Acct P10 (REG)'!B83</f>
        <v>16973688.920000002</v>
      </c>
      <c r="C185" s="115"/>
      <c r="D185" s="26">
        <f>'KY_Cost by Plant Acct P8 (REG)'!D187+'VA_Cost by Plant Acct P10 (REG)'!D83</f>
        <v>-6144414.21</v>
      </c>
      <c r="E185" s="115"/>
      <c r="F185" s="26">
        <f>'KY_Cost by Plant Acct P8 (REG)'!F187+'VA_Cost by Plant Acct P10 (REG)'!F85</f>
        <v>0</v>
      </c>
      <c r="G185" s="115"/>
      <c r="H185" s="26">
        <f>'KY_Cost by Plant Acct P8 (REG)'!H187+'VA_Cost by Plant Acct P10 (REG)'!H85</f>
        <v>0</v>
      </c>
      <c r="I185" s="115"/>
      <c r="J185" s="26">
        <f t="shared" si="22"/>
        <v>-6144414.21</v>
      </c>
      <c r="K185" s="115"/>
      <c r="L185" s="26">
        <f t="shared" si="23"/>
        <v>10829274.710000001</v>
      </c>
      <c r="M185" s="59"/>
    </row>
    <row r="186" spans="1:13" x14ac:dyDescent="0.2">
      <c r="A186" s="3" t="s">
        <v>227</v>
      </c>
      <c r="B186" s="26">
        <f>'KY_Cost by Plant Acct P8 (REG)'!B188</f>
        <v>0</v>
      </c>
      <c r="C186" s="115"/>
      <c r="D186" s="26">
        <f>'KY_Cost by Plant Acct P8 (REG)'!D188</f>
        <v>0</v>
      </c>
      <c r="E186" s="115"/>
      <c r="F186" s="26">
        <f>'KY_Cost by Plant Acct P8 (REG)'!F188</f>
        <v>0</v>
      </c>
      <c r="G186" s="115"/>
      <c r="H186" s="26">
        <f>'KY_Cost by Plant Acct P8 (REG)'!H188</f>
        <v>0</v>
      </c>
      <c r="I186" s="115"/>
      <c r="J186" s="26">
        <f>H186+F186+D186</f>
        <v>0</v>
      </c>
      <c r="K186" s="115"/>
      <c r="L186" s="26">
        <f>J186+B186</f>
        <v>0</v>
      </c>
      <c r="M186" s="59"/>
    </row>
    <row r="187" spans="1:13" x14ac:dyDescent="0.2">
      <c r="A187" s="3" t="s">
        <v>228</v>
      </c>
      <c r="B187" s="26">
        <f>'KY_Cost by Plant Acct P8 (REG)'!B189</f>
        <v>-4.9476511776447296E-10</v>
      </c>
      <c r="C187" s="115"/>
      <c r="D187" s="26">
        <f>'KY_Cost by Plant Acct P8 (REG)'!D189</f>
        <v>0</v>
      </c>
      <c r="E187" s="115"/>
      <c r="F187" s="26">
        <f>'KY_Cost by Plant Acct P8 (REG)'!F189</f>
        <v>0</v>
      </c>
      <c r="G187" s="115"/>
      <c r="H187" s="26">
        <f>'KY_Cost by Plant Acct P8 (REG)'!H189</f>
        <v>0</v>
      </c>
      <c r="I187" s="115"/>
      <c r="J187" s="26">
        <f t="shared" si="22"/>
        <v>0</v>
      </c>
      <c r="K187" s="115"/>
      <c r="L187" s="26">
        <f t="shared" si="23"/>
        <v>-4.9476511776447296E-10</v>
      </c>
      <c r="M187" s="59"/>
    </row>
    <row r="188" spans="1:13" x14ac:dyDescent="0.2">
      <c r="A188" s="3" t="s">
        <v>229</v>
      </c>
      <c r="B188" s="26">
        <f>'KY_Cost by Plant Acct P8 (REG)'!B190+'VA_Cost by Plant Acct P10 (REG)'!B84</f>
        <v>30704394.5</v>
      </c>
      <c r="C188" s="115"/>
      <c r="D188" s="26">
        <f>'KY_Cost by Plant Acct P8 (REG)'!D190+'VA_Cost by Plant Acct P10 (REG)'!D84</f>
        <v>7354068.1299999999</v>
      </c>
      <c r="E188" s="115"/>
      <c r="F188" s="26">
        <f>'KY_Cost by Plant Acct P8 (REG)'!F190</f>
        <v>0</v>
      </c>
      <c r="G188" s="115"/>
      <c r="H188" s="26">
        <f>'KY_Cost by Plant Acct P8 (REG)'!H190</f>
        <v>0</v>
      </c>
      <c r="I188" s="115"/>
      <c r="J188" s="26">
        <f t="shared" si="22"/>
        <v>7354068.1299999999</v>
      </c>
      <c r="K188" s="115"/>
      <c r="L188" s="26">
        <f t="shared" si="23"/>
        <v>38058462.630000003</v>
      </c>
      <c r="M188" s="59"/>
    </row>
    <row r="189" spans="1:13" x14ac:dyDescent="0.2">
      <c r="A189" s="3" t="s">
        <v>230</v>
      </c>
      <c r="B189" s="26">
        <f>'KY_Cost by Plant Acct P8 (REG)'!B191+'VA_Cost by Plant Acct P10 (REG)'!B85</f>
        <v>10625583.290000001</v>
      </c>
      <c r="C189" s="115"/>
      <c r="D189" s="26">
        <f>'KY_Cost by Plant Acct P8 (REG)'!D191+'VA_Cost by Plant Acct P10 (REG)'!D85</f>
        <v>266980.65000000002</v>
      </c>
      <c r="E189" s="115"/>
      <c r="F189" s="26">
        <f>'KY_Cost by Plant Acct P8 (REG)'!F191</f>
        <v>0</v>
      </c>
      <c r="G189" s="115"/>
      <c r="H189" s="26">
        <f>'KY_Cost by Plant Acct P8 (REG)'!H191</f>
        <v>0</v>
      </c>
      <c r="I189" s="115"/>
      <c r="J189" s="26">
        <f t="shared" si="22"/>
        <v>266980.65000000002</v>
      </c>
      <c r="K189" s="115"/>
      <c r="L189" s="26">
        <f t="shared" si="23"/>
        <v>10892563.940000001</v>
      </c>
      <c r="M189" s="59"/>
    </row>
    <row r="190" spans="1:13" x14ac:dyDescent="0.2">
      <c r="A190" s="3" t="s">
        <v>232</v>
      </c>
      <c r="B190" s="26">
        <f>'KY_Cost by Plant Acct P8 (REG)'!B192</f>
        <v>0</v>
      </c>
      <c r="C190" s="26">
        <f>'KY_Cost by Plant Acct P8 (REG)'!C192</f>
        <v>0</v>
      </c>
      <c r="D190" s="26">
        <f>'KY_Cost by Plant Acct P8 (REG)'!D192</f>
        <v>450.91</v>
      </c>
      <c r="E190" s="26">
        <f>'KY_Cost by Plant Acct P8 (REG)'!E192</f>
        <v>0</v>
      </c>
      <c r="F190" s="26">
        <f>'KY_Cost by Plant Acct P8 (REG)'!F192</f>
        <v>0</v>
      </c>
      <c r="G190" s="26">
        <f>'KY_Cost by Plant Acct P8 (REG)'!G192</f>
        <v>0</v>
      </c>
      <c r="H190" s="26">
        <f>'KY_Cost by Plant Acct P8 (REG)'!H192</f>
        <v>0</v>
      </c>
      <c r="I190" s="115"/>
      <c r="J190" s="26">
        <f t="shared" si="22"/>
        <v>450.91</v>
      </c>
      <c r="K190" s="115"/>
      <c r="L190" s="26">
        <f t="shared" si="23"/>
        <v>450.91</v>
      </c>
      <c r="M190" s="59"/>
    </row>
    <row r="191" spans="1:13" x14ac:dyDescent="0.2">
      <c r="B191" s="32">
        <f>SUM(B181:B190)</f>
        <v>58906529.729999997</v>
      </c>
      <c r="C191" s="115"/>
      <c r="D191" s="32">
        <f>SUM(D181:D190)</f>
        <v>889799.07999999961</v>
      </c>
      <c r="E191" s="115"/>
      <c r="F191" s="32">
        <f>SUM(F181:F190)</f>
        <v>0</v>
      </c>
      <c r="G191" s="115"/>
      <c r="H191" s="32">
        <f>SUM(H181:H190)</f>
        <v>0</v>
      </c>
      <c r="I191" s="115"/>
      <c r="J191" s="32">
        <f>SUM(J181:J190)</f>
        <v>889799.07999999961</v>
      </c>
      <c r="K191" s="115"/>
      <c r="L191" s="32">
        <f>SUM(L181:L190)</f>
        <v>59796328.810000002</v>
      </c>
      <c r="M191" s="59"/>
    </row>
    <row r="192" spans="1:13" x14ac:dyDescent="0.2">
      <c r="B192" s="26"/>
      <c r="C192" s="115"/>
      <c r="D192" s="26"/>
      <c r="E192" s="115"/>
      <c r="F192" s="26"/>
      <c r="G192" s="115"/>
      <c r="H192" s="26"/>
      <c r="I192" s="115"/>
      <c r="J192" s="26"/>
      <c r="K192" s="115"/>
      <c r="L192" s="26"/>
      <c r="M192" s="59"/>
    </row>
    <row r="193" spans="1:12" x14ac:dyDescent="0.2">
      <c r="B193" s="19"/>
      <c r="C193" s="116"/>
      <c r="D193" s="19"/>
      <c r="E193" s="116"/>
      <c r="F193" s="19"/>
      <c r="G193" s="116"/>
      <c r="H193" s="19"/>
      <c r="I193" s="116"/>
      <c r="J193" s="19"/>
      <c r="K193" s="116"/>
      <c r="L193" s="19"/>
    </row>
    <row r="194" spans="1:12" x14ac:dyDescent="0.2">
      <c r="A194" s="12" t="s">
        <v>3653</v>
      </c>
      <c r="B194" s="31">
        <f>B191+B178+B168+B159+B154+B145+B131</f>
        <v>1345426118.3199999</v>
      </c>
      <c r="C194" s="115"/>
      <c r="D194" s="31">
        <f>D191+D178+D168+D159+D154+D145+D131</f>
        <v>-410819147.07999998</v>
      </c>
      <c r="E194" s="115"/>
      <c r="F194" s="31">
        <f>F191+F178+F168+F159+F154+F145+F131</f>
        <v>0</v>
      </c>
      <c r="G194" s="115"/>
      <c r="H194" s="31">
        <f>H191+H178+H168+H159+H154+H145+H131</f>
        <v>0</v>
      </c>
      <c r="I194" s="115"/>
      <c r="J194" s="31">
        <f>J191+J178+J168+J159+J154+J145+J131</f>
        <v>-410819147.07999998</v>
      </c>
      <c r="K194" s="115"/>
      <c r="L194" s="31">
        <f>L191+L178+L168+L159+L154+L145+L131</f>
        <v>934606971.24000001</v>
      </c>
    </row>
    <row r="195" spans="1:12" x14ac:dyDescent="0.2">
      <c r="C195" s="89"/>
      <c r="E195" s="89"/>
      <c r="G195" s="89"/>
      <c r="I195" s="89"/>
      <c r="K195" s="89"/>
    </row>
    <row r="196" spans="1:12" ht="13.5" thickBot="1" x14ac:dyDescent="0.25">
      <c r="A196" s="12" t="s">
        <v>3633</v>
      </c>
      <c r="B196" s="78">
        <f>B194+B114</f>
        <v>9085007294.7199993</v>
      </c>
      <c r="C196" s="90"/>
      <c r="D196" s="78">
        <f>D194+D114</f>
        <v>305613857.19999999</v>
      </c>
      <c r="E196" s="90"/>
      <c r="F196" s="78">
        <f>F194+F114</f>
        <v>-69007662.599999994</v>
      </c>
      <c r="G196" s="90"/>
      <c r="H196" s="78">
        <f>H194+H114</f>
        <v>-46342515.649999999</v>
      </c>
      <c r="I196" s="90"/>
      <c r="J196" s="78">
        <f>J194+J114</f>
        <v>190263678.94999987</v>
      </c>
      <c r="K196" s="90"/>
      <c r="L196" s="78">
        <f>L194+L114</f>
        <v>9275270973.6700001</v>
      </c>
    </row>
    <row r="197" spans="1:12" ht="13.5" thickTop="1" x14ac:dyDescent="0.2">
      <c r="A197" s="12"/>
      <c r="B197" s="17"/>
      <c r="C197" s="90"/>
      <c r="D197" s="17"/>
      <c r="E197" s="90"/>
      <c r="F197" s="17"/>
      <c r="G197" s="90"/>
      <c r="H197" s="17"/>
      <c r="I197" s="90"/>
      <c r="J197" s="17"/>
      <c r="K197" s="90"/>
      <c r="L197" s="17"/>
    </row>
    <row r="198" spans="1:12" x14ac:dyDescent="0.2">
      <c r="C198" s="89"/>
      <c r="E198" s="89"/>
      <c r="G198" s="89"/>
      <c r="I198" s="89"/>
      <c r="K198" s="89"/>
    </row>
    <row r="199" spans="1:12" x14ac:dyDescent="0.2">
      <c r="C199" s="89"/>
      <c r="E199" s="89"/>
      <c r="G199" s="89"/>
      <c r="I199" s="89"/>
      <c r="K199" s="89"/>
    </row>
    <row r="200" spans="1:12" x14ac:dyDescent="0.2">
      <c r="C200" s="89"/>
      <c r="E200" s="89"/>
      <c r="G200" s="89"/>
      <c r="I200" s="89"/>
      <c r="K200" s="89"/>
    </row>
    <row r="201" spans="1:12" x14ac:dyDescent="0.2">
      <c r="C201" s="89"/>
      <c r="E201" s="89"/>
      <c r="G201" s="89"/>
      <c r="I201" s="89"/>
      <c r="K201" s="89"/>
    </row>
    <row r="202" spans="1:12" x14ac:dyDescent="0.2">
      <c r="C202" s="89"/>
      <c r="E202" s="89"/>
      <c r="G202" s="89"/>
      <c r="I202" s="89"/>
      <c r="K202" s="89"/>
    </row>
    <row r="203" spans="1:12" x14ac:dyDescent="0.2">
      <c r="C203" s="89"/>
      <c r="E203" s="89"/>
      <c r="G203" s="89"/>
      <c r="I203" s="89"/>
      <c r="K203" s="89"/>
    </row>
    <row r="204" spans="1:12" x14ac:dyDescent="0.2">
      <c r="C204" s="89"/>
      <c r="E204" s="89"/>
      <c r="G204" s="89"/>
      <c r="I204" s="89"/>
      <c r="K204" s="89"/>
    </row>
    <row r="205" spans="1:12" x14ac:dyDescent="0.2">
      <c r="C205" s="89"/>
      <c r="E205" s="89"/>
      <c r="G205" s="89"/>
      <c r="I205" s="89"/>
      <c r="K205" s="89"/>
    </row>
    <row r="206" spans="1:12" x14ac:dyDescent="0.2">
      <c r="C206" s="89"/>
      <c r="E206" s="89"/>
      <c r="G206" s="89"/>
      <c r="I206" s="89"/>
      <c r="K206" s="89"/>
    </row>
    <row r="207" spans="1:12" x14ac:dyDescent="0.2">
      <c r="C207" s="89"/>
      <c r="E207" s="89"/>
      <c r="G207" s="89"/>
      <c r="I207" s="89"/>
      <c r="K207" s="89"/>
    </row>
    <row r="208" spans="1:12" x14ac:dyDescent="0.2">
      <c r="C208" s="13"/>
      <c r="E208" s="13"/>
      <c r="G208" s="13"/>
      <c r="I208" s="13"/>
      <c r="K208" s="13"/>
    </row>
    <row r="209" spans="3:11" x14ac:dyDescent="0.2">
      <c r="C209" s="13"/>
      <c r="E209" s="13"/>
      <c r="G209" s="13"/>
      <c r="I209" s="13"/>
      <c r="K209" s="13"/>
    </row>
    <row r="210" spans="3:11" x14ac:dyDescent="0.2">
      <c r="C210" s="13"/>
      <c r="E210" s="13"/>
      <c r="G210" s="13"/>
      <c r="I210" s="13"/>
      <c r="K210" s="13"/>
    </row>
    <row r="211" spans="3:11" x14ac:dyDescent="0.2">
      <c r="C211" s="13"/>
      <c r="E211" s="13"/>
      <c r="G211" s="13"/>
      <c r="I211" s="13"/>
      <c r="K211" s="13"/>
    </row>
    <row r="212" spans="3:11" x14ac:dyDescent="0.2">
      <c r="C212" s="13"/>
      <c r="E212" s="13"/>
      <c r="G212" s="13"/>
      <c r="I212" s="13"/>
      <c r="K212" s="13"/>
    </row>
    <row r="213" spans="3:11" x14ac:dyDescent="0.2">
      <c r="C213" s="13"/>
      <c r="E213" s="13"/>
      <c r="G213" s="13"/>
      <c r="I213" s="13"/>
      <c r="K213" s="13"/>
    </row>
    <row r="214" spans="3:11" x14ac:dyDescent="0.2">
      <c r="C214" s="13"/>
      <c r="E214" s="13"/>
      <c r="G214" s="13"/>
      <c r="I214" s="13"/>
      <c r="K214" s="13"/>
    </row>
    <row r="215" spans="3:11" x14ac:dyDescent="0.2">
      <c r="C215" s="13"/>
      <c r="E215" s="13"/>
      <c r="G215" s="13"/>
      <c r="I215" s="13"/>
      <c r="K215" s="13"/>
    </row>
    <row r="216" spans="3:11" x14ac:dyDescent="0.2">
      <c r="C216" s="13"/>
      <c r="E216" s="13"/>
      <c r="G216" s="13"/>
      <c r="I216" s="13"/>
      <c r="K216" s="13"/>
    </row>
    <row r="217" spans="3:11" x14ac:dyDescent="0.2">
      <c r="C217" s="13"/>
      <c r="E217" s="13"/>
      <c r="G217" s="13"/>
      <c r="I217" s="13"/>
      <c r="K217" s="13"/>
    </row>
    <row r="218" spans="3:11" x14ac:dyDescent="0.2">
      <c r="C218" s="13"/>
      <c r="E218" s="13"/>
      <c r="G218" s="13"/>
      <c r="I218" s="13"/>
      <c r="K218" s="13"/>
    </row>
    <row r="219" spans="3:11" x14ac:dyDescent="0.2">
      <c r="C219" s="13"/>
      <c r="E219" s="13"/>
      <c r="G219" s="13"/>
      <c r="I219" s="13"/>
      <c r="K219" s="13"/>
    </row>
    <row r="220" spans="3:11" x14ac:dyDescent="0.2">
      <c r="C220" s="13"/>
      <c r="E220" s="13"/>
      <c r="G220" s="13"/>
      <c r="I220" s="13"/>
      <c r="K220" s="13"/>
    </row>
    <row r="221" spans="3:11" x14ac:dyDescent="0.2">
      <c r="C221" s="13"/>
      <c r="E221" s="13"/>
      <c r="G221" s="13"/>
      <c r="I221" s="13"/>
      <c r="K221" s="13"/>
    </row>
    <row r="222" spans="3:11" x14ac:dyDescent="0.2">
      <c r="C222" s="13"/>
      <c r="E222" s="13"/>
      <c r="G222" s="13"/>
      <c r="I222" s="13"/>
      <c r="K222" s="13"/>
    </row>
    <row r="223" spans="3:11" x14ac:dyDescent="0.2">
      <c r="C223" s="13"/>
      <c r="E223" s="13"/>
      <c r="G223" s="13"/>
      <c r="I223" s="13"/>
      <c r="K223" s="13"/>
    </row>
    <row r="224" spans="3:11" x14ac:dyDescent="0.2">
      <c r="C224" s="13"/>
      <c r="E224" s="13"/>
      <c r="G224" s="13"/>
      <c r="I224" s="13"/>
      <c r="K224" s="13"/>
    </row>
    <row r="225" spans="3:11" x14ac:dyDescent="0.2">
      <c r="C225" s="13"/>
      <c r="E225" s="13"/>
      <c r="G225" s="13"/>
      <c r="I225" s="13"/>
      <c r="K225" s="13"/>
    </row>
    <row r="226" spans="3:11" x14ac:dyDescent="0.2">
      <c r="C226" s="13"/>
      <c r="E226" s="13"/>
      <c r="G226" s="13"/>
      <c r="I226" s="13"/>
      <c r="K226" s="13"/>
    </row>
    <row r="227" spans="3:11" x14ac:dyDescent="0.2">
      <c r="C227" s="13"/>
      <c r="E227" s="13"/>
      <c r="G227" s="13"/>
      <c r="I227" s="13"/>
      <c r="K227" s="13"/>
    </row>
    <row r="228" spans="3:11" x14ac:dyDescent="0.2">
      <c r="C228" s="13"/>
      <c r="E228" s="13"/>
      <c r="G228" s="13"/>
      <c r="I228" s="13"/>
      <c r="K228" s="13"/>
    </row>
    <row r="229" spans="3:11" x14ac:dyDescent="0.2">
      <c r="C229" s="13"/>
      <c r="E229" s="13"/>
      <c r="G229" s="13"/>
      <c r="I229" s="13"/>
      <c r="K229" s="13"/>
    </row>
    <row r="230" spans="3:11" x14ac:dyDescent="0.2">
      <c r="C230" s="13"/>
      <c r="E230" s="13"/>
      <c r="G230" s="13"/>
      <c r="I230" s="13"/>
      <c r="K230" s="13"/>
    </row>
    <row r="231" spans="3:11" x14ac:dyDescent="0.2">
      <c r="C231" s="13"/>
      <c r="E231" s="13"/>
      <c r="G231" s="13"/>
      <c r="I231" s="13"/>
      <c r="K231" s="13"/>
    </row>
    <row r="232" spans="3:11" x14ac:dyDescent="0.2">
      <c r="C232" s="13"/>
      <c r="E232" s="13"/>
      <c r="G232" s="13"/>
      <c r="I232" s="13"/>
      <c r="K232" s="13"/>
    </row>
    <row r="233" spans="3:11" x14ac:dyDescent="0.2">
      <c r="C233" s="13"/>
      <c r="E233" s="13"/>
      <c r="G233" s="13"/>
      <c r="I233" s="13"/>
      <c r="K233" s="13"/>
    </row>
    <row r="234" spans="3:11" x14ac:dyDescent="0.2">
      <c r="C234" s="13"/>
      <c r="E234" s="13"/>
      <c r="G234" s="13"/>
      <c r="I234" s="13"/>
      <c r="K234" s="13"/>
    </row>
    <row r="235" spans="3:11" x14ac:dyDescent="0.2">
      <c r="C235" s="13"/>
      <c r="E235" s="13"/>
      <c r="G235" s="13"/>
      <c r="I235" s="13"/>
      <c r="K235" s="13"/>
    </row>
    <row r="236" spans="3:11" x14ac:dyDescent="0.2">
      <c r="C236" s="13"/>
      <c r="E236" s="13"/>
      <c r="G236" s="13"/>
      <c r="I236" s="13"/>
      <c r="K236" s="13"/>
    </row>
    <row r="237" spans="3:11" x14ac:dyDescent="0.2">
      <c r="C237" s="13"/>
      <c r="E237" s="13"/>
      <c r="G237" s="13"/>
      <c r="I237" s="13"/>
      <c r="K237" s="13"/>
    </row>
    <row r="238" spans="3:11" x14ac:dyDescent="0.2">
      <c r="C238" s="13"/>
      <c r="E238" s="13"/>
      <c r="G238" s="13"/>
      <c r="I238" s="13"/>
      <c r="K238" s="13"/>
    </row>
    <row r="239" spans="3:11" x14ac:dyDescent="0.2">
      <c r="C239" s="13"/>
      <c r="E239" s="13"/>
      <c r="G239" s="13"/>
      <c r="I239" s="13"/>
      <c r="K239" s="13"/>
    </row>
    <row r="240" spans="3:11" x14ac:dyDescent="0.2">
      <c r="C240" s="13"/>
      <c r="E240" s="13"/>
      <c r="G240" s="13"/>
      <c r="I240" s="13"/>
      <c r="K240" s="13"/>
    </row>
    <row r="241" spans="3:11" x14ac:dyDescent="0.2">
      <c r="C241" s="13"/>
      <c r="E241" s="13"/>
      <c r="G241" s="13"/>
      <c r="I241" s="13"/>
      <c r="K241" s="13"/>
    </row>
    <row r="242" spans="3:11" x14ac:dyDescent="0.2">
      <c r="C242" s="13"/>
      <c r="E242" s="13"/>
      <c r="G242" s="13"/>
      <c r="I242" s="13"/>
      <c r="K242" s="13"/>
    </row>
    <row r="243" spans="3:11" x14ac:dyDescent="0.2">
      <c r="C243" s="13"/>
      <c r="E243" s="13"/>
      <c r="G243" s="13"/>
      <c r="I243" s="13"/>
      <c r="K243" s="13"/>
    </row>
    <row r="244" spans="3:11" x14ac:dyDescent="0.2">
      <c r="C244" s="13"/>
      <c r="E244" s="13"/>
      <c r="G244" s="13"/>
      <c r="I244" s="13"/>
      <c r="K244" s="13"/>
    </row>
    <row r="245" spans="3:11" x14ac:dyDescent="0.2">
      <c r="C245" s="13"/>
      <c r="E245" s="13"/>
      <c r="G245" s="13"/>
      <c r="I245" s="13"/>
      <c r="K245" s="13"/>
    </row>
    <row r="246" spans="3:11" x14ac:dyDescent="0.2">
      <c r="C246" s="13"/>
      <c r="E246" s="13"/>
      <c r="G246" s="13"/>
      <c r="I246" s="13"/>
      <c r="K246" s="13"/>
    </row>
    <row r="247" spans="3:11" x14ac:dyDescent="0.2">
      <c r="C247" s="13"/>
      <c r="E247" s="13"/>
      <c r="G247" s="13"/>
      <c r="I247" s="13"/>
      <c r="K247" s="13"/>
    </row>
    <row r="248" spans="3:11" x14ac:dyDescent="0.2">
      <c r="C248" s="13"/>
      <c r="E248" s="13"/>
      <c r="G248" s="13"/>
      <c r="I248" s="13"/>
      <c r="K248" s="13"/>
    </row>
    <row r="249" spans="3:11" x14ac:dyDescent="0.2">
      <c r="C249" s="13"/>
      <c r="E249" s="13"/>
      <c r="G249" s="13"/>
      <c r="I249" s="13"/>
      <c r="K249" s="13"/>
    </row>
    <row r="250" spans="3:11" x14ac:dyDescent="0.2">
      <c r="C250" s="13"/>
      <c r="E250" s="13"/>
      <c r="G250" s="13"/>
      <c r="I250" s="13"/>
      <c r="K250" s="13"/>
    </row>
    <row r="251" spans="3:11" x14ac:dyDescent="0.2">
      <c r="C251" s="13"/>
      <c r="E251" s="13"/>
      <c r="G251" s="13"/>
      <c r="I251" s="13"/>
      <c r="K251" s="13"/>
    </row>
    <row r="252" spans="3:11" x14ac:dyDescent="0.2">
      <c r="C252" s="13"/>
      <c r="E252" s="13"/>
      <c r="G252" s="13"/>
      <c r="I252" s="13"/>
      <c r="K252" s="13"/>
    </row>
    <row r="253" spans="3:11" x14ac:dyDescent="0.2">
      <c r="C253" s="13"/>
      <c r="E253" s="13"/>
      <c r="G253" s="13"/>
      <c r="I253" s="13"/>
      <c r="K253" s="13"/>
    </row>
    <row r="254" spans="3:11" x14ac:dyDescent="0.2">
      <c r="C254" s="13"/>
      <c r="E254" s="13"/>
      <c r="G254" s="13"/>
      <c r="I254" s="13"/>
      <c r="K254" s="13"/>
    </row>
    <row r="255" spans="3:11" x14ac:dyDescent="0.2">
      <c r="C255" s="13"/>
      <c r="E255" s="13"/>
      <c r="G255" s="13"/>
      <c r="I255" s="13"/>
      <c r="K255" s="13"/>
    </row>
    <row r="256" spans="3:11" x14ac:dyDescent="0.2">
      <c r="C256" s="13"/>
      <c r="E256" s="13"/>
      <c r="G256" s="13"/>
      <c r="I256" s="13"/>
      <c r="K256" s="13"/>
    </row>
    <row r="257" spans="3:11" x14ac:dyDescent="0.2">
      <c r="C257" s="13"/>
      <c r="E257" s="13"/>
      <c r="G257" s="13"/>
      <c r="I257" s="13"/>
      <c r="K257" s="13"/>
    </row>
    <row r="258" spans="3:11" x14ac:dyDescent="0.2">
      <c r="C258" s="13"/>
      <c r="E258" s="13"/>
      <c r="G258" s="13"/>
      <c r="I258" s="13"/>
      <c r="K258" s="13"/>
    </row>
    <row r="259" spans="3:11" x14ac:dyDescent="0.2">
      <c r="C259" s="13"/>
      <c r="E259" s="13"/>
      <c r="G259" s="13"/>
      <c r="I259" s="13"/>
      <c r="K259" s="13"/>
    </row>
    <row r="260" spans="3:11" x14ac:dyDescent="0.2">
      <c r="C260" s="13"/>
      <c r="E260" s="13"/>
      <c r="G260" s="13"/>
      <c r="I260" s="13"/>
      <c r="K260" s="13"/>
    </row>
    <row r="261" spans="3:11" x14ac:dyDescent="0.2">
      <c r="C261" s="13"/>
      <c r="E261" s="13"/>
      <c r="G261" s="13"/>
      <c r="I261" s="13"/>
      <c r="K261" s="13"/>
    </row>
    <row r="262" spans="3:11" x14ac:dyDescent="0.2">
      <c r="C262" s="13"/>
      <c r="E262" s="13"/>
      <c r="G262" s="13"/>
      <c r="I262" s="13"/>
      <c r="K262" s="13"/>
    </row>
    <row r="263" spans="3:11" x14ac:dyDescent="0.2">
      <c r="C263" s="13"/>
      <c r="E263" s="13"/>
      <c r="G263" s="13"/>
      <c r="I263" s="13"/>
      <c r="K263" s="13"/>
    </row>
    <row r="264" spans="3:11" x14ac:dyDescent="0.2">
      <c r="C264" s="13"/>
      <c r="E264" s="13"/>
      <c r="G264" s="13"/>
      <c r="I264" s="13"/>
      <c r="K264" s="13"/>
    </row>
    <row r="265" spans="3:11" x14ac:dyDescent="0.2">
      <c r="C265" s="13"/>
      <c r="E265" s="13"/>
      <c r="G265" s="13"/>
      <c r="I265" s="13"/>
      <c r="K265" s="13"/>
    </row>
    <row r="266" spans="3:11" x14ac:dyDescent="0.2">
      <c r="C266" s="13"/>
      <c r="E266" s="13"/>
      <c r="G266" s="13"/>
      <c r="I266" s="13"/>
      <c r="K266" s="13"/>
    </row>
    <row r="267" spans="3:11" x14ac:dyDescent="0.2">
      <c r="C267" s="13"/>
      <c r="E267" s="13"/>
      <c r="G267" s="13"/>
      <c r="I267" s="13"/>
      <c r="K267" s="13"/>
    </row>
    <row r="268" spans="3:11" x14ac:dyDescent="0.2">
      <c r="C268" s="13"/>
      <c r="E268" s="13"/>
      <c r="G268" s="13"/>
      <c r="I268" s="13"/>
      <c r="K268" s="13"/>
    </row>
    <row r="269" spans="3:11" x14ac:dyDescent="0.2">
      <c r="C269" s="13"/>
      <c r="E269" s="13"/>
      <c r="G269" s="13"/>
      <c r="I269" s="13"/>
      <c r="K269" s="13"/>
    </row>
    <row r="270" spans="3:11" x14ac:dyDescent="0.2">
      <c r="C270" s="13"/>
      <c r="E270" s="13"/>
      <c r="G270" s="13"/>
      <c r="I270" s="13"/>
      <c r="K270" s="13"/>
    </row>
    <row r="271" spans="3:11" x14ac:dyDescent="0.2">
      <c r="C271" s="13"/>
      <c r="E271" s="13"/>
      <c r="G271" s="13"/>
      <c r="I271" s="13"/>
      <c r="K271" s="13"/>
    </row>
    <row r="272" spans="3:11" x14ac:dyDescent="0.2">
      <c r="C272" s="13"/>
      <c r="E272" s="13"/>
      <c r="G272" s="13"/>
      <c r="I272" s="13"/>
      <c r="K272" s="13"/>
    </row>
    <row r="273" spans="3:11" x14ac:dyDescent="0.2">
      <c r="C273" s="13"/>
      <c r="E273" s="13"/>
      <c r="G273" s="13"/>
      <c r="I273" s="13"/>
      <c r="K273" s="13"/>
    </row>
  </sheetData>
  <mergeCells count="3">
    <mergeCell ref="A1:M1"/>
    <mergeCell ref="A2:M2"/>
    <mergeCell ref="A3:M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2" manualBreakCount="2">
    <brk id="48" max="16383" man="1"/>
    <brk id="8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zoomScale="90" zoomScaleNormal="90" workbookViewId="0">
      <selection sqref="A1:N1"/>
    </sheetView>
  </sheetViews>
  <sheetFormatPr defaultRowHeight="12.75" x14ac:dyDescent="0.2"/>
  <cols>
    <col min="1" max="1" width="51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85546875" style="3" customWidth="1"/>
    <col min="14" max="14" width="19.42578125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87" customFormat="1" ht="15.75" x14ac:dyDescent="0.25">
      <c r="A2" s="103" t="s">
        <v>3654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6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6" x14ac:dyDescent="0.2">
      <c r="B6" s="25" t="s">
        <v>2</v>
      </c>
      <c r="H6" s="25" t="s">
        <v>3</v>
      </c>
      <c r="L6" s="25" t="s">
        <v>4</v>
      </c>
      <c r="P6" s="12" t="s">
        <v>3633</v>
      </c>
    </row>
    <row r="7" spans="1:16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3635</v>
      </c>
      <c r="P7" s="10" t="s">
        <v>3636</v>
      </c>
    </row>
    <row r="8" spans="1:16" x14ac:dyDescent="0.2">
      <c r="A8" s="12" t="s">
        <v>3637</v>
      </c>
      <c r="B8" s="11"/>
      <c r="D8" s="11"/>
      <c r="F8" s="11"/>
      <c r="H8" s="11"/>
      <c r="J8" s="11"/>
      <c r="L8" s="11"/>
    </row>
    <row r="9" spans="1:16" x14ac:dyDescent="0.2">
      <c r="A9" s="12" t="s">
        <v>3638</v>
      </c>
    </row>
    <row r="10" spans="1:16" x14ac:dyDescent="0.2">
      <c r="A10" s="12" t="s">
        <v>12</v>
      </c>
    </row>
    <row r="11" spans="1:16" x14ac:dyDescent="0.2">
      <c r="A11" s="3" t="s">
        <v>146</v>
      </c>
      <c r="B11" s="14">
        <f>'KY_Cost by Plant Acct P8 (REG)'!B11</f>
        <v>2075300.07</v>
      </c>
      <c r="C11" s="89"/>
      <c r="D11" s="14">
        <f>'KY_Cost by Plant Acct P8 (REG)'!D11</f>
        <v>0</v>
      </c>
      <c r="E11" s="89"/>
      <c r="F11" s="14">
        <f>'KY_Cost by Plant Acct P8 (REG)'!F11</f>
        <v>0</v>
      </c>
      <c r="G11" s="89"/>
      <c r="H11" s="14">
        <f>'KY_Cost by Plant Acct P8 (REG)'!H11</f>
        <v>0</v>
      </c>
      <c r="I11" s="89"/>
      <c r="J11" s="14">
        <f t="shared" ref="J11:J27" si="0">H11+F11+D11</f>
        <v>0</v>
      </c>
      <c r="K11" s="89"/>
      <c r="L11" s="14">
        <f t="shared" ref="L11:L27" si="1">J11+B11</f>
        <v>2075300.07</v>
      </c>
      <c r="N11" s="15">
        <f>'KY_Res by Plant Acct P16(REG)'!R10+'KY_Res by Plant Acct P16(REG)'!R11</f>
        <v>-1412356.8499999999</v>
      </c>
      <c r="P11" s="15">
        <f>L11+N11</f>
        <v>662943.2200000002</v>
      </c>
    </row>
    <row r="12" spans="1:16" x14ac:dyDescent="0.2">
      <c r="A12" s="3" t="s">
        <v>147</v>
      </c>
      <c r="B12" s="14">
        <f>'KY_Cost by Plant Acct P8 (REG)'!B12+'KY_Cost by Plant Acct P8 (REG)'!B120</f>
        <v>5455384.2700000005</v>
      </c>
      <c r="C12" s="89"/>
      <c r="D12" s="14">
        <f>'KY_Cost by Plant Acct P8 (REG)'!D12+'KY_Cost by Plant Acct P8 (REG)'!D120</f>
        <v>9399.51</v>
      </c>
      <c r="E12" s="89"/>
      <c r="F12" s="14">
        <f>'KY_Cost by Plant Acct P8 (REG)'!F12</f>
        <v>-14378.77</v>
      </c>
      <c r="G12" s="89"/>
      <c r="H12" s="14">
        <f>'KY_Cost by Plant Acct P8 (REG)'!H12+'KY_Cost by Plant Acct P8 (REG)'!H120</f>
        <v>0</v>
      </c>
      <c r="I12" s="89"/>
      <c r="J12" s="14">
        <f t="shared" si="0"/>
        <v>-4979.26</v>
      </c>
      <c r="K12" s="89"/>
      <c r="L12" s="14">
        <f t="shared" si="1"/>
        <v>5450405.0100000007</v>
      </c>
      <c r="N12" s="15">
        <f>'KY_Res by Plant Acct P16(REG)'!R12</f>
        <v>-7.2759576141834259E-12</v>
      </c>
      <c r="P12" s="15">
        <f t="shared" ref="P12:P27" si="2">L12+N12</f>
        <v>5450405.0100000007</v>
      </c>
    </row>
    <row r="13" spans="1:16" x14ac:dyDescent="0.2">
      <c r="A13" s="3" t="s">
        <v>148</v>
      </c>
      <c r="B13" s="14">
        <f>'KY_Cost by Plant Acct P8 (REG)'!B13+'KY_Cost by Plant Acct P8 (REG)'!B121</f>
        <v>12260209.210000001</v>
      </c>
      <c r="C13" s="89"/>
      <c r="D13" s="14">
        <f>'KY_Cost by Plant Acct P8 (REG)'!D13+'KY_Cost by Plant Acct P8 (REG)'!D121</f>
        <v>1727074.9500000002</v>
      </c>
      <c r="E13" s="89"/>
      <c r="F13" s="14">
        <f>'KY_Cost by Plant Acct P8 (REG)'!F13</f>
        <v>-74458.17</v>
      </c>
      <c r="G13" s="89"/>
      <c r="H13" s="14">
        <f>'KY_Cost by Plant Acct P8 (REG)'!H13+'KY_Cost by Plant Acct P8 (REG)'!H121</f>
        <v>-73624.78</v>
      </c>
      <c r="I13" s="89"/>
      <c r="J13" s="14">
        <f t="shared" si="0"/>
        <v>1578992.0000000002</v>
      </c>
      <c r="K13" s="89"/>
      <c r="L13" s="14">
        <f t="shared" si="1"/>
        <v>13839201.210000001</v>
      </c>
      <c r="N13" s="15">
        <f>'KY_Res by Plant Acct P16(REG)'!R13</f>
        <v>-2465869.3499999996</v>
      </c>
      <c r="P13" s="15">
        <f t="shared" si="2"/>
        <v>11373331.860000001</v>
      </c>
    </row>
    <row r="14" spans="1:16" x14ac:dyDescent="0.2">
      <c r="A14" s="3" t="s">
        <v>149</v>
      </c>
      <c r="B14" s="14">
        <f>'KY_Cost by Plant Acct P8 (REG)'!B14+'KY_Cost by Plant Acct P8 (REG)'!B122</f>
        <v>179319654.05000001</v>
      </c>
      <c r="C14" s="89"/>
      <c r="D14" s="14">
        <f>'KY_Cost by Plant Acct P8 (REG)'!D14+'KY_Cost by Plant Acct P8 (REG)'!D122</f>
        <v>12812861.42</v>
      </c>
      <c r="E14" s="89"/>
      <c r="F14" s="14">
        <f>'KY_Cost by Plant Acct P8 (REG)'!F14+'KY_Cost by Plant Acct P8 (REG)'!F122</f>
        <v>-1876079.84</v>
      </c>
      <c r="G14" s="89"/>
      <c r="H14" s="14">
        <f>'KY_Cost by Plant Acct P8 (REG)'!H14+'KY_Cost by Plant Acct P8 (REG)'!H122</f>
        <v>-669308.88</v>
      </c>
      <c r="I14" s="89"/>
      <c r="J14" s="14">
        <f t="shared" si="0"/>
        <v>10267472.699999999</v>
      </c>
      <c r="K14" s="89"/>
      <c r="L14" s="14">
        <f t="shared" si="1"/>
        <v>189587126.75</v>
      </c>
      <c r="N14" s="15">
        <f>'KY_Res by Plant Acct P16(REG)'!R14</f>
        <v>-49017509.439999983</v>
      </c>
      <c r="P14" s="15">
        <f t="shared" si="2"/>
        <v>140569617.31</v>
      </c>
    </row>
    <row r="15" spans="1:16" x14ac:dyDescent="0.2">
      <c r="A15" s="3" t="s">
        <v>150</v>
      </c>
      <c r="B15" s="14">
        <f>'KY_Cost by Plant Acct P8 (REG)'!B15+'KY_Cost by Plant Acct P8 (REG)'!B123</f>
        <v>348262553.81999993</v>
      </c>
      <c r="C15" s="89"/>
      <c r="D15" s="14">
        <f>'KY_Cost by Plant Acct P8 (REG)'!D15+'KY_Cost by Plant Acct P8 (REG)'!D123</f>
        <v>13473438.49</v>
      </c>
      <c r="E15" s="89"/>
      <c r="F15" s="14">
        <f>'KY_Cost by Plant Acct P8 (REG)'!F15</f>
        <v>-1702929.12</v>
      </c>
      <c r="G15" s="89"/>
      <c r="H15" s="14">
        <f>'KY_Cost by Plant Acct P8 (REG)'!H15+'KY_Cost by Plant Acct P8 (REG)'!H123</f>
        <v>0</v>
      </c>
      <c r="I15" s="89"/>
      <c r="J15" s="14">
        <f t="shared" si="0"/>
        <v>11770509.370000001</v>
      </c>
      <c r="K15" s="89"/>
      <c r="L15" s="14">
        <f t="shared" si="1"/>
        <v>360033063.18999994</v>
      </c>
      <c r="N15" s="15">
        <f>'KY_Res by Plant Acct P16(REG)'!R16+'KY_Res by Plant Acct P16(REG)'!R17+'KY_Res by Plant Acct P16(REG)'!R15</f>
        <v>-151267512.74999994</v>
      </c>
      <c r="P15" s="15">
        <f t="shared" si="2"/>
        <v>208765550.44</v>
      </c>
    </row>
    <row r="16" spans="1:16" x14ac:dyDescent="0.2">
      <c r="A16" s="3" t="s">
        <v>151</v>
      </c>
      <c r="B16" s="14">
        <f>'KY_Cost by Plant Acct P8 (REG)'!B16+'KY_Cost by Plant Acct P8 (REG)'!B124</f>
        <v>330961495.38999999</v>
      </c>
      <c r="C16" s="89"/>
      <c r="D16" s="14">
        <f>'KY_Cost by Plant Acct P8 (REG)'!D16+'KY_Cost by Plant Acct P8 (REG)'!D124</f>
        <v>20497253.049999997</v>
      </c>
      <c r="E16" s="89"/>
      <c r="F16" s="14">
        <f>'KY_Cost by Plant Acct P8 (REG)'!F16</f>
        <v>-7489267.7000000002</v>
      </c>
      <c r="G16" s="89"/>
      <c r="H16" s="14">
        <f>'KY_Cost by Plant Acct P8 (REG)'!H16+'KY_Cost by Plant Acct P8 (REG)'!H124</f>
        <v>0</v>
      </c>
      <c r="I16" s="89"/>
      <c r="J16" s="14">
        <f t="shared" si="0"/>
        <v>13007985.349999998</v>
      </c>
      <c r="K16" s="89"/>
      <c r="L16" s="14">
        <f t="shared" si="1"/>
        <v>343969480.74000001</v>
      </c>
      <c r="N16" s="15">
        <f>'KY_Res by Plant Acct P16(REG)'!R18+'KY_Res by Plant Acct P16(REG)'!R19+'KY_Res by Plant Acct P16(REG)'!R20</f>
        <v>-108886587.07999997</v>
      </c>
      <c r="P16" s="15">
        <f t="shared" si="2"/>
        <v>235082893.66000003</v>
      </c>
    </row>
    <row r="17" spans="1:16" x14ac:dyDescent="0.2">
      <c r="A17" s="3" t="s">
        <v>152</v>
      </c>
      <c r="B17" s="14">
        <f>'KY_Cost by Plant Acct P8 (REG)'!B17+'KY_Cost by Plant Acct P8 (REG)'!B125</f>
        <v>2390171.0599999996</v>
      </c>
      <c r="C17" s="89"/>
      <c r="D17" s="14">
        <f>'KY_Cost by Plant Acct P8 (REG)'!D17+'KY_Cost by Plant Acct P8 (REG)'!D125</f>
        <v>0</v>
      </c>
      <c r="E17" s="89"/>
      <c r="F17" s="14">
        <f>'KY_Cost by Plant Acct P8 (REG)'!F17</f>
        <v>0</v>
      </c>
      <c r="G17" s="89"/>
      <c r="H17" s="14">
        <f>'KY_Cost by Plant Acct P8 (REG)'!H17+'KY_Cost by Plant Acct P8 (REG)'!H125</f>
        <v>0</v>
      </c>
      <c r="I17" s="89"/>
      <c r="J17" s="14">
        <f t="shared" si="0"/>
        <v>0</v>
      </c>
      <c r="K17" s="89"/>
      <c r="L17" s="14">
        <f t="shared" si="1"/>
        <v>2390171.0599999996</v>
      </c>
      <c r="N17" s="15">
        <f>'KY_Res by Plant Acct P16(REG)'!R21+'KY_Res by Plant Acct P16(REG)'!R22</f>
        <v>-951110.31</v>
      </c>
      <c r="P17" s="15">
        <f t="shared" si="2"/>
        <v>1439060.7499999995</v>
      </c>
    </row>
    <row r="18" spans="1:16" x14ac:dyDescent="0.2">
      <c r="A18" s="3" t="s">
        <v>153</v>
      </c>
      <c r="B18" s="14">
        <f>'KY_Cost by Plant Acct P8 (REG)'!B18+'KY_Cost by Plant Acct P8 (REG)'!B126</f>
        <v>185320973.49000004</v>
      </c>
      <c r="C18" s="89"/>
      <c r="D18" s="14">
        <f>'KY_Cost by Plant Acct P8 (REG)'!D18+'KY_Cost by Plant Acct P8 (REG)'!D126</f>
        <v>5107526.16</v>
      </c>
      <c r="E18" s="89"/>
      <c r="F18" s="14">
        <f>'KY_Cost by Plant Acct P8 (REG)'!F18</f>
        <v>-874631.2</v>
      </c>
      <c r="G18" s="89"/>
      <c r="H18" s="14">
        <f>'KY_Cost by Plant Acct P8 (REG)'!H18+'KY_Cost by Plant Acct P8 (REG)'!H126</f>
        <v>0</v>
      </c>
      <c r="I18" s="89"/>
      <c r="J18" s="14">
        <f t="shared" si="0"/>
        <v>4232894.96</v>
      </c>
      <c r="K18" s="89"/>
      <c r="L18" s="14">
        <f t="shared" si="1"/>
        <v>189553868.45000005</v>
      </c>
      <c r="N18" s="15">
        <f>'KY_Res by Plant Acct P16(REG)'!R23+'KY_Res by Plant Acct P16(REG)'!R24</f>
        <v>-47058775.679999985</v>
      </c>
      <c r="P18" s="15">
        <f t="shared" si="2"/>
        <v>142495092.77000007</v>
      </c>
    </row>
    <row r="19" spans="1:16" x14ac:dyDescent="0.2">
      <c r="A19" s="3" t="s">
        <v>154</v>
      </c>
      <c r="B19" s="14">
        <f>'KY_Cost by Plant Acct P8 (REG)'!B19+'KY_Cost by Plant Acct P8 (REG)'!B127</f>
        <v>301933255.36000001</v>
      </c>
      <c r="C19" s="89"/>
      <c r="D19" s="14">
        <f>'KY_Cost by Plant Acct P8 (REG)'!D19+'KY_Cost by Plant Acct P8 (REG)'!D127</f>
        <v>8368467.8799999999</v>
      </c>
      <c r="E19" s="89"/>
      <c r="F19" s="14">
        <f>'KY_Cost by Plant Acct P8 (REG)'!F19</f>
        <v>-7785666.2699999996</v>
      </c>
      <c r="G19" s="89"/>
      <c r="H19" s="14">
        <f>'KY_Cost by Plant Acct P8 (REG)'!H19+'KY_Cost by Plant Acct P8 (REG)'!H127</f>
        <v>0</v>
      </c>
      <c r="I19" s="89"/>
      <c r="J19" s="14">
        <f t="shared" si="0"/>
        <v>582801.61000000034</v>
      </c>
      <c r="K19" s="89"/>
      <c r="L19" s="14">
        <f t="shared" si="1"/>
        <v>302516056.97000003</v>
      </c>
      <c r="N19" s="15">
        <f>'KY_Res by Plant Acct P16(REG)'!R25</f>
        <v>-138650106.96999997</v>
      </c>
      <c r="P19" s="15">
        <f t="shared" si="2"/>
        <v>163865950.00000006</v>
      </c>
    </row>
    <row r="20" spans="1:16" x14ac:dyDescent="0.2">
      <c r="A20" s="3" t="s">
        <v>155</v>
      </c>
      <c r="B20" s="14">
        <f>'KY_Cost by Plant Acct P8 (REG)'!B20+'KY_Cost by Plant Acct P8 (REG)'!B128</f>
        <v>97978332.739999995</v>
      </c>
      <c r="C20" s="89"/>
      <c r="D20" s="14">
        <f>'KY_Cost by Plant Acct P8 (REG)'!D20+'KY_Cost by Plant Acct P8 (REG)'!D128</f>
        <v>10616290.049999999</v>
      </c>
      <c r="E20" s="89"/>
      <c r="F20" s="14">
        <f>'KY_Cost by Plant Acct P8 (REG)'!F20</f>
        <v>-79568.639999999999</v>
      </c>
      <c r="G20" s="89"/>
      <c r="H20" s="14">
        <f>'KY_Cost by Plant Acct P8 (REG)'!H20+'KY_Cost by Plant Acct P8 (REG)'!H128</f>
        <v>0</v>
      </c>
      <c r="I20" s="89"/>
      <c r="J20" s="14">
        <f t="shared" si="0"/>
        <v>10536721.409999998</v>
      </c>
      <c r="K20" s="89"/>
      <c r="L20" s="14">
        <f t="shared" si="1"/>
        <v>108515054.14999999</v>
      </c>
      <c r="N20" s="15">
        <f>'KY_Res by Plant Acct P16(REG)'!R26</f>
        <v>-59759378.910000011</v>
      </c>
      <c r="P20" s="15">
        <f t="shared" si="2"/>
        <v>48755675.23999998</v>
      </c>
    </row>
    <row r="21" spans="1:16" x14ac:dyDescent="0.2">
      <c r="A21" s="3" t="s">
        <v>156</v>
      </c>
      <c r="B21" s="14">
        <f>'KY_Cost by Plant Acct P8 (REG)'!B21+'KY_Cost by Plant Acct P8 (REG)'!B129</f>
        <v>74142440.149999991</v>
      </c>
      <c r="C21" s="89"/>
      <c r="D21" s="14">
        <f>'KY_Cost by Plant Acct P8 (REG)'!D21+'KY_Cost by Plant Acct P8 (REG)'!D129</f>
        <v>1066348</v>
      </c>
      <c r="E21" s="89"/>
      <c r="F21" s="14">
        <f>'KY_Cost by Plant Acct P8 (REG)'!F21+'KY_Cost by Plant Acct P8 (REG)'!F129</f>
        <v>-1757459.33</v>
      </c>
      <c r="G21" s="89"/>
      <c r="H21" s="14">
        <f>'KY_Cost by Plant Acct P8 (REG)'!H21+'KY_Cost by Plant Acct P8 (REG)'!H129</f>
        <v>-10038276.189999999</v>
      </c>
      <c r="I21" s="89"/>
      <c r="J21" s="14">
        <f t="shared" si="0"/>
        <v>-10729387.52</v>
      </c>
      <c r="K21" s="89"/>
      <c r="L21" s="14">
        <f t="shared" si="1"/>
        <v>63413052.629999995</v>
      </c>
      <c r="N21" s="15">
        <f>'KY_Res by Plant Acct P16(REG)'!R27</f>
        <v>-31867683.370000008</v>
      </c>
      <c r="P21" s="15">
        <f t="shared" si="2"/>
        <v>31545369.259999987</v>
      </c>
    </row>
    <row r="22" spans="1:16" x14ac:dyDescent="0.2">
      <c r="A22" s="43" t="s">
        <v>157</v>
      </c>
      <c r="B22" s="14">
        <f>'KY_Cost by Plant Acct P8 (REG)'!B22+'KY_Cost by Plant Acct P8 (REG)'!B130</f>
        <v>999778.0199999999</v>
      </c>
      <c r="C22" s="89"/>
      <c r="D22" s="14">
        <f>'KY_Cost by Plant Acct P8 (REG)'!D22+'KY_Cost by Plant Acct P8 (REG)'!D130</f>
        <v>169824.85</v>
      </c>
      <c r="E22" s="89"/>
      <c r="F22" s="14">
        <f>'KY_Cost by Plant Acct P8 (REG)'!F22+'KY_Cost by Plant Acct P8 (REG)'!F130</f>
        <v>0</v>
      </c>
      <c r="G22" s="89"/>
      <c r="H22" s="14">
        <f>'KY_Cost by Plant Acct P8 (REG)'!H22+'KY_Cost by Plant Acct P8 (REG)'!H130</f>
        <v>0</v>
      </c>
      <c r="I22" s="89"/>
      <c r="J22" s="14">
        <f t="shared" si="0"/>
        <v>169824.85</v>
      </c>
      <c r="K22" s="89"/>
      <c r="L22" s="14">
        <f t="shared" si="1"/>
        <v>1169602.8699999999</v>
      </c>
      <c r="N22" s="15">
        <f>'KY_Res by Plant Acct P16(REG)'!R28</f>
        <v>-72934.78</v>
      </c>
      <c r="P22" s="15">
        <f t="shared" si="2"/>
        <v>1096668.0899999999</v>
      </c>
    </row>
    <row r="23" spans="1:16" x14ac:dyDescent="0.2">
      <c r="A23" s="43" t="s">
        <v>158</v>
      </c>
      <c r="B23" s="14">
        <f>'KY_Cost by Plant Acct P8 (REG)'!B23</f>
        <v>0</v>
      </c>
      <c r="C23" s="89"/>
      <c r="D23" s="14">
        <f>'KY_Cost by Plant Acct P8 (REG)'!D23</f>
        <v>320790.63</v>
      </c>
      <c r="E23" s="89"/>
      <c r="F23" s="14">
        <f>'KY_Cost by Plant Acct P8 (REG)'!F23</f>
        <v>0</v>
      </c>
      <c r="G23" s="89"/>
      <c r="H23" s="14">
        <f>'KY_Cost by Plant Acct P8 (REG)'!H23</f>
        <v>10038276.189999999</v>
      </c>
      <c r="I23" s="89"/>
      <c r="J23" s="14">
        <f t="shared" si="0"/>
        <v>10359066.82</v>
      </c>
      <c r="K23" s="89"/>
      <c r="L23" s="14">
        <f t="shared" si="1"/>
        <v>10359066.82</v>
      </c>
      <c r="N23" s="15">
        <f>'KY_Res by Plant Acct P16(REG)'!R29</f>
        <v>-4707259.1199999992</v>
      </c>
      <c r="P23" s="15">
        <f t="shared" si="2"/>
        <v>5651807.7000000011</v>
      </c>
    </row>
    <row r="24" spans="1:16" x14ac:dyDescent="0.2">
      <c r="A24" s="3" t="s">
        <v>159</v>
      </c>
      <c r="B24" s="14">
        <f>'KY_Cost by Plant Acct P8 (REG)'!B24+'KY_Cost by Plant Acct P8 (REG)'!B131</f>
        <v>0</v>
      </c>
      <c r="C24" s="89"/>
      <c r="D24" s="14">
        <f>'KY_Cost by Plant Acct P8 (REG)'!D24+'KY_Cost by Plant Acct P8 (REG)'!D131</f>
        <v>6164.11</v>
      </c>
      <c r="E24" s="89"/>
      <c r="F24" s="14">
        <f>'KY_Cost by Plant Acct P8 (REG)'!F24+'KY_Cost by Plant Acct P8 (REG)'!F131</f>
        <v>0</v>
      </c>
      <c r="G24" s="89"/>
      <c r="H24" s="14">
        <f>'KY_Cost by Plant Acct P8 (REG)'!H24+'KY_Cost by Plant Acct P8 (REG)'!H131</f>
        <v>0</v>
      </c>
      <c r="I24" s="89"/>
      <c r="J24" s="14">
        <f t="shared" si="0"/>
        <v>6164.11</v>
      </c>
      <c r="K24" s="89"/>
      <c r="L24" s="14">
        <f t="shared" si="1"/>
        <v>6164.11</v>
      </c>
      <c r="N24" s="15">
        <f>'KY_Res by Plant Acct P16(REG)'!R30</f>
        <v>-30.940000006034953</v>
      </c>
      <c r="P24" s="15">
        <f t="shared" si="2"/>
        <v>6133.1699999939647</v>
      </c>
    </row>
    <row r="25" spans="1:16" x14ac:dyDescent="0.2">
      <c r="A25" s="3" t="s">
        <v>160</v>
      </c>
      <c r="B25" s="14">
        <f>'KY_Cost by Plant Acct P8 (REG)'!B25+'KY_Cost by Plant Acct P8 (REG)'!B132</f>
        <v>112761435.73</v>
      </c>
      <c r="C25" s="90"/>
      <c r="D25" s="14">
        <f>'KY_Cost by Plant Acct P8 (REG)'!D25+'KY_Cost by Plant Acct P8 (REG)'!D132</f>
        <v>5240547.71</v>
      </c>
      <c r="E25" s="90"/>
      <c r="F25" s="14">
        <f>'KY_Cost by Plant Acct P8 (REG)'!F25</f>
        <v>-810333.36</v>
      </c>
      <c r="G25" s="90"/>
      <c r="H25" s="14">
        <f>'KY_Cost by Plant Acct P8 (REG)'!H25+'KY_Cost by Plant Acct P8 (REG)'!H132</f>
        <v>0</v>
      </c>
      <c r="I25" s="90"/>
      <c r="J25" s="17">
        <f t="shared" si="0"/>
        <v>4430214.3499999996</v>
      </c>
      <c r="K25" s="90"/>
      <c r="L25" s="17">
        <f t="shared" si="1"/>
        <v>117191650.08</v>
      </c>
      <c r="N25" s="15">
        <f>'KY_Res by Plant Acct P16(REG)'!R31</f>
        <v>-39204114.199999988</v>
      </c>
      <c r="P25" s="15">
        <f t="shared" si="2"/>
        <v>77987535.88000001</v>
      </c>
    </row>
    <row r="26" spans="1:16" x14ac:dyDescent="0.2">
      <c r="A26" s="3" t="s">
        <v>161</v>
      </c>
      <c r="B26" s="17">
        <f>'KY_Cost by Plant Acct P8 (REG)'!B26</f>
        <v>622146.49</v>
      </c>
      <c r="C26" s="90"/>
      <c r="D26" s="17">
        <f>'KY_Cost by Plant Acct P8 (REG)'!D26</f>
        <v>0</v>
      </c>
      <c r="E26" s="90"/>
      <c r="F26" s="17">
        <f>'KY_Cost by Plant Acct P8 (REG)'!F26</f>
        <v>0</v>
      </c>
      <c r="G26" s="90"/>
      <c r="H26" s="17">
        <f>'KY_Cost by Plant Acct P8 (REG)'!H26</f>
        <v>19555.349999999999</v>
      </c>
      <c r="I26" s="90"/>
      <c r="J26" s="17">
        <f t="shared" si="0"/>
        <v>19555.349999999999</v>
      </c>
      <c r="K26" s="90"/>
      <c r="L26" s="17">
        <f t="shared" si="1"/>
        <v>641701.84</v>
      </c>
      <c r="M26" s="59"/>
      <c r="N26" s="60">
        <f>'KY_Res by Plant Acct P16(REG)'!R32</f>
        <v>-35412.499999999964</v>
      </c>
      <c r="O26" s="59"/>
      <c r="P26" s="60">
        <f t="shared" si="2"/>
        <v>606289.34</v>
      </c>
    </row>
    <row r="27" spans="1:16" x14ac:dyDescent="0.2">
      <c r="A27" s="73" t="s">
        <v>162</v>
      </c>
      <c r="B27" s="17">
        <f>'KY_Cost by Plant Acct P8 (REG)'!B27</f>
        <v>71256.579999999958</v>
      </c>
      <c r="C27" s="90"/>
      <c r="D27" s="17">
        <f>'KY_Cost by Plant Acct P8 (REG)'!D27</f>
        <v>0</v>
      </c>
      <c r="E27" s="90"/>
      <c r="F27" s="17">
        <f>'KY_Cost by Plant Acct P8 (REG)'!F27</f>
        <v>-1700.75</v>
      </c>
      <c r="G27" s="90"/>
      <c r="H27" s="17">
        <f>'KY_Cost by Plant Acct P8 (REG)'!H27</f>
        <v>-41067.300000000003</v>
      </c>
      <c r="I27" s="90"/>
      <c r="J27" s="17">
        <f t="shared" si="0"/>
        <v>-42768.05</v>
      </c>
      <c r="K27" s="90"/>
      <c r="L27" s="17">
        <f t="shared" si="1"/>
        <v>28488.529999999955</v>
      </c>
      <c r="N27" s="60">
        <f>'KY_Res by Plant Acct P16(REG)'!R33</f>
        <v>-89944.499999999985</v>
      </c>
      <c r="P27" s="60">
        <f t="shared" si="2"/>
        <v>-61455.97000000003</v>
      </c>
    </row>
    <row r="28" spans="1:16" x14ac:dyDescent="0.2">
      <c r="B28" s="18">
        <f>SUM(B11:B27)</f>
        <v>1654554386.4299998</v>
      </c>
      <c r="C28" s="90"/>
      <c r="D28" s="18">
        <f>SUM(D11:D27)</f>
        <v>79415986.809999987</v>
      </c>
      <c r="E28" s="90"/>
      <c r="F28" s="18">
        <f>SUM(F11:F27)</f>
        <v>-22466473.149999999</v>
      </c>
      <c r="G28" s="90"/>
      <c r="H28" s="18">
        <f>SUM(H11:H27)</f>
        <v>-764445.61000000022</v>
      </c>
      <c r="I28" s="90"/>
      <c r="J28" s="18">
        <f>SUM(J11:J27)</f>
        <v>56185068.049999997</v>
      </c>
      <c r="K28" s="90"/>
      <c r="L28" s="18">
        <f>SUM(L11:L27)</f>
        <v>1710739454.4799995</v>
      </c>
      <c r="N28" s="18">
        <f>SUM(N11:N27)</f>
        <v>-635446586.75</v>
      </c>
      <c r="P28" s="18">
        <f>SUM(P11:P27)</f>
        <v>1075292867.7300003</v>
      </c>
    </row>
    <row r="29" spans="1:16" x14ac:dyDescent="0.2">
      <c r="B29" s="17"/>
      <c r="C29" s="90"/>
      <c r="D29" s="17"/>
      <c r="E29" s="90"/>
      <c r="F29" s="17"/>
      <c r="G29" s="90"/>
      <c r="H29" s="17"/>
      <c r="I29" s="90"/>
      <c r="J29" s="17"/>
      <c r="K29" s="90"/>
      <c r="L29" s="17"/>
    </row>
    <row r="30" spans="1:16" x14ac:dyDescent="0.2">
      <c r="A30" s="12" t="s">
        <v>13</v>
      </c>
      <c r="B30" s="17"/>
      <c r="C30" s="90"/>
      <c r="D30" s="17"/>
      <c r="E30" s="90"/>
      <c r="F30" s="17"/>
      <c r="G30" s="90"/>
      <c r="H30" s="17"/>
      <c r="I30" s="90"/>
      <c r="J30" s="17"/>
      <c r="K30" s="90"/>
      <c r="L30" s="17"/>
    </row>
    <row r="31" spans="1:16" x14ac:dyDescent="0.2">
      <c r="A31" s="43" t="s">
        <v>164</v>
      </c>
      <c r="B31" s="14">
        <f>'KY_Cost by Plant Acct P8 (REG)'!B31</f>
        <v>3049487.07</v>
      </c>
      <c r="C31" s="89"/>
      <c r="D31" s="14">
        <f>'KY_Cost by Plant Acct P8 (REG)'!D31</f>
        <v>99552</v>
      </c>
      <c r="E31" s="89"/>
      <c r="F31" s="14">
        <f>'KY_Cost by Plant Acct P8 (REG)'!F31</f>
        <v>0</v>
      </c>
      <c r="G31" s="89"/>
      <c r="H31" s="14">
        <f>'KY_Cost by Plant Acct P8 (REG)'!H31</f>
        <v>-131956.31</v>
      </c>
      <c r="I31" s="89"/>
      <c r="J31" s="14">
        <f>H31+F31+D31</f>
        <v>-32404.309999999998</v>
      </c>
      <c r="K31" s="89"/>
      <c r="L31" s="14">
        <f t="shared" ref="L31:L47" si="3">J31+B31</f>
        <v>3017082.76</v>
      </c>
      <c r="N31" s="15">
        <f>'KY_Res by Plant Acct P16(REG)'!R37</f>
        <v>1.8189894035458565E-12</v>
      </c>
      <c r="P31" s="15">
        <f t="shared" ref="P31:P47" si="4">L31+N31</f>
        <v>3017082.76</v>
      </c>
    </row>
    <row r="32" spans="1:16" x14ac:dyDescent="0.2">
      <c r="A32" s="3" t="s">
        <v>165</v>
      </c>
      <c r="B32" s="14">
        <f>'KY_Cost by Plant Acct P8 (REG)'!B32+'KY_Cost by Plant Acct P8 (REG)'!B136</f>
        <v>57686788.230000004</v>
      </c>
      <c r="C32" s="89"/>
      <c r="D32" s="14">
        <f>'KY_Cost by Plant Acct P8 (REG)'!D32+'KY_Cost by Plant Acct P8 (REG)'!D136</f>
        <v>3951317.27</v>
      </c>
      <c r="E32" s="89"/>
      <c r="F32" s="14">
        <f>'KY_Cost by Plant Acct P8 (REG)'!F32</f>
        <v>-150168.47</v>
      </c>
      <c r="G32" s="89"/>
      <c r="H32" s="14">
        <f>'KY_Cost by Plant Acct P8 (REG)'!H32+'KY_Cost by Plant Acct P8 (REG)'!H136</f>
        <v>5134.63</v>
      </c>
      <c r="I32" s="89"/>
      <c r="J32" s="14">
        <f>H32+F32+D32</f>
        <v>3806283.43</v>
      </c>
      <c r="K32" s="89"/>
      <c r="L32" s="14">
        <f t="shared" si="3"/>
        <v>61493071.660000004</v>
      </c>
      <c r="N32" s="15">
        <f>'KY_Res by Plant Acct P16(REG)'!R38+'KY_Res by Plant Acct P16(REG)'!R41+'KY_Res by Plant Acct P16(REG)'!R39+'KY_Res by Plant Acct P16(REG)'!R40+'KY_Res by Plant Acct P16(REG)'!R42</f>
        <v>-12357244.200000003</v>
      </c>
      <c r="P32" s="15">
        <f t="shared" si="4"/>
        <v>49135827.460000001</v>
      </c>
    </row>
    <row r="33" spans="1:16" x14ac:dyDescent="0.2">
      <c r="A33" s="3" t="s">
        <v>166</v>
      </c>
      <c r="B33" s="14">
        <f>'KY_Cost by Plant Acct P8 (REG)'!B33</f>
        <v>440860.27</v>
      </c>
      <c r="C33" s="89"/>
      <c r="D33" s="14">
        <f>'KY_Cost by Plant Acct P8 (REG)'!D33</f>
        <v>0</v>
      </c>
      <c r="E33" s="89"/>
      <c r="F33" s="14">
        <f>'KY_Cost by Plant Acct P8 (REG)'!F33</f>
        <v>-3924.94</v>
      </c>
      <c r="G33" s="89"/>
      <c r="H33" s="14">
        <f>'KY_Cost by Plant Acct P8 (REG)'!H33</f>
        <v>-5134.63</v>
      </c>
      <c r="I33" s="89"/>
      <c r="J33" s="14">
        <f>H33+F33+D33</f>
        <v>-9059.57</v>
      </c>
      <c r="K33" s="89"/>
      <c r="L33" s="14">
        <f t="shared" si="3"/>
        <v>431800.7</v>
      </c>
      <c r="N33" s="15">
        <f>'KY_Res by Plant Acct P16(REG)'!R65</f>
        <v>-354251.23000000004</v>
      </c>
      <c r="P33" s="15">
        <f t="shared" si="4"/>
        <v>77549.469999999972</v>
      </c>
    </row>
    <row r="34" spans="1:16" x14ac:dyDescent="0.2">
      <c r="A34" s="3" t="s">
        <v>167</v>
      </c>
      <c r="B34" s="14">
        <f>'KY_Cost by Plant Acct P8 (REG)'!B34+'KY_Cost by Plant Acct P8 (REG)'!B137</f>
        <v>10442585.990000002</v>
      </c>
      <c r="C34" s="89"/>
      <c r="D34" s="14">
        <f>'KY_Cost by Plant Acct P8 (REG)'!D34+'KY_Cost by Plant Acct P8 (REG)'!D137</f>
        <v>420743.42000000004</v>
      </c>
      <c r="E34" s="89"/>
      <c r="F34" s="14">
        <f>'KY_Cost by Plant Acct P8 (REG)'!F34</f>
        <v>-283354.86</v>
      </c>
      <c r="G34" s="89"/>
      <c r="H34" s="14">
        <f>'KY_Cost by Plant Acct P8 (REG)'!H34+'KY_Cost by Plant Acct P8 (REG)'!H137</f>
        <v>0</v>
      </c>
      <c r="I34" s="89"/>
      <c r="J34" s="14">
        <f t="shared" ref="J34:J47" si="5">H34+F34+D34</f>
        <v>137388.56000000006</v>
      </c>
      <c r="K34" s="89"/>
      <c r="L34" s="14">
        <f t="shared" si="3"/>
        <v>10579974.550000003</v>
      </c>
      <c r="N34" s="15">
        <f>'KY_Res by Plant Acct P16(REG)'!R66</f>
        <v>-5212900.1599999983</v>
      </c>
      <c r="P34" s="15">
        <f t="shared" si="4"/>
        <v>5367074.3900000043</v>
      </c>
    </row>
    <row r="35" spans="1:16" x14ac:dyDescent="0.2">
      <c r="A35" s="3" t="s">
        <v>168</v>
      </c>
      <c r="B35" s="14">
        <f>'KY_Cost by Plant Acct P8 (REG)'!B35+'KY_Cost by Plant Acct P8 (REG)'!B138</f>
        <v>26594020.549999993</v>
      </c>
      <c r="C35" s="89"/>
      <c r="D35" s="14">
        <f>'KY_Cost by Plant Acct P8 (REG)'!D35+'KY_Cost by Plant Acct P8 (REG)'!D138</f>
        <v>585892.83999999985</v>
      </c>
      <c r="E35" s="89"/>
      <c r="F35" s="14">
        <f>'KY_Cost by Plant Acct P8 (REG)'!F35</f>
        <v>-4079972.85</v>
      </c>
      <c r="G35" s="89"/>
      <c r="H35" s="14">
        <f>'KY_Cost by Plant Acct P8 (REG)'!H35+'KY_Cost by Plant Acct P8 (REG)'!H138</f>
        <v>0</v>
      </c>
      <c r="I35" s="89"/>
      <c r="J35" s="14">
        <f t="shared" si="5"/>
        <v>-3494080.0100000002</v>
      </c>
      <c r="K35" s="89"/>
      <c r="L35" s="14">
        <f t="shared" si="3"/>
        <v>23099940.539999992</v>
      </c>
      <c r="N35" s="15">
        <f>'KY_Res by Plant Acct P16(REG)'!R67</f>
        <v>-15527953.210000003</v>
      </c>
      <c r="P35" s="15">
        <f t="shared" si="4"/>
        <v>7571987.3299999889</v>
      </c>
    </row>
    <row r="36" spans="1:16" x14ac:dyDescent="0.2">
      <c r="A36" s="3" t="s">
        <v>169</v>
      </c>
      <c r="B36" s="14">
        <f>'KY_Cost by Plant Acct P8 (REG)'!B36+'KY_Cost by Plant Acct P8 (REG)'!B139</f>
        <v>0</v>
      </c>
      <c r="C36" s="89"/>
      <c r="D36" s="14">
        <f>'KY_Cost by Plant Acct P8 (REG)'!D36+'KY_Cost by Plant Acct P8 (REG)'!D139</f>
        <v>0</v>
      </c>
      <c r="E36" s="89"/>
      <c r="F36" s="14">
        <f>'KY_Cost by Plant Acct P8 (REG)'!F36+'KY_Cost by Plant Acct P8 (REG)'!F139</f>
        <v>0</v>
      </c>
      <c r="G36" s="89"/>
      <c r="H36" s="14">
        <f>'KY_Cost by Plant Acct P8 (REG)'!H36+'KY_Cost by Plant Acct P8 (REG)'!H139</f>
        <v>0</v>
      </c>
      <c r="I36" s="89"/>
      <c r="J36" s="14">
        <f t="shared" si="5"/>
        <v>0</v>
      </c>
      <c r="K36" s="89"/>
      <c r="L36" s="14">
        <f t="shared" si="3"/>
        <v>0</v>
      </c>
      <c r="N36" s="15">
        <f>'KY_Res by Plant Acct P16(REG)'!R68</f>
        <v>0</v>
      </c>
      <c r="P36" s="15">
        <f t="shared" si="4"/>
        <v>0</v>
      </c>
    </row>
    <row r="37" spans="1:16" x14ac:dyDescent="0.2">
      <c r="A37" s="3" t="s">
        <v>170</v>
      </c>
      <c r="B37" s="14">
        <f>'KY_Cost by Plant Acct P8 (REG)'!B37+'KY_Cost by Plant Acct P8 (REG)'!B140</f>
        <v>4412177.9000000004</v>
      </c>
      <c r="C37" s="89"/>
      <c r="D37" s="14">
        <f>'KY_Cost by Plant Acct P8 (REG)'!D37+'KY_Cost by Plant Acct P8 (REG)'!D140</f>
        <v>1049009.9200000002</v>
      </c>
      <c r="E37" s="89"/>
      <c r="F37" s="14">
        <f>'KY_Cost by Plant Acct P8 (REG)'!F37</f>
        <v>-878964.66</v>
      </c>
      <c r="G37" s="89"/>
      <c r="H37" s="14">
        <f>'KY_Cost by Plant Acct P8 (REG)'!H37+'KY_Cost by Plant Acct P8 (REG)'!H140</f>
        <v>0</v>
      </c>
      <c r="I37" s="89"/>
      <c r="J37" s="14">
        <f t="shared" si="5"/>
        <v>170045.26000000013</v>
      </c>
      <c r="K37" s="89"/>
      <c r="L37" s="14">
        <f t="shared" si="3"/>
        <v>4582223.16</v>
      </c>
      <c r="N37" s="15">
        <f>'KY_Res by Plant Acct P16(REG)'!R69</f>
        <v>-550928.85999999952</v>
      </c>
      <c r="P37" s="15">
        <f t="shared" si="4"/>
        <v>4031294.3000000007</v>
      </c>
    </row>
    <row r="38" spans="1:16" x14ac:dyDescent="0.2">
      <c r="A38" s="3" t="s">
        <v>171</v>
      </c>
      <c r="B38" s="14">
        <f>'KY_Cost by Plant Acct P8 (REG)'!B38</f>
        <v>1339258.0699999989</v>
      </c>
      <c r="C38" s="89"/>
      <c r="D38" s="14">
        <f>'KY_Cost by Plant Acct P8 (REG)'!D38</f>
        <v>149526.26</v>
      </c>
      <c r="E38" s="89"/>
      <c r="F38" s="14">
        <f>'KY_Cost by Plant Acct P8 (REG)'!F38</f>
        <v>-38921.74</v>
      </c>
      <c r="G38" s="89"/>
      <c r="H38" s="14">
        <f>'KY_Cost by Plant Acct P8 (REG)'!H38</f>
        <v>0</v>
      </c>
      <c r="I38" s="89"/>
      <c r="J38" s="14">
        <f t="shared" si="5"/>
        <v>110604.52000000002</v>
      </c>
      <c r="K38" s="89"/>
      <c r="L38" s="14">
        <f t="shared" si="3"/>
        <v>1449862.5899999989</v>
      </c>
      <c r="N38" s="15">
        <f>'KY_Res by Plant Acct P16(REG)'!R71+'KY_Res by Plant Acct P16(REG)'!R70</f>
        <v>-922037.88999999629</v>
      </c>
      <c r="P38" s="15">
        <f t="shared" si="4"/>
        <v>527824.70000000263</v>
      </c>
    </row>
    <row r="39" spans="1:16" x14ac:dyDescent="0.2">
      <c r="A39" s="3" t="s">
        <v>172</v>
      </c>
      <c r="B39" s="14">
        <f>'KY_Cost by Plant Acct P8 (REG)'!B39</f>
        <v>5824837.5900000008</v>
      </c>
      <c r="C39" s="89"/>
      <c r="D39" s="14">
        <f>'KY_Cost by Plant Acct P8 (REG)'!D39</f>
        <v>0</v>
      </c>
      <c r="E39" s="89"/>
      <c r="F39" s="14">
        <f>'KY_Cost by Plant Acct P8 (REG)'!F39</f>
        <v>-27677.5</v>
      </c>
      <c r="G39" s="89"/>
      <c r="H39" s="14">
        <f>'KY_Cost by Plant Acct P8 (REG)'!H39</f>
        <v>0</v>
      </c>
      <c r="I39" s="89"/>
      <c r="J39" s="14">
        <f>H39+F39+D39</f>
        <v>-27677.5</v>
      </c>
      <c r="K39" s="89"/>
      <c r="L39" s="14">
        <f>J39+B39</f>
        <v>5797160.0900000008</v>
      </c>
      <c r="N39" s="15">
        <f>'KY_Res by Plant Acct P16(REG)'!R72</f>
        <v>-3276806.6300000008</v>
      </c>
      <c r="P39" s="15">
        <f>L39+N39</f>
        <v>2520353.46</v>
      </c>
    </row>
    <row r="40" spans="1:16" x14ac:dyDescent="0.2">
      <c r="A40" s="3" t="s">
        <v>173</v>
      </c>
      <c r="B40" s="14">
        <f>'KY_Cost by Plant Acct P8 (REG)'!B40+'KY_Cost by Plant Acct P8 (REG)'!B141</f>
        <v>906444.57</v>
      </c>
      <c r="C40" s="89"/>
      <c r="D40" s="14">
        <f>'KY_Cost by Plant Acct P8 (REG)'!D40+'KY_Cost by Plant Acct P8 (REG)'!D141</f>
        <v>0</v>
      </c>
      <c r="E40" s="89"/>
      <c r="F40" s="14">
        <f>'KY_Cost by Plant Acct P8 (REG)'!F40+'KY_Cost by Plant Acct P8 (REG)'!F141</f>
        <v>0</v>
      </c>
      <c r="G40" s="89"/>
      <c r="H40" s="14">
        <f>'KY_Cost by Plant Acct P8 (REG)'!H40+'KY_Cost by Plant Acct P8 (REG)'!H141</f>
        <v>0</v>
      </c>
      <c r="I40" s="89"/>
      <c r="J40" s="14">
        <f t="shared" si="5"/>
        <v>0</v>
      </c>
      <c r="K40" s="89"/>
      <c r="L40" s="14">
        <f t="shared" si="3"/>
        <v>906444.57</v>
      </c>
      <c r="N40" s="15">
        <f>'KY_Res by Plant Acct P16(REG)'!R73</f>
        <v>-418879.70000000007</v>
      </c>
      <c r="P40" s="15">
        <f t="shared" si="4"/>
        <v>487564.86999999988</v>
      </c>
    </row>
    <row r="41" spans="1:16" x14ac:dyDescent="0.2">
      <c r="A41" s="3" t="s">
        <v>174</v>
      </c>
      <c r="B41" s="14">
        <f>'KY_Cost by Plant Acct P8 (REG)'!B41+'KY_Cost by Plant Acct P8 (REG)'!B142</f>
        <v>12193401.359999999</v>
      </c>
      <c r="C41" s="89"/>
      <c r="D41" s="14">
        <f>'KY_Cost by Plant Acct P8 (REG)'!D41+'KY_Cost by Plant Acct P8 (REG)'!D142</f>
        <v>906599.19000000006</v>
      </c>
      <c r="E41" s="89"/>
      <c r="F41" s="14">
        <f>'KY_Cost by Plant Acct P8 (REG)'!F41</f>
        <v>-273451.17</v>
      </c>
      <c r="G41" s="89"/>
      <c r="H41" s="14">
        <f>'KY_Cost by Plant Acct P8 (REG)'!H41+'KY_Cost by Plant Acct P8 (REG)'!H142</f>
        <v>0</v>
      </c>
      <c r="I41" s="89"/>
      <c r="J41" s="14">
        <f t="shared" si="5"/>
        <v>633148.02</v>
      </c>
      <c r="K41" s="89"/>
      <c r="L41" s="14">
        <f t="shared" si="3"/>
        <v>12826549.379999999</v>
      </c>
      <c r="N41" s="15">
        <f>'KY_Res by Plant Acct P16(REG)'!R74</f>
        <v>-4090674.7199999997</v>
      </c>
      <c r="P41" s="15">
        <f t="shared" si="4"/>
        <v>8735874.6600000001</v>
      </c>
    </row>
    <row r="42" spans="1:16" x14ac:dyDescent="0.2">
      <c r="A42" s="3" t="s">
        <v>175</v>
      </c>
      <c r="B42" s="14">
        <f>'KY_Cost by Plant Acct P8 (REG)'!B42</f>
        <v>0</v>
      </c>
      <c r="C42" s="89"/>
      <c r="D42" s="14">
        <f>'KY_Cost by Plant Acct P8 (REG)'!D42</f>
        <v>0</v>
      </c>
      <c r="E42" s="89"/>
      <c r="F42" s="14">
        <f>'KY_Cost by Plant Acct P8 (REG)'!F42</f>
        <v>0</v>
      </c>
      <c r="G42" s="89"/>
      <c r="H42" s="14">
        <f>'KY_Cost by Plant Acct P8 (REG)'!H42</f>
        <v>0</v>
      </c>
      <c r="I42" s="89"/>
      <c r="J42" s="14">
        <f t="shared" si="5"/>
        <v>0</v>
      </c>
      <c r="K42" s="89"/>
      <c r="L42" s="14">
        <f t="shared" si="3"/>
        <v>0</v>
      </c>
      <c r="N42" s="15">
        <f>'KY_Res by Plant Acct P16(REG)'!R75</f>
        <v>-4.6566128730773926E-10</v>
      </c>
      <c r="P42" s="15">
        <f t="shared" si="4"/>
        <v>-4.6566128730773926E-10</v>
      </c>
    </row>
    <row r="43" spans="1:16" x14ac:dyDescent="0.2">
      <c r="A43" s="3" t="s">
        <v>3639</v>
      </c>
      <c r="B43" s="14">
        <f>'KY_Cost by Plant Acct P8 (REG)'!B43+'KY_Cost by Plant Acct P8 (REG)'!B143</f>
        <v>2136115.2600000002</v>
      </c>
      <c r="C43" s="89"/>
      <c r="D43" s="14">
        <f>'KY_Cost by Plant Acct P8 (REG)'!D43+'KY_Cost by Plant Acct P8 (REG)'!D143</f>
        <v>1039623.2999999999</v>
      </c>
      <c r="E43" s="89"/>
      <c r="F43" s="14">
        <f>'KY_Cost by Plant Acct P8 (REG)'!F43</f>
        <v>0</v>
      </c>
      <c r="G43" s="89"/>
      <c r="H43" s="14">
        <f>'KY_Cost by Plant Acct P8 (REG)'!H43+'KY_Cost by Plant Acct P8 (REG)'!H143</f>
        <v>0</v>
      </c>
      <c r="I43" s="89"/>
      <c r="J43" s="14">
        <f t="shared" si="5"/>
        <v>1039623.2999999999</v>
      </c>
      <c r="K43" s="89"/>
      <c r="L43" s="14">
        <f t="shared" si="3"/>
        <v>3175738.56</v>
      </c>
      <c r="N43" s="15">
        <f>'KY_Res by Plant Acct P16(REG)'!R76</f>
        <v>-1018773.1000000001</v>
      </c>
      <c r="P43" s="15">
        <f t="shared" si="4"/>
        <v>2156965.46</v>
      </c>
    </row>
    <row r="44" spans="1:16" x14ac:dyDescent="0.2">
      <c r="A44" s="3" t="s">
        <v>3640</v>
      </c>
      <c r="B44" s="14">
        <f>'KY_Cost by Plant Acct P8 (REG)'!B44+'KY_Cost by Plant Acct P8 (REG)'!B144</f>
        <v>29113822.669999998</v>
      </c>
      <c r="C44" s="89"/>
      <c r="D44" s="14">
        <f>'KY_Cost by Plant Acct P8 (REG)'!D44+'KY_Cost by Plant Acct P8 (REG)'!D144</f>
        <v>287268.35000000009</v>
      </c>
      <c r="E44" s="89"/>
      <c r="F44" s="14">
        <f>'KY_Cost by Plant Acct P8 (REG)'!F44</f>
        <v>-1916.55</v>
      </c>
      <c r="G44" s="89"/>
      <c r="H44" s="14">
        <f>'KY_Cost by Plant Acct P8 (REG)'!H44+'KY_Cost by Plant Acct P8 (REG)'!H144</f>
        <v>0</v>
      </c>
      <c r="I44" s="89"/>
      <c r="J44" s="14">
        <f t="shared" si="5"/>
        <v>285351.8000000001</v>
      </c>
      <c r="K44" s="89"/>
      <c r="L44" s="14">
        <f t="shared" si="3"/>
        <v>29399174.469999999</v>
      </c>
      <c r="N44" s="15">
        <f>'KY_Res by Plant Acct P16(REG)'!R77</f>
        <v>-11052734.040000001</v>
      </c>
      <c r="P44" s="15">
        <f t="shared" si="4"/>
        <v>18346440.43</v>
      </c>
    </row>
    <row r="45" spans="1:16" x14ac:dyDescent="0.2">
      <c r="A45" s="3" t="s">
        <v>3641</v>
      </c>
      <c r="B45" s="14">
        <f>'KY_Cost by Plant Acct P8 (REG)'!B45+'KY_Cost by Plant Acct P8 (REG)'!B145</f>
        <v>18688221.670000006</v>
      </c>
      <c r="C45" s="89"/>
      <c r="D45" s="14">
        <f>'KY_Cost by Plant Acct P8 (REG)'!D45+'KY_Cost by Plant Acct P8 (REG)'!D145</f>
        <v>201842.26</v>
      </c>
      <c r="E45" s="89"/>
      <c r="F45" s="14">
        <f>'KY_Cost by Plant Acct P8 (REG)'!F45</f>
        <v>0</v>
      </c>
      <c r="G45" s="89"/>
      <c r="H45" s="14">
        <f>'KY_Cost by Plant Acct P8 (REG)'!H45+'KY_Cost by Plant Acct P8 (REG)'!H145</f>
        <v>0</v>
      </c>
      <c r="I45" s="89"/>
      <c r="J45" s="14">
        <f t="shared" si="5"/>
        <v>201842.26</v>
      </c>
      <c r="K45" s="89"/>
      <c r="L45" s="14">
        <f t="shared" si="3"/>
        <v>18890063.930000007</v>
      </c>
      <c r="N45" s="15">
        <f>'KY_Res by Plant Acct P16(REG)'!R78</f>
        <v>-8778672.3800000008</v>
      </c>
      <c r="P45" s="15">
        <f t="shared" si="4"/>
        <v>10111391.550000006</v>
      </c>
    </row>
    <row r="46" spans="1:16" x14ac:dyDescent="0.2">
      <c r="A46" s="3" t="s">
        <v>179</v>
      </c>
      <c r="B46" s="14">
        <f>'KY_Cost by Plant Acct P8 (REG)'!B46+'KY_Cost by Plant Acct P8 (REG)'!B146</f>
        <v>6851712.21</v>
      </c>
      <c r="C46" s="89"/>
      <c r="D46" s="14">
        <f>'KY_Cost by Plant Acct P8 (REG)'!D46+'KY_Cost by Plant Acct P8 (REG)'!D146</f>
        <v>733114.8</v>
      </c>
      <c r="E46" s="89"/>
      <c r="F46" s="14">
        <f>'KY_Cost by Plant Acct P8 (REG)'!F46</f>
        <v>0</v>
      </c>
      <c r="G46" s="89"/>
      <c r="H46" s="14">
        <f>'KY_Cost by Plant Acct P8 (REG)'!H46+'KY_Cost by Plant Acct P8 (REG)'!H146</f>
        <v>0</v>
      </c>
      <c r="I46" s="89"/>
      <c r="J46" s="14">
        <f t="shared" si="5"/>
        <v>733114.8</v>
      </c>
      <c r="K46" s="89"/>
      <c r="L46" s="14">
        <f t="shared" si="3"/>
        <v>7584827.0099999998</v>
      </c>
      <c r="N46" s="15">
        <f>'KY_Res by Plant Acct P16(REG)'!R79</f>
        <v>-1585434.0499999998</v>
      </c>
      <c r="P46" s="15">
        <f t="shared" si="4"/>
        <v>5999392.96</v>
      </c>
    </row>
    <row r="47" spans="1:16" x14ac:dyDescent="0.2">
      <c r="A47" s="3" t="s">
        <v>180</v>
      </c>
      <c r="B47" s="16">
        <f>'KY_Cost by Plant Acct P8 (REG)'!B47</f>
        <v>0</v>
      </c>
      <c r="C47" s="90"/>
      <c r="D47" s="16">
        <f>'KY_Cost by Plant Acct P8 (REG)'!D47</f>
        <v>0</v>
      </c>
      <c r="E47" s="90"/>
      <c r="F47" s="16">
        <f>'KY_Cost by Plant Acct P8 (REG)'!F47</f>
        <v>0</v>
      </c>
      <c r="G47" s="90"/>
      <c r="H47" s="16">
        <f>'KY_Cost by Plant Acct P8 (REG)'!H47</f>
        <v>0</v>
      </c>
      <c r="I47" s="90"/>
      <c r="J47" s="16">
        <f t="shared" si="5"/>
        <v>0</v>
      </c>
      <c r="K47" s="90"/>
      <c r="L47" s="16">
        <f t="shared" si="3"/>
        <v>0</v>
      </c>
      <c r="N47" s="91">
        <f>'KY_Res by Plant Acct P16(REG)'!R80</f>
        <v>3.0850044741015381E-11</v>
      </c>
      <c r="P47" s="91">
        <f t="shared" si="4"/>
        <v>3.0850044741015381E-11</v>
      </c>
    </row>
    <row r="48" spans="1:16" x14ac:dyDescent="0.2">
      <c r="B48" s="17">
        <f>SUM(B31:B47)</f>
        <v>179679733.41000003</v>
      </c>
      <c r="C48" s="90"/>
      <c r="D48" s="17">
        <f>SUM(D31:D47)</f>
        <v>9424489.6100000013</v>
      </c>
      <c r="E48" s="90"/>
      <c r="F48" s="17">
        <f>SUM(F31:F47)</f>
        <v>-5738352.7400000002</v>
      </c>
      <c r="G48" s="90"/>
      <c r="H48" s="17">
        <f>SUM(H31:H47)</f>
        <v>-131956.31</v>
      </c>
      <c r="I48" s="90"/>
      <c r="J48" s="17">
        <f>SUM(J31:J47)</f>
        <v>3554180.5600000005</v>
      </c>
      <c r="K48" s="90"/>
      <c r="L48" s="17">
        <f>SUM(L31:L47)</f>
        <v>183233913.96999997</v>
      </c>
      <c r="N48" s="17">
        <f>SUM(N31:N47)</f>
        <v>-65147290.170000002</v>
      </c>
      <c r="P48" s="17">
        <f>SUM(P31:P47)</f>
        <v>118086623.8</v>
      </c>
    </row>
    <row r="49" spans="1:16" x14ac:dyDescent="0.2">
      <c r="B49" s="17"/>
      <c r="C49" s="90"/>
      <c r="D49" s="17"/>
      <c r="E49" s="90"/>
      <c r="F49" s="17"/>
      <c r="G49" s="90"/>
      <c r="H49" s="17"/>
      <c r="I49" s="90"/>
      <c r="J49" s="17"/>
      <c r="K49" s="90"/>
      <c r="L49" s="17"/>
    </row>
    <row r="50" spans="1:16" x14ac:dyDescent="0.2">
      <c r="A50" s="12" t="s">
        <v>14</v>
      </c>
      <c r="B50" s="17"/>
      <c r="C50" s="90"/>
      <c r="D50" s="17"/>
      <c r="E50" s="90"/>
      <c r="F50" s="17"/>
      <c r="G50" s="90"/>
      <c r="H50" s="17"/>
      <c r="I50" s="90"/>
      <c r="J50" s="17"/>
      <c r="K50" s="90"/>
      <c r="L50" s="17"/>
    </row>
    <row r="51" spans="1:16" x14ac:dyDescent="0.2">
      <c r="A51" s="43" t="s">
        <v>182</v>
      </c>
      <c r="B51" s="17">
        <f>'KY_Cost by Plant Acct P8 (REG)'!B51</f>
        <v>879311.47</v>
      </c>
      <c r="C51" s="90"/>
      <c r="D51" s="17">
        <f>'KY_Cost by Plant Acct P8 (REG)'!D51</f>
        <v>0</v>
      </c>
      <c r="E51" s="90"/>
      <c r="F51" s="17">
        <f>'KY_Cost by Plant Acct P8 (REG)'!F51</f>
        <v>-23675</v>
      </c>
      <c r="G51" s="90"/>
      <c r="H51" s="17">
        <f>'KY_Cost by Plant Acct P8 (REG)'!H51</f>
        <v>0</v>
      </c>
      <c r="I51" s="90"/>
      <c r="J51" s="17">
        <f t="shared" ref="J51:J58" si="6">H51+F51+D51</f>
        <v>-23675</v>
      </c>
      <c r="K51" s="90"/>
      <c r="L51" s="17">
        <f t="shared" ref="L51:L58" si="7">J51+B51</f>
        <v>855636.47</v>
      </c>
      <c r="N51" s="15">
        <f>'KY_Res by Plant Acct P16(REG)'!R84</f>
        <v>-912332.6</v>
      </c>
      <c r="P51" s="15">
        <f t="shared" ref="P51:P58" si="8">L51+N51</f>
        <v>-56696.130000000005</v>
      </c>
    </row>
    <row r="52" spans="1:16" x14ac:dyDescent="0.2">
      <c r="A52" s="3" t="s">
        <v>183</v>
      </c>
      <c r="B52" s="17">
        <f>'KY_Cost by Plant Acct P8 (REG)'!B52+'KY_Cost by Plant Acct P8 (REG)'!B150</f>
        <v>2999390.54</v>
      </c>
      <c r="C52" s="90"/>
      <c r="D52" s="17">
        <f>'KY_Cost by Plant Acct P8 (REG)'!D52+'KY_Cost by Plant Acct P8 (REG)'!D150</f>
        <v>0</v>
      </c>
      <c r="E52" s="90"/>
      <c r="F52" s="17">
        <f>'KY_Cost by Plant Acct P8 (REG)'!F52</f>
        <v>0</v>
      </c>
      <c r="G52" s="90"/>
      <c r="H52" s="17">
        <f>'KY_Cost by Plant Acct P8 (REG)'!H52+'KY_Cost by Plant Acct P8 (REG)'!H150</f>
        <v>0</v>
      </c>
      <c r="I52" s="90"/>
      <c r="J52" s="17">
        <f t="shared" si="6"/>
        <v>0</v>
      </c>
      <c r="K52" s="90"/>
      <c r="L52" s="17">
        <f t="shared" si="7"/>
        <v>2999390.54</v>
      </c>
      <c r="N52" s="15">
        <f>'KY_Res by Plant Acct P16(REG)'!R85</f>
        <v>-422367.01</v>
      </c>
      <c r="P52" s="15">
        <f t="shared" si="8"/>
        <v>2577023.5300000003</v>
      </c>
    </row>
    <row r="53" spans="1:16" x14ac:dyDescent="0.2">
      <c r="A53" s="3" t="s">
        <v>184</v>
      </c>
      <c r="B53" s="17">
        <f>'KY_Cost by Plant Acct P8 (REG)'!B53+'KY_Cost by Plant Acct P8 (REG)'!B151</f>
        <v>21885646.370000001</v>
      </c>
      <c r="C53" s="90"/>
      <c r="D53" s="17">
        <f>'KY_Cost by Plant Acct P8 (REG)'!D53+'KY_Cost by Plant Acct P8 (REG)'!D151</f>
        <v>0</v>
      </c>
      <c r="E53" s="90"/>
      <c r="F53" s="17">
        <f>'KY_Cost by Plant Acct P8 (REG)'!F53</f>
        <v>0</v>
      </c>
      <c r="G53" s="90"/>
      <c r="H53" s="17">
        <f>'KY_Cost by Plant Acct P8 (REG)'!H53+'KY_Cost by Plant Acct P8 (REG)'!H151</f>
        <v>0</v>
      </c>
      <c r="I53" s="90"/>
      <c r="J53" s="17">
        <f t="shared" si="6"/>
        <v>0</v>
      </c>
      <c r="K53" s="90"/>
      <c r="L53" s="17">
        <f t="shared" si="7"/>
        <v>21885646.370000001</v>
      </c>
      <c r="N53" s="15">
        <f>'KY_Res by Plant Acct P16(REG)'!R86</f>
        <v>-9316374.0499999989</v>
      </c>
      <c r="P53" s="15">
        <f t="shared" si="8"/>
        <v>12569272.320000002</v>
      </c>
    </row>
    <row r="54" spans="1:16" x14ac:dyDescent="0.2">
      <c r="A54" s="3" t="s">
        <v>185</v>
      </c>
      <c r="B54" s="17">
        <f>'KY_Cost by Plant Acct P8 (REG)'!B54+'KY_Cost by Plant Acct P8 (REG)'!B152</f>
        <v>14046741.58</v>
      </c>
      <c r="C54" s="90"/>
      <c r="D54" s="17">
        <f>'KY_Cost by Plant Acct P8 (REG)'!D54+'KY_Cost by Plant Acct P8 (REG)'!D152</f>
        <v>0</v>
      </c>
      <c r="E54" s="90"/>
      <c r="F54" s="17">
        <f>'KY_Cost by Plant Acct P8 (REG)'!F54</f>
        <v>0</v>
      </c>
      <c r="G54" s="90"/>
      <c r="H54" s="17">
        <f>'KY_Cost by Plant Acct P8 (REG)'!H54+'KY_Cost by Plant Acct P8 (REG)'!H152</f>
        <v>0</v>
      </c>
      <c r="I54" s="90"/>
      <c r="J54" s="17">
        <f t="shared" si="6"/>
        <v>0</v>
      </c>
      <c r="K54" s="90"/>
      <c r="L54" s="17">
        <f t="shared" si="7"/>
        <v>14046741.58</v>
      </c>
      <c r="N54" s="15">
        <f>'KY_Res by Plant Acct P16(REG)'!R87</f>
        <v>-1847208.1500000001</v>
      </c>
      <c r="P54" s="15">
        <f t="shared" si="8"/>
        <v>12199533.43</v>
      </c>
    </row>
    <row r="55" spans="1:16" x14ac:dyDescent="0.2">
      <c r="A55" s="3" t="s">
        <v>186</v>
      </c>
      <c r="B55" s="17">
        <f>'KY_Cost by Plant Acct P8 (REG)'!B153+'KY_Cost by Plant Acct P8 (REG)'!B55</f>
        <v>1362584.79</v>
      </c>
      <c r="C55" s="90"/>
      <c r="D55" s="17">
        <f>'KY_Cost by Plant Acct P8 (REG)'!D153+'KY_Cost by Plant Acct P8 (REG)'!D55</f>
        <v>19285.88</v>
      </c>
      <c r="E55" s="90"/>
      <c r="F55" s="17">
        <f>'KY_Cost by Plant Acct P8 (REG)'!F55</f>
        <v>0</v>
      </c>
      <c r="G55" s="90"/>
      <c r="H55" s="17">
        <f>'KY_Cost by Plant Acct P8 (REG)'!H153+'KY_Cost by Plant Acct P8 (REG)'!H55</f>
        <v>0</v>
      </c>
      <c r="I55" s="90"/>
      <c r="J55" s="17">
        <f t="shared" si="6"/>
        <v>19285.88</v>
      </c>
      <c r="K55" s="90"/>
      <c r="L55" s="17">
        <f t="shared" si="7"/>
        <v>1381870.67</v>
      </c>
      <c r="N55" s="15">
        <f>'KY_Res by Plant Acct P16(REG)'!R88</f>
        <v>-318309.33</v>
      </c>
      <c r="P55" s="15">
        <f t="shared" si="8"/>
        <v>1063561.3399999999</v>
      </c>
    </row>
    <row r="56" spans="1:16" x14ac:dyDescent="0.2">
      <c r="A56" s="3" t="s">
        <v>187</v>
      </c>
      <c r="B56" s="17">
        <f>'KY_Cost by Plant Acct P8 (REG)'!B56+'KY_Cost by Plant Acct P8 (REG)'!B154</f>
        <v>316946.74</v>
      </c>
      <c r="C56" s="90"/>
      <c r="D56" s="17">
        <f>'KY_Cost by Plant Acct P8 (REG)'!D56+'KY_Cost by Plant Acct P8 (REG)'!D154</f>
        <v>12427.44</v>
      </c>
      <c r="E56" s="90"/>
      <c r="F56" s="17">
        <f>'KY_Cost by Plant Acct P8 (REG)'!F56</f>
        <v>0</v>
      </c>
      <c r="G56" s="90"/>
      <c r="H56" s="17">
        <f>'KY_Cost by Plant Acct P8 (REG)'!H56+'KY_Cost by Plant Acct P8 (REG)'!H154</f>
        <v>0</v>
      </c>
      <c r="I56" s="90"/>
      <c r="J56" s="17">
        <f t="shared" si="6"/>
        <v>12427.44</v>
      </c>
      <c r="K56" s="90"/>
      <c r="L56" s="17">
        <f t="shared" si="7"/>
        <v>329374.18</v>
      </c>
      <c r="N56" s="15">
        <f>'KY_Res by Plant Acct P16(REG)'!R89</f>
        <v>-143553.80999999997</v>
      </c>
      <c r="P56" s="15">
        <f t="shared" si="8"/>
        <v>185820.37000000002</v>
      </c>
    </row>
    <row r="57" spans="1:16" x14ac:dyDescent="0.2">
      <c r="A57" s="3" t="s">
        <v>188</v>
      </c>
      <c r="B57" s="17">
        <f>'KY_Cost by Plant Acct P8 (REG)'!B57+'KY_Cost by Plant Acct P8 (REG)'!B155</f>
        <v>234509.12999999998</v>
      </c>
      <c r="C57" s="90"/>
      <c r="D57" s="17">
        <f>'KY_Cost by Plant Acct P8 (REG)'!D57+'KY_Cost by Plant Acct P8 (REG)'!D155</f>
        <v>0</v>
      </c>
      <c r="E57" s="90"/>
      <c r="F57" s="17">
        <f>'KY_Cost by Plant Acct P8 (REG)'!F57</f>
        <v>0</v>
      </c>
      <c r="G57" s="90"/>
      <c r="H57" s="17">
        <f>'KY_Cost by Plant Acct P8 (REG)'!H57+'KY_Cost by Plant Acct P8 (REG)'!H155</f>
        <v>0</v>
      </c>
      <c r="I57" s="90"/>
      <c r="J57" s="17">
        <f t="shared" si="6"/>
        <v>0</v>
      </c>
      <c r="K57" s="90"/>
      <c r="L57" s="17">
        <f t="shared" si="7"/>
        <v>234509.12999999998</v>
      </c>
      <c r="N57" s="15">
        <f>'KY_Res by Plant Acct P16(REG)'!R90</f>
        <v>-88014.799999999988</v>
      </c>
      <c r="P57" s="15">
        <f t="shared" si="8"/>
        <v>146494.32999999999</v>
      </c>
    </row>
    <row r="58" spans="1:16" x14ac:dyDescent="0.2">
      <c r="A58" s="3" t="s">
        <v>189</v>
      </c>
      <c r="B58" s="16">
        <f>'KY_Cost by Plant Acct P8 (REG)'!B58</f>
        <v>645787.99</v>
      </c>
      <c r="C58" s="90"/>
      <c r="D58" s="16">
        <f>'KY_Cost by Plant Acct P8 (REG)'!D58</f>
        <v>0</v>
      </c>
      <c r="E58" s="90"/>
      <c r="F58" s="16">
        <f>'KY_Cost by Plant Acct P8 (REG)'!F58</f>
        <v>0</v>
      </c>
      <c r="G58" s="90"/>
      <c r="H58" s="16">
        <f>'KY_Cost by Plant Acct P8 (REG)'!H58</f>
        <v>0</v>
      </c>
      <c r="I58" s="90"/>
      <c r="J58" s="16">
        <f t="shared" si="6"/>
        <v>0</v>
      </c>
      <c r="K58" s="90"/>
      <c r="L58" s="16">
        <f t="shared" si="7"/>
        <v>645787.99</v>
      </c>
      <c r="N58" s="91">
        <f>'KY_Res by Plant Acct P16(REG)'!R91</f>
        <v>-37589.950000000012</v>
      </c>
      <c r="P58" s="91">
        <f t="shared" si="8"/>
        <v>608198.04</v>
      </c>
    </row>
    <row r="59" spans="1:16" x14ac:dyDescent="0.2">
      <c r="B59" s="17">
        <f>SUM(B51:B58)</f>
        <v>42370918.610000007</v>
      </c>
      <c r="C59" s="90"/>
      <c r="D59" s="17">
        <f>SUM(D51:D58)</f>
        <v>31713.32</v>
      </c>
      <c r="E59" s="90"/>
      <c r="F59" s="17">
        <f>SUM(F51:F58)</f>
        <v>-23675</v>
      </c>
      <c r="G59" s="90"/>
      <c r="H59" s="17">
        <f>SUM(H51:H58)</f>
        <v>0</v>
      </c>
      <c r="I59" s="90"/>
      <c r="J59" s="17">
        <f>SUM(J51:J58)</f>
        <v>8038.3200000000015</v>
      </c>
      <c r="K59" s="90"/>
      <c r="L59" s="17">
        <f>SUM(L51:L58)</f>
        <v>42378956.930000007</v>
      </c>
      <c r="N59" s="17">
        <f>SUM(N51:N58)</f>
        <v>-13085749.699999999</v>
      </c>
      <c r="P59" s="17">
        <f>SUM(P51:P58)</f>
        <v>29293207.23</v>
      </c>
    </row>
    <row r="60" spans="1:16" x14ac:dyDescent="0.2">
      <c r="B60" s="17"/>
      <c r="C60" s="90"/>
      <c r="D60" s="17"/>
      <c r="E60" s="90"/>
      <c r="F60" s="17"/>
      <c r="G60" s="90"/>
      <c r="H60" s="17"/>
      <c r="I60" s="90"/>
      <c r="J60" s="17"/>
      <c r="K60" s="90"/>
      <c r="L60" s="17"/>
    </row>
    <row r="61" spans="1:16" x14ac:dyDescent="0.2">
      <c r="A61" s="12" t="s">
        <v>15</v>
      </c>
      <c r="B61" s="17"/>
      <c r="C61" s="90"/>
      <c r="D61" s="17"/>
      <c r="E61" s="90"/>
      <c r="F61" s="17"/>
      <c r="G61" s="90"/>
      <c r="H61" s="17"/>
      <c r="I61" s="90"/>
      <c r="J61" s="17"/>
      <c r="K61" s="90"/>
      <c r="L61" s="17"/>
    </row>
    <row r="62" spans="1:16" x14ac:dyDescent="0.2">
      <c r="A62" s="43" t="s">
        <v>191</v>
      </c>
      <c r="B62" s="17">
        <f>'KY_Cost by Plant Acct P8 (REG)'!B62</f>
        <v>39116.89</v>
      </c>
      <c r="C62" s="90"/>
      <c r="D62" s="17">
        <f>'KY_Cost by Plant Acct P8 (REG)'!D62</f>
        <v>0</v>
      </c>
      <c r="E62" s="90"/>
      <c r="F62" s="17">
        <f>'KY_Cost by Plant Acct P8 (REG)'!F62</f>
        <v>0</v>
      </c>
      <c r="G62" s="90"/>
      <c r="H62" s="17">
        <f>'KY_Cost by Plant Acct P8 (REG)'!H62</f>
        <v>0</v>
      </c>
      <c r="I62" s="90"/>
      <c r="J62" s="17">
        <f>H62+F62+D62</f>
        <v>0</v>
      </c>
      <c r="K62" s="90"/>
      <c r="L62" s="17">
        <f>J62+B62</f>
        <v>39116.89</v>
      </c>
      <c r="N62" s="15">
        <f>'KY_Res by Plant Acct P16(REG)'!R473</f>
        <v>0</v>
      </c>
      <c r="P62" s="15">
        <f>L62+N62</f>
        <v>39116.89</v>
      </c>
    </row>
    <row r="63" spans="1:16" x14ac:dyDescent="0.2">
      <c r="A63" s="3" t="s">
        <v>192</v>
      </c>
      <c r="B63" s="17">
        <f>'KY_Cost by Plant Acct P8 (REG)'!B63</f>
        <v>55918.829999999994</v>
      </c>
      <c r="C63" s="90"/>
      <c r="D63" s="17">
        <f>'KY_Cost by Plant Acct P8 (REG)'!D63</f>
        <v>0</v>
      </c>
      <c r="E63" s="90"/>
      <c r="F63" s="17">
        <f>'KY_Cost by Plant Acct P8 (REG)'!F63</f>
        <v>0</v>
      </c>
      <c r="G63" s="90"/>
      <c r="H63" s="17">
        <f>'KY_Cost by Plant Acct P8 (REG)'!H63</f>
        <v>0</v>
      </c>
      <c r="I63" s="90"/>
      <c r="J63" s="17">
        <f>H63+F63+D63</f>
        <v>0</v>
      </c>
      <c r="K63" s="90"/>
      <c r="L63" s="17">
        <f>J63+B63</f>
        <v>55918.829999999994</v>
      </c>
      <c r="N63" s="15">
        <f>'KY_Res by Plant Acct P16(REG)'!R474+'KY_Res by Plant Acct P16(REG)'!R475</f>
        <v>-69345.47</v>
      </c>
      <c r="P63" s="15">
        <f>L63+N63</f>
        <v>-13426.640000000007</v>
      </c>
    </row>
    <row r="64" spans="1:16" x14ac:dyDescent="0.2">
      <c r="A64" s="3" t="s">
        <v>193</v>
      </c>
      <c r="B64" s="17">
        <f>'KY_Cost by Plant Acct P8 (REG)'!B64+'KY_Cost by Plant Acct P8 (REG)'!B159</f>
        <v>57120555.82</v>
      </c>
      <c r="C64" s="90"/>
      <c r="D64" s="17">
        <f>'KY_Cost by Plant Acct P8 (REG)'!D64+'KY_Cost by Plant Acct P8 (REG)'!D159</f>
        <v>13438017.5</v>
      </c>
      <c r="E64" s="90"/>
      <c r="F64" s="17">
        <f>'KY_Cost by Plant Acct P8 (REG)'!F64</f>
        <v>-7464577.3600000003</v>
      </c>
      <c r="G64" s="90"/>
      <c r="H64" s="17">
        <f>'KY_Cost by Plant Acct P8 (REG)'!H64+'KY_Cost by Plant Acct P8 (REG)'!H159</f>
        <v>0</v>
      </c>
      <c r="I64" s="90"/>
      <c r="J64" s="17">
        <f>H64+F64+D64</f>
        <v>5973440.1399999997</v>
      </c>
      <c r="K64" s="90"/>
      <c r="L64" s="17">
        <f>J64+B64</f>
        <v>63093995.960000001</v>
      </c>
      <c r="N64" s="15">
        <f>'KY_Res by Plant Acct P16(REG)'!R476</f>
        <v>-22964374.25</v>
      </c>
      <c r="P64" s="15">
        <f>L64+N64</f>
        <v>40129621.710000001</v>
      </c>
    </row>
    <row r="65" spans="1:16" x14ac:dyDescent="0.2">
      <c r="A65" s="3" t="s">
        <v>194</v>
      </c>
      <c r="B65" s="16">
        <f>'KY_Cost by Plant Acct P8 (REG)'!B65+'KY_Cost by Plant Acct P8 (REG)'!B160</f>
        <v>41045494.530000001</v>
      </c>
      <c r="C65" s="90"/>
      <c r="D65" s="16">
        <f>'KY_Cost by Plant Acct P8 (REG)'!D65+'KY_Cost by Plant Acct P8 (REG)'!D160</f>
        <v>14448869.460000001</v>
      </c>
      <c r="E65" s="90"/>
      <c r="F65" s="16">
        <f>'KY_Cost by Plant Acct P8 (REG)'!F65</f>
        <v>0</v>
      </c>
      <c r="G65" s="90"/>
      <c r="H65" s="16">
        <f>'KY_Cost by Plant Acct P8 (REG)'!H65+'KY_Cost by Plant Acct P8 (REG)'!H160</f>
        <v>0</v>
      </c>
      <c r="I65" s="90"/>
      <c r="J65" s="16">
        <f>H65+F65+D65</f>
        <v>14448869.460000001</v>
      </c>
      <c r="K65" s="90"/>
      <c r="L65" s="16">
        <f>J65+B65</f>
        <v>55494363.990000002</v>
      </c>
      <c r="N65" s="91">
        <f>'KY_Res by Plant Acct P16(REG)'!R477</f>
        <v>-35670939.509999998</v>
      </c>
      <c r="P65" s="91">
        <f>L65+N65</f>
        <v>19823424.480000004</v>
      </c>
    </row>
    <row r="66" spans="1:16" x14ac:dyDescent="0.2">
      <c r="B66" s="17">
        <f>SUM(B62:B65)</f>
        <v>98261086.069999993</v>
      </c>
      <c r="C66" s="90"/>
      <c r="D66" s="17">
        <f>SUM(D62:D65)</f>
        <v>27886886.960000001</v>
      </c>
      <c r="E66" s="90"/>
      <c r="F66" s="17">
        <f>SUM(F62:F65)</f>
        <v>-7464577.3600000003</v>
      </c>
      <c r="G66" s="90"/>
      <c r="H66" s="17">
        <f>SUM(H62:H65)</f>
        <v>0</v>
      </c>
      <c r="I66" s="90"/>
      <c r="J66" s="17">
        <f>SUM(J62:J65)</f>
        <v>20422309.600000001</v>
      </c>
      <c r="K66" s="90"/>
      <c r="L66" s="17">
        <f>SUM(L62:L65)</f>
        <v>118683395.67</v>
      </c>
      <c r="N66" s="17">
        <f>SUM(N62:N65)</f>
        <v>-58704659.229999997</v>
      </c>
      <c r="P66" s="17">
        <f>SUM(P62:P65)</f>
        <v>59978736.440000005</v>
      </c>
    </row>
    <row r="67" spans="1:16" x14ac:dyDescent="0.2">
      <c r="B67" s="17"/>
      <c r="C67" s="90"/>
      <c r="D67" s="17"/>
      <c r="E67" s="90"/>
      <c r="F67" s="17"/>
      <c r="G67" s="90"/>
      <c r="H67" s="17"/>
      <c r="I67" s="90"/>
      <c r="J67" s="17"/>
      <c r="K67" s="90"/>
      <c r="L67" s="17"/>
    </row>
    <row r="68" spans="1:16" x14ac:dyDescent="0.2">
      <c r="A68" s="12" t="s">
        <v>16</v>
      </c>
      <c r="B68" s="17"/>
      <c r="C68" s="90"/>
      <c r="D68" s="17"/>
      <c r="E68" s="90"/>
      <c r="F68" s="17"/>
      <c r="G68" s="90"/>
      <c r="H68" s="17"/>
      <c r="I68" s="90"/>
      <c r="J68" s="17"/>
      <c r="K68" s="90"/>
      <c r="L68" s="17"/>
    </row>
    <row r="69" spans="1:16" x14ac:dyDescent="0.2">
      <c r="A69" s="3" t="s">
        <v>196</v>
      </c>
      <c r="B69" s="17">
        <f>'KY_Cost by Plant Acct P8 (REG)'!B69</f>
        <v>176409.31</v>
      </c>
      <c r="C69" s="90"/>
      <c r="D69" s="17">
        <f>'KY_Cost by Plant Acct P8 (REG)'!D69</f>
        <v>0</v>
      </c>
      <c r="E69" s="90"/>
      <c r="F69" s="17">
        <f>'KY_Cost by Plant Acct P8 (REG)'!F69</f>
        <v>0</v>
      </c>
      <c r="G69" s="90"/>
      <c r="H69" s="17">
        <f>'KY_Cost by Plant Acct P8 (REG)'!H69</f>
        <v>0</v>
      </c>
      <c r="I69" s="90"/>
      <c r="J69" s="17">
        <f t="shared" ref="J69:J79" si="9">H69+F69+D69</f>
        <v>0</v>
      </c>
      <c r="K69" s="90"/>
      <c r="L69" s="17">
        <f t="shared" ref="L69:L79" si="10">J69+B69</f>
        <v>176409.31</v>
      </c>
      <c r="N69" s="15">
        <f>'KY_Res by Plant Acct P16(REG)'!R95</f>
        <v>-124391.50000000003</v>
      </c>
      <c r="P69" s="15">
        <f t="shared" ref="P69:P79" si="11">L69+N69</f>
        <v>52017.809999999969</v>
      </c>
    </row>
    <row r="70" spans="1:16" x14ac:dyDescent="0.2">
      <c r="A70" s="3" t="s">
        <v>197</v>
      </c>
      <c r="B70" s="17">
        <f>'KY_Cost by Plant Acct P8 (REG)'!B70</f>
        <v>297169.20999999996</v>
      </c>
      <c r="C70" s="90"/>
      <c r="D70" s="17">
        <f>'KY_Cost by Plant Acct P8 (REG)'!D70</f>
        <v>0</v>
      </c>
      <c r="E70" s="90"/>
      <c r="F70" s="17">
        <f>'KY_Cost by Plant Acct P8 (REG)'!F70</f>
        <v>0</v>
      </c>
      <c r="G70" s="90"/>
      <c r="H70" s="17">
        <f>'KY_Cost by Plant Acct P8 (REG)'!H70</f>
        <v>0</v>
      </c>
      <c r="I70" s="90"/>
      <c r="J70" s="17">
        <f t="shared" si="9"/>
        <v>0</v>
      </c>
      <c r="K70" s="90"/>
      <c r="L70" s="17">
        <f t="shared" si="10"/>
        <v>297169.20999999996</v>
      </c>
      <c r="N70" s="15">
        <f>'KY_Res by Plant Acct P16(REG)'!R96+'KY_Res by Plant Acct P16(REG)'!R98</f>
        <v>0</v>
      </c>
      <c r="P70" s="15">
        <f t="shared" si="11"/>
        <v>297169.20999999996</v>
      </c>
    </row>
    <row r="71" spans="1:16" x14ac:dyDescent="0.2">
      <c r="A71" s="3" t="s">
        <v>198</v>
      </c>
      <c r="B71" s="17">
        <f>'KY_Cost by Plant Acct P8 (REG)'!B71+'KY_Cost by Plant Acct P8 (REG)'!B164</f>
        <v>85079274.650000006</v>
      </c>
      <c r="C71" s="90"/>
      <c r="D71" s="17">
        <f>'KY_Cost by Plant Acct P8 (REG)'!D71+'KY_Cost by Plant Acct P8 (REG)'!D164</f>
        <v>628134.87999999989</v>
      </c>
      <c r="E71" s="90"/>
      <c r="F71" s="17">
        <f>'KY_Cost by Plant Acct P8 (REG)'!F71</f>
        <v>0</v>
      </c>
      <c r="G71" s="90"/>
      <c r="H71" s="17">
        <f>'KY_Cost by Plant Acct P8 (REG)'!H71+'KY_Cost by Plant Acct P8 (REG)'!H164</f>
        <v>0</v>
      </c>
      <c r="I71" s="90"/>
      <c r="J71" s="17">
        <f t="shared" si="9"/>
        <v>628134.87999999989</v>
      </c>
      <c r="K71" s="90"/>
      <c r="L71" s="17">
        <f t="shared" si="10"/>
        <v>85707409.530000001</v>
      </c>
      <c r="N71" s="15">
        <f>'KY_Res by Plant Acct P16(REG)'!R116</f>
        <v>-23690185</v>
      </c>
      <c r="P71" s="15">
        <f t="shared" si="11"/>
        <v>62017224.530000001</v>
      </c>
    </row>
    <row r="72" spans="1:16" x14ac:dyDescent="0.2">
      <c r="A72" s="3" t="s">
        <v>199</v>
      </c>
      <c r="B72" s="17">
        <f>'KY_Cost by Plant Acct P8 (REG)'!B72+'KY_Cost by Plant Acct P8 (REG)'!B165</f>
        <v>61764003.560000002</v>
      </c>
      <c r="C72" s="90"/>
      <c r="D72" s="17">
        <f>'KY_Cost by Plant Acct P8 (REG)'!D72+'KY_Cost by Plant Acct P8 (REG)'!D165</f>
        <v>841768.13999999966</v>
      </c>
      <c r="E72" s="90"/>
      <c r="F72" s="17">
        <f>'KY_Cost by Plant Acct P8 (REG)'!F72</f>
        <v>-19123.07</v>
      </c>
      <c r="G72" s="90"/>
      <c r="H72" s="17">
        <f>'KY_Cost by Plant Acct P8 (REG)'!H72+'KY_Cost by Plant Acct P8 (REG)'!H165</f>
        <v>0</v>
      </c>
      <c r="I72" s="90"/>
      <c r="J72" s="17">
        <f t="shared" si="9"/>
        <v>822645.06999999972</v>
      </c>
      <c r="K72" s="90"/>
      <c r="L72" s="17">
        <f t="shared" si="10"/>
        <v>62586648.630000003</v>
      </c>
      <c r="N72" s="15">
        <f>'KY_Res by Plant Acct P16(REG)'!R137</f>
        <v>-19172639.539999995</v>
      </c>
      <c r="P72" s="15">
        <f t="shared" si="11"/>
        <v>43414009.090000004</v>
      </c>
    </row>
    <row r="73" spans="1:16" x14ac:dyDescent="0.2">
      <c r="A73" s="3" t="s">
        <v>200</v>
      </c>
      <c r="B73" s="17">
        <f>'KY_Cost by Plant Acct P8 (REG)'!B73</f>
        <v>0</v>
      </c>
      <c r="C73" s="90"/>
      <c r="D73" s="17">
        <f>'KY_Cost by Plant Acct P8 (REG)'!D73</f>
        <v>0</v>
      </c>
      <c r="E73" s="90"/>
      <c r="F73" s="17">
        <f>'KY_Cost by Plant Acct P8 (REG)'!F73</f>
        <v>0</v>
      </c>
      <c r="G73" s="90"/>
      <c r="H73" s="17">
        <f>'KY_Cost by Plant Acct P8 (REG)'!H73</f>
        <v>0</v>
      </c>
      <c r="I73" s="90"/>
      <c r="J73" s="17">
        <f t="shared" si="9"/>
        <v>0</v>
      </c>
      <c r="K73" s="90"/>
      <c r="L73" s="17">
        <f t="shared" si="10"/>
        <v>0</v>
      </c>
      <c r="N73" s="15">
        <f>'KY_Res by Plant Acct P16(REG)'!R138</f>
        <v>2.9103830456733704E-11</v>
      </c>
      <c r="P73" s="15">
        <f t="shared" si="11"/>
        <v>2.9103830456733704E-11</v>
      </c>
    </row>
    <row r="74" spans="1:16" x14ac:dyDescent="0.2">
      <c r="A74" s="3" t="s">
        <v>201</v>
      </c>
      <c r="B74" s="17">
        <f>'KY_Cost by Plant Acct P8 (REG)'!B74+'KY_Cost by Plant Acct P8 (REG)'!B166</f>
        <v>642925882.17999995</v>
      </c>
      <c r="C74" s="90"/>
      <c r="D74" s="17">
        <f>'KY_Cost by Plant Acct P8 (REG)'!D74+'KY_Cost by Plant Acct P8 (REG)'!D166</f>
        <v>17619755.280000001</v>
      </c>
      <c r="E74" s="90"/>
      <c r="F74" s="17">
        <f>'KY_Cost by Plant Acct P8 (REG)'!F74</f>
        <v>-2558079.84</v>
      </c>
      <c r="G74" s="90"/>
      <c r="H74" s="17">
        <f>'KY_Cost by Plant Acct P8 (REG)'!H74+'KY_Cost by Plant Acct P8 (REG)'!H166</f>
        <v>0</v>
      </c>
      <c r="I74" s="90"/>
      <c r="J74" s="17">
        <f t="shared" si="9"/>
        <v>15061675.440000001</v>
      </c>
      <c r="K74" s="90"/>
      <c r="L74" s="17">
        <f t="shared" si="10"/>
        <v>657987557.62</v>
      </c>
      <c r="N74" s="15">
        <f>'KY_Res by Plant Acct P16(REG)'!R154</f>
        <v>-203304880.42000002</v>
      </c>
      <c r="P74" s="15">
        <f t="shared" si="11"/>
        <v>454682677.19999999</v>
      </c>
    </row>
    <row r="75" spans="1:16" x14ac:dyDescent="0.2">
      <c r="A75" s="3" t="s">
        <v>202</v>
      </c>
      <c r="B75" s="17">
        <f>'KY_Cost by Plant Acct P8 (REG)'!B75+'KY_Cost by Plant Acct P8 (REG)'!B167</f>
        <v>131097891.25999999</v>
      </c>
      <c r="C75" s="90"/>
      <c r="D75" s="17">
        <f>'KY_Cost by Plant Acct P8 (REG)'!D75+'KY_Cost by Plant Acct P8 (REG)'!D167</f>
        <v>949312.88999999873</v>
      </c>
      <c r="E75" s="90"/>
      <c r="F75" s="17">
        <f>'KY_Cost by Plant Acct P8 (REG)'!F75</f>
        <v>-475999.11</v>
      </c>
      <c r="G75" s="90"/>
      <c r="H75" s="17">
        <f>'KY_Cost by Plant Acct P8 (REG)'!H75+'KY_Cost by Plant Acct P8 (REG)'!H167</f>
        <v>0</v>
      </c>
      <c r="I75" s="90"/>
      <c r="J75" s="17">
        <f t="shared" si="9"/>
        <v>473313.77999999875</v>
      </c>
      <c r="K75" s="90"/>
      <c r="L75" s="17">
        <f t="shared" si="10"/>
        <v>131571205.03999999</v>
      </c>
      <c r="N75" s="15">
        <f>'KY_Res by Plant Acct P16(REG)'!R172</f>
        <v>-41275003.359999999</v>
      </c>
      <c r="P75" s="15">
        <f t="shared" si="11"/>
        <v>90296201.679999992</v>
      </c>
    </row>
    <row r="76" spans="1:16" x14ac:dyDescent="0.2">
      <c r="A76" s="3" t="s">
        <v>203</v>
      </c>
      <c r="B76" s="17">
        <f>'KY_Cost by Plant Acct P8 (REG)'!B76+'KY_Cost by Plant Acct P8 (REG)'!B168</f>
        <v>66335265.969999991</v>
      </c>
      <c r="C76" s="90"/>
      <c r="D76" s="17">
        <f>'KY_Cost by Plant Acct P8 (REG)'!D76+'KY_Cost by Plant Acct P8 (REG)'!D168</f>
        <v>12270403.630000001</v>
      </c>
      <c r="E76" s="90"/>
      <c r="F76" s="17">
        <f>'KY_Cost by Plant Acct P8 (REG)'!F76</f>
        <v>0</v>
      </c>
      <c r="G76" s="90"/>
      <c r="H76" s="17">
        <f>'KY_Cost by Plant Acct P8 (REG)'!H76+'KY_Cost by Plant Acct P8 (REG)'!H168</f>
        <v>0</v>
      </c>
      <c r="I76" s="90"/>
      <c r="J76" s="17">
        <f t="shared" si="9"/>
        <v>12270403.630000001</v>
      </c>
      <c r="K76" s="90"/>
      <c r="L76" s="17">
        <f t="shared" si="10"/>
        <v>78605669.599999994</v>
      </c>
      <c r="N76" s="15">
        <f>'KY_Res by Plant Acct P16(REG)'!R190</f>
        <v>-25520932.670000002</v>
      </c>
      <c r="P76" s="15">
        <f t="shared" si="11"/>
        <v>53084736.929999992</v>
      </c>
    </row>
    <row r="77" spans="1:16" x14ac:dyDescent="0.2">
      <c r="A77" s="3" t="s">
        <v>204</v>
      </c>
      <c r="B77" s="17">
        <f>'KY_Cost by Plant Acct P8 (REG)'!B77</f>
        <v>0</v>
      </c>
      <c r="C77" s="90"/>
      <c r="D77" s="17">
        <f>'KY_Cost by Plant Acct P8 (REG)'!D77</f>
        <v>0</v>
      </c>
      <c r="E77" s="90"/>
      <c r="F77" s="17">
        <f>'KY_Cost by Plant Acct P8 (REG)'!F77</f>
        <v>0</v>
      </c>
      <c r="G77" s="90"/>
      <c r="H77" s="17">
        <f>'KY_Cost by Plant Acct P8 (REG)'!H77</f>
        <v>0</v>
      </c>
      <c r="I77" s="90"/>
      <c r="J77" s="17">
        <f t="shared" si="9"/>
        <v>0</v>
      </c>
      <c r="K77" s="90"/>
      <c r="L77" s="17">
        <f t="shared" si="10"/>
        <v>0</v>
      </c>
      <c r="N77" s="15">
        <f>'KY_Res by Plant Acct P16(REG)'!R200</f>
        <v>0</v>
      </c>
      <c r="P77" s="15">
        <f t="shared" si="11"/>
        <v>0</v>
      </c>
    </row>
    <row r="78" spans="1:16" x14ac:dyDescent="0.2">
      <c r="A78" s="3" t="s">
        <v>205</v>
      </c>
      <c r="B78" s="17">
        <f>'KY_Cost by Plant Acct P8 (REG)'!B78+'KY_Cost by Plant Acct P8 (REG)'!B169</f>
        <v>8995446.9299999978</v>
      </c>
      <c r="C78" s="90"/>
      <c r="D78" s="17">
        <f>'KY_Cost by Plant Acct P8 (REG)'!D78+'KY_Cost by Plant Acct P8 (REG)'!D169</f>
        <v>109321.64000000001</v>
      </c>
      <c r="E78" s="90"/>
      <c r="F78" s="17">
        <f>'KY_Cost by Plant Acct P8 (REG)'!F78+'KY_Cost by Plant Acct P8 (REG)'!F169</f>
        <v>-27592.94</v>
      </c>
      <c r="G78" s="90"/>
      <c r="H78" s="17">
        <f>'KY_Cost by Plant Acct P8 (REG)'!H78+'KY_Cost by Plant Acct P8 (REG)'!H169</f>
        <v>0</v>
      </c>
      <c r="I78" s="90"/>
      <c r="J78" s="17">
        <f t="shared" si="9"/>
        <v>81728.700000000012</v>
      </c>
      <c r="K78" s="90"/>
      <c r="L78" s="17">
        <f t="shared" si="10"/>
        <v>9077175.6299999971</v>
      </c>
      <c r="N78" s="15">
        <f>'KY_Res by Plant Acct P16(REG)'!R217</f>
        <v>-3384840.5899999994</v>
      </c>
      <c r="P78" s="15">
        <f t="shared" si="11"/>
        <v>5692335.0399999972</v>
      </c>
    </row>
    <row r="79" spans="1:16" x14ac:dyDescent="0.2">
      <c r="A79" s="3" t="s">
        <v>206</v>
      </c>
      <c r="B79" s="16">
        <f>'KY_Cost by Plant Acct P8 (REG)'!B79</f>
        <v>403344.09</v>
      </c>
      <c r="C79" s="90"/>
      <c r="D79" s="16">
        <f>'KY_Cost by Plant Acct P8 (REG)'!D79</f>
        <v>0</v>
      </c>
      <c r="E79" s="90"/>
      <c r="F79" s="16">
        <f>'KY_Cost by Plant Acct P8 (REG)'!F79</f>
        <v>0</v>
      </c>
      <c r="G79" s="90"/>
      <c r="H79" s="16">
        <f>'KY_Cost by Plant Acct P8 (REG)'!H79</f>
        <v>3647.0299999999988</v>
      </c>
      <c r="I79" s="90"/>
      <c r="J79" s="16">
        <f t="shared" si="9"/>
        <v>3647.0299999999988</v>
      </c>
      <c r="K79" s="90"/>
      <c r="L79" s="16">
        <f t="shared" si="10"/>
        <v>406991.12</v>
      </c>
      <c r="N79" s="91">
        <f>'KY_Res by Plant Acct P16(REG)'!R218</f>
        <v>-53377.58</v>
      </c>
      <c r="P79" s="91">
        <f t="shared" si="11"/>
        <v>353613.54</v>
      </c>
    </row>
    <row r="80" spans="1:16" x14ac:dyDescent="0.2">
      <c r="B80" s="17">
        <f>SUM(B69:B79)</f>
        <v>997074687.15999997</v>
      </c>
      <c r="C80" s="90"/>
      <c r="D80" s="17">
        <f>SUM(D69:D79)</f>
        <v>32418696.460000001</v>
      </c>
      <c r="E80" s="90"/>
      <c r="F80" s="17">
        <f>SUM(F69:F79)</f>
        <v>-3080794.9599999995</v>
      </c>
      <c r="G80" s="90"/>
      <c r="H80" s="17">
        <f>SUM(H69:H79)</f>
        <v>3647.0299999999988</v>
      </c>
      <c r="I80" s="90"/>
      <c r="J80" s="17">
        <f>SUM(J69:J79)</f>
        <v>29341548.529999997</v>
      </c>
      <c r="K80" s="90"/>
      <c r="L80" s="17">
        <f>SUM(L69:L79)</f>
        <v>1026416235.6899999</v>
      </c>
      <c r="N80" s="17">
        <f>SUM(N69:N79)</f>
        <v>-316526250.65999997</v>
      </c>
      <c r="P80" s="17">
        <f>SUM(P69:P79)</f>
        <v>709889985.02999985</v>
      </c>
    </row>
    <row r="81" spans="1:16" x14ac:dyDescent="0.2">
      <c r="B81" s="17"/>
      <c r="C81" s="90"/>
      <c r="D81" s="17"/>
      <c r="E81" s="90"/>
      <c r="F81" s="17"/>
      <c r="G81" s="90"/>
      <c r="H81" s="17"/>
      <c r="I81" s="90"/>
      <c r="J81" s="17"/>
      <c r="K81" s="90"/>
      <c r="L81" s="17"/>
    </row>
    <row r="82" spans="1:16" x14ac:dyDescent="0.2">
      <c r="A82" s="12" t="s">
        <v>17</v>
      </c>
      <c r="C82" s="89"/>
      <c r="E82" s="89"/>
      <c r="G82" s="89"/>
      <c r="I82" s="89"/>
      <c r="K82" s="89"/>
    </row>
    <row r="83" spans="1:16" x14ac:dyDescent="0.2">
      <c r="A83" s="3" t="s">
        <v>208</v>
      </c>
      <c r="B83" s="14">
        <f>'KY_Cost by Plant Acct P8 (REG)'!B83+'KY_Cost by Plant Acct P8 (REG)'!B173</f>
        <v>22966606.019999996</v>
      </c>
      <c r="C83" s="89"/>
      <c r="D83" s="14">
        <f>'KY_Cost by Plant Acct P8 (REG)'!D83+'KY_Cost by Plant Acct P8 (REG)'!D173</f>
        <v>1204779.8999999999</v>
      </c>
      <c r="E83" s="89"/>
      <c r="F83" s="14">
        <f>'KY_Cost by Plant Acct P8 (REG)'!F83+'KY_Cost by Plant Acct P8 (REG)'!F173</f>
        <v>0</v>
      </c>
      <c r="G83" s="89"/>
      <c r="H83" s="14">
        <f>'KY_Cost by Plant Acct P8 (REG)'!H83+'KY_Cost by Plant Acct P8 (REG)'!H173</f>
        <v>0</v>
      </c>
      <c r="I83" s="89"/>
      <c r="J83" s="14">
        <f t="shared" ref="J83:J94" si="12">H83+F83+D83</f>
        <v>1204779.8999999999</v>
      </c>
      <c r="K83" s="89"/>
      <c r="L83" s="14">
        <f t="shared" ref="L83:L94" si="13">J83+B83</f>
        <v>24171385.919999994</v>
      </c>
      <c r="N83" s="15">
        <f>'KY_Res by Plant Acct P16(REG)'!R231</f>
        <v>0</v>
      </c>
      <c r="P83" s="15">
        <f t="shared" ref="P83:P94" si="14">L83+N83</f>
        <v>24171385.919999994</v>
      </c>
    </row>
    <row r="84" spans="1:16" x14ac:dyDescent="0.2">
      <c r="A84" s="3" t="s">
        <v>209</v>
      </c>
      <c r="B84" s="14">
        <f>'KY_Cost by Plant Acct P8 (REG)'!B84+'KY_Cost by Plant Acct P8 (REG)'!B174</f>
        <v>335428186.69000006</v>
      </c>
      <c r="C84" s="89"/>
      <c r="D84" s="14">
        <f>'KY_Cost by Plant Acct P8 (REG)'!D84+'KY_Cost by Plant Acct P8 (REG)'!D174</f>
        <v>17135378.550000001</v>
      </c>
      <c r="E84" s="89"/>
      <c r="F84" s="14">
        <f>'KY_Cost by Plant Acct P8 (REG)'!F84</f>
        <v>-562234.81999999995</v>
      </c>
      <c r="G84" s="89"/>
      <c r="H84" s="14">
        <f>'KY_Cost by Plant Acct P8 (REG)'!H84+'KY_Cost by Plant Acct P8 (REG)'!H174</f>
        <v>-244219.69</v>
      </c>
      <c r="I84" s="89"/>
      <c r="J84" s="14">
        <f t="shared" si="12"/>
        <v>16328924.040000001</v>
      </c>
      <c r="K84" s="89"/>
      <c r="L84" s="14">
        <f t="shared" si="13"/>
        <v>351757110.73000008</v>
      </c>
      <c r="N84" s="15">
        <f>'KY_Res by Plant Acct P16(REG)'!R266</f>
        <v>-181047734.79999998</v>
      </c>
      <c r="P84" s="15">
        <f t="shared" si="14"/>
        <v>170709375.9300001</v>
      </c>
    </row>
    <row r="85" spans="1:16" x14ac:dyDescent="0.2">
      <c r="A85" s="3" t="s">
        <v>210</v>
      </c>
      <c r="B85" s="14">
        <f>'KY_Cost by Plant Acct P8 (REG)'!B85+'KY_Cost by Plant Acct P8 (REG)'!B175</f>
        <v>0</v>
      </c>
      <c r="C85" s="89"/>
      <c r="D85" s="14">
        <f>'KY_Cost by Plant Acct P8 (REG)'!D85+'KY_Cost by Plant Acct P8 (REG)'!D175</f>
        <v>0</v>
      </c>
      <c r="E85" s="89"/>
      <c r="F85" s="14">
        <f>'KY_Cost by Plant Acct P8 (REG)'!F85</f>
        <v>0</v>
      </c>
      <c r="G85" s="89"/>
      <c r="H85" s="14">
        <f>'KY_Cost by Plant Acct P8 (REG)'!H85+'KY_Cost by Plant Acct P8 (REG)'!H175</f>
        <v>0</v>
      </c>
      <c r="I85" s="89"/>
      <c r="J85" s="14">
        <f t="shared" si="12"/>
        <v>0</v>
      </c>
      <c r="K85" s="89"/>
      <c r="L85" s="14">
        <f t="shared" si="13"/>
        <v>0</v>
      </c>
      <c r="N85" s="15">
        <f>'KY_Res by Plant Acct P16(REG)'!R275</f>
        <v>0</v>
      </c>
      <c r="P85" s="15">
        <f t="shared" si="14"/>
        <v>0</v>
      </c>
    </row>
    <row r="86" spans="1:16" x14ac:dyDescent="0.2">
      <c r="A86" s="3" t="s">
        <v>211</v>
      </c>
      <c r="B86" s="14">
        <f>'KY_Cost by Plant Acct P8 (REG)'!B86+'KY_Cost by Plant Acct P8 (REG)'!B176</f>
        <v>3941701027.4200001</v>
      </c>
      <c r="C86" s="89"/>
      <c r="D86" s="14">
        <f>'KY_Cost by Plant Acct P8 (REG)'!D86+'KY_Cost by Plant Acct P8 (REG)'!D176</f>
        <v>36015475.079999983</v>
      </c>
      <c r="E86" s="89"/>
      <c r="F86" s="14">
        <f>'KY_Cost by Plant Acct P8 (REG)'!F86</f>
        <v>-8820017.4299999997</v>
      </c>
      <c r="G86" s="89"/>
      <c r="H86" s="14">
        <f>'KY_Cost by Plant Acct P8 (REG)'!H86+'KY_Cost by Plant Acct P8 (REG)'!H176</f>
        <v>0</v>
      </c>
      <c r="I86" s="89"/>
      <c r="J86" s="14">
        <f t="shared" si="12"/>
        <v>27195457.649999984</v>
      </c>
      <c r="K86" s="89"/>
      <c r="L86" s="14">
        <f t="shared" si="13"/>
        <v>3968896485.0700002</v>
      </c>
      <c r="N86" s="15">
        <f>'KY_Res by Plant Acct P16(REG)'!R340</f>
        <v>-1203571425.8699999</v>
      </c>
      <c r="P86" s="15">
        <f t="shared" si="14"/>
        <v>2765325059.2000003</v>
      </c>
    </row>
    <row r="87" spans="1:16" x14ac:dyDescent="0.2">
      <c r="A87" s="3" t="s">
        <v>212</v>
      </c>
      <c r="B87" s="14">
        <f>'KY_Cost by Plant Acct P8 (REG)'!B87</f>
        <v>0</v>
      </c>
      <c r="C87" s="89"/>
      <c r="D87" s="14">
        <f>'KY_Cost by Plant Acct P8 (REG)'!D87</f>
        <v>0</v>
      </c>
      <c r="E87" s="89"/>
      <c r="F87" s="14">
        <f>'KY_Cost by Plant Acct P8 (REG)'!F87</f>
        <v>0</v>
      </c>
      <c r="G87" s="89"/>
      <c r="H87" s="14">
        <f>'KY_Cost by Plant Acct P8 (REG)'!H87</f>
        <v>0</v>
      </c>
      <c r="I87" s="89"/>
      <c r="J87" s="14">
        <f t="shared" si="12"/>
        <v>0</v>
      </c>
      <c r="K87" s="89"/>
      <c r="L87" s="14">
        <f t="shared" si="13"/>
        <v>0</v>
      </c>
      <c r="N87" s="15">
        <f>'KY_Res by Plant Acct P16(REG)'!R351</f>
        <v>0</v>
      </c>
      <c r="P87" s="15">
        <f t="shared" si="14"/>
        <v>0</v>
      </c>
    </row>
    <row r="88" spans="1:16" x14ac:dyDescent="0.2">
      <c r="A88" s="3" t="s">
        <v>213</v>
      </c>
      <c r="B88" s="14">
        <f>'KY_Cost by Plant Acct P8 (REG)'!B88+'KY_Cost by Plant Acct P8 (REG)'!B177</f>
        <v>335905666.77999991</v>
      </c>
      <c r="C88" s="89"/>
      <c r="D88" s="14">
        <f>'KY_Cost by Plant Acct P8 (REG)'!D88+'KY_Cost by Plant Acct P8 (REG)'!D177</f>
        <v>5819635.3999999994</v>
      </c>
      <c r="E88" s="89"/>
      <c r="F88" s="14">
        <f>'KY_Cost by Plant Acct P8 (REG)'!F88</f>
        <v>-4439606</v>
      </c>
      <c r="G88" s="89"/>
      <c r="H88" s="14">
        <f>'KY_Cost by Plant Acct P8 (REG)'!H88+'KY_Cost by Plant Acct P8 (REG)'!H177</f>
        <v>221969.43</v>
      </c>
      <c r="I88" s="89"/>
      <c r="J88" s="14">
        <f t="shared" si="12"/>
        <v>1601998.8299999991</v>
      </c>
      <c r="K88" s="89"/>
      <c r="L88" s="14">
        <f t="shared" si="13"/>
        <v>337507665.6099999</v>
      </c>
      <c r="N88" s="15">
        <f>'KY_Res by Plant Acct P16(REG)'!R367</f>
        <v>-167489484.84</v>
      </c>
      <c r="P88" s="15">
        <f t="shared" si="14"/>
        <v>170018180.76999989</v>
      </c>
    </row>
    <row r="89" spans="1:16" x14ac:dyDescent="0.2">
      <c r="A89" s="3" t="s">
        <v>214</v>
      </c>
      <c r="B89" s="14">
        <f>'KY_Cost by Plant Acct P8 (REG)'!B89</f>
        <v>0</v>
      </c>
      <c r="C89" s="89"/>
      <c r="D89" s="14">
        <f>'KY_Cost by Plant Acct P8 (REG)'!D89</f>
        <v>0</v>
      </c>
      <c r="E89" s="89"/>
      <c r="F89" s="14">
        <f>'KY_Cost by Plant Acct P8 (REG)'!F89</f>
        <v>0</v>
      </c>
      <c r="G89" s="89"/>
      <c r="H89" s="14">
        <f>'KY_Cost by Plant Acct P8 (REG)'!H89</f>
        <v>0</v>
      </c>
      <c r="I89" s="89"/>
      <c r="J89" s="14">
        <f t="shared" si="12"/>
        <v>0</v>
      </c>
      <c r="K89" s="89"/>
      <c r="L89" s="14">
        <f t="shared" si="13"/>
        <v>0</v>
      </c>
      <c r="N89" s="15">
        <f>'KY_Res by Plant Acct P16(REG)'!R368</f>
        <v>0</v>
      </c>
      <c r="P89" s="15">
        <f t="shared" si="14"/>
        <v>0</v>
      </c>
    </row>
    <row r="90" spans="1:16" x14ac:dyDescent="0.2">
      <c r="A90" s="3" t="s">
        <v>215</v>
      </c>
      <c r="B90" s="14">
        <f>'KY_Cost by Plant Acct P8 (REG)'!B90+'KY_Cost by Plant Acct P8 (REG)'!B178</f>
        <v>221897337.54999998</v>
      </c>
      <c r="C90" s="89"/>
      <c r="D90" s="14">
        <f>'KY_Cost by Plant Acct P8 (REG)'!D90+'KY_Cost by Plant Acct P8 (REG)'!D178</f>
        <v>30085566.699999999</v>
      </c>
      <c r="E90" s="89"/>
      <c r="F90" s="14">
        <f>'KY_Cost by Plant Acct P8 (REG)'!F90</f>
        <v>-115476.19</v>
      </c>
      <c r="G90" s="89"/>
      <c r="H90" s="14">
        <f>'KY_Cost by Plant Acct P8 (REG)'!H90+'KY_Cost by Plant Acct P8 (REG)'!H178</f>
        <v>0</v>
      </c>
      <c r="I90" s="89"/>
      <c r="J90" s="14">
        <f t="shared" si="12"/>
        <v>29970090.509999998</v>
      </c>
      <c r="K90" s="89"/>
      <c r="L90" s="14">
        <f t="shared" si="13"/>
        <v>251867428.05999997</v>
      </c>
      <c r="N90" s="15">
        <f>'KY_Res by Plant Acct P16(REG)'!R405</f>
        <v>-109875033.16999999</v>
      </c>
      <c r="P90" s="15">
        <f t="shared" si="14"/>
        <v>141992394.88999999</v>
      </c>
    </row>
    <row r="91" spans="1:16" x14ac:dyDescent="0.2">
      <c r="A91" s="3" t="s">
        <v>216</v>
      </c>
      <c r="B91" s="14">
        <f>'KY_Cost by Plant Acct P8 (REG)'!B91</f>
        <v>0</v>
      </c>
      <c r="C91" s="89"/>
      <c r="D91" s="14">
        <f>'KY_Cost by Plant Acct P8 (REG)'!D91</f>
        <v>0</v>
      </c>
      <c r="E91" s="89"/>
      <c r="F91" s="14">
        <f>'KY_Cost by Plant Acct P8 (REG)'!F91</f>
        <v>0</v>
      </c>
      <c r="G91" s="89"/>
      <c r="H91" s="14">
        <f>'KY_Cost by Plant Acct P8 (REG)'!H91</f>
        <v>0</v>
      </c>
      <c r="I91" s="89"/>
      <c r="J91" s="14">
        <f t="shared" si="12"/>
        <v>0</v>
      </c>
      <c r="K91" s="89"/>
      <c r="L91" s="14">
        <f t="shared" si="13"/>
        <v>0</v>
      </c>
      <c r="N91" s="15">
        <f>'KY_Res by Plant Acct P16(REG)'!R415</f>
        <v>0</v>
      </c>
      <c r="P91" s="15">
        <f t="shared" si="14"/>
        <v>0</v>
      </c>
    </row>
    <row r="92" spans="1:16" x14ac:dyDescent="0.2">
      <c r="A92" s="3" t="s">
        <v>217</v>
      </c>
      <c r="B92" s="14">
        <f>'KY_Cost by Plant Acct P8 (REG)'!B92+'KY_Cost by Plant Acct P8 (REG)'!B179</f>
        <v>36915884.120000005</v>
      </c>
      <c r="C92" s="89"/>
      <c r="D92" s="14">
        <f>'KY_Cost by Plant Acct P8 (REG)'!D92+'KY_Cost by Plant Acct P8 (REG)'!D179</f>
        <v>79918.289999999921</v>
      </c>
      <c r="E92" s="89"/>
      <c r="F92" s="14">
        <f>'KY_Cost by Plant Acct P8 (REG)'!F92</f>
        <v>-416466.95</v>
      </c>
      <c r="G92" s="89"/>
      <c r="H92" s="14">
        <f>'KY_Cost by Plant Acct P8 (REG)'!H92+'KY_Cost by Plant Acct P8 (REG)'!H179</f>
        <v>22250.26</v>
      </c>
      <c r="I92" s="89"/>
      <c r="J92" s="14">
        <f t="shared" si="12"/>
        <v>-314298.40000000008</v>
      </c>
      <c r="K92" s="89"/>
      <c r="L92" s="14">
        <f t="shared" si="13"/>
        <v>36601585.720000006</v>
      </c>
      <c r="N92" s="15">
        <f>'KY_Res by Plant Acct P16(REG)'!R434</f>
        <v>-16600298.560000002</v>
      </c>
      <c r="P92" s="15">
        <f t="shared" si="14"/>
        <v>20001287.160000004</v>
      </c>
    </row>
    <row r="93" spans="1:16" x14ac:dyDescent="0.2">
      <c r="A93" s="3" t="s">
        <v>218</v>
      </c>
      <c r="B93" s="17">
        <f>'KY_Cost by Plant Acct P8 (REG)'!B93</f>
        <v>27653256.49999994</v>
      </c>
      <c r="C93" s="90"/>
      <c r="D93" s="17">
        <f>'KY_Cost by Plant Acct P8 (REG)'!D93</f>
        <v>0</v>
      </c>
      <c r="E93" s="90"/>
      <c r="F93" s="17">
        <f>'KY_Cost by Plant Acct P8 (REG)'!F93</f>
        <v>-203134</v>
      </c>
      <c r="G93" s="90"/>
      <c r="H93" s="17">
        <f>'KY_Cost by Plant Acct P8 (REG)'!H93</f>
        <v>7488204.6200000001</v>
      </c>
      <c r="I93" s="90"/>
      <c r="J93" s="17">
        <f t="shared" si="12"/>
        <v>7285070.6200000001</v>
      </c>
      <c r="K93" s="90"/>
      <c r="L93" s="17">
        <f t="shared" si="13"/>
        <v>34938327.119999938</v>
      </c>
      <c r="M93" s="59"/>
      <c r="N93" s="60">
        <f>'KY_Res by Plant Acct P16(REG)'!R435</f>
        <v>-6941448.1799999876</v>
      </c>
      <c r="O93" s="59"/>
      <c r="P93" s="60">
        <f t="shared" si="14"/>
        <v>27996878.939999949</v>
      </c>
    </row>
    <row r="94" spans="1:16" x14ac:dyDescent="0.2">
      <c r="A94" s="3" t="s">
        <v>219</v>
      </c>
      <c r="B94" s="17">
        <f>'KY_Cost by Plant Acct P8 (REG)'!B94</f>
        <v>220491458.15000004</v>
      </c>
      <c r="C94" s="90"/>
      <c r="D94" s="17">
        <f>'KY_Cost by Plant Acct P8 (REG)'!D94</f>
        <v>0</v>
      </c>
      <c r="E94" s="90"/>
      <c r="F94" s="17">
        <f>'KY_Cost by Plant Acct P8 (REG)'!F94</f>
        <v>0</v>
      </c>
      <c r="G94" s="90"/>
      <c r="H94" s="17">
        <f>'KY_Cost by Plant Acct P8 (REG)'!H94</f>
        <v>-53428221.539999999</v>
      </c>
      <c r="I94" s="90"/>
      <c r="J94" s="17">
        <f t="shared" si="12"/>
        <v>-53428221.539999999</v>
      </c>
      <c r="K94" s="90"/>
      <c r="L94" s="17">
        <f t="shared" si="13"/>
        <v>167063236.61000004</v>
      </c>
      <c r="M94" s="59"/>
      <c r="N94" s="60">
        <f>'KY_Res by Plant Acct P16(REG)'!R436</f>
        <v>-107043843.13</v>
      </c>
      <c r="O94" s="59"/>
      <c r="P94" s="60">
        <f t="shared" si="14"/>
        <v>60019393.480000049</v>
      </c>
    </row>
    <row r="95" spans="1:16" x14ac:dyDescent="0.2">
      <c r="B95" s="18">
        <f>SUM(B83:B94)</f>
        <v>5142959423.2299995</v>
      </c>
      <c r="C95" s="92"/>
      <c r="D95" s="18">
        <f>SUM(D83:D94)</f>
        <v>90340753.919999987</v>
      </c>
      <c r="E95" s="92"/>
      <c r="F95" s="18">
        <f>SUM(F83:F94)</f>
        <v>-14556935.389999999</v>
      </c>
      <c r="G95" s="92"/>
      <c r="H95" s="18">
        <f>SUM(H83:H94)</f>
        <v>-45940016.920000002</v>
      </c>
      <c r="I95" s="18">
        <f>SUM(I83:I94)</f>
        <v>0</v>
      </c>
      <c r="J95" s="18">
        <f>SUM(J83:J94)</f>
        <v>29843801.609999977</v>
      </c>
      <c r="K95" s="18">
        <f>SUM(K83:K94)</f>
        <v>0</v>
      </c>
      <c r="L95" s="18">
        <f>SUM(L83:L94)</f>
        <v>5172803224.8400002</v>
      </c>
      <c r="M95" s="77"/>
      <c r="N95" s="18">
        <f>SUM(N83:N94)</f>
        <v>-1792569268.5499997</v>
      </c>
      <c r="O95" s="77"/>
      <c r="P95" s="18">
        <f>SUM(P83:P94)</f>
        <v>3380233956.29</v>
      </c>
    </row>
    <row r="96" spans="1:16" x14ac:dyDescent="0.2">
      <c r="B96" s="17"/>
      <c r="C96" s="90"/>
      <c r="D96" s="17"/>
      <c r="E96" s="90"/>
      <c r="F96" s="17"/>
      <c r="G96" s="90"/>
      <c r="H96" s="17"/>
      <c r="I96" s="90"/>
      <c r="J96" s="17"/>
      <c r="K96" s="90"/>
      <c r="L96" s="17"/>
    </row>
    <row r="97" spans="1:16" x14ac:dyDescent="0.2">
      <c r="A97" s="12" t="s">
        <v>18</v>
      </c>
      <c r="B97" s="17"/>
      <c r="C97" s="90"/>
      <c r="D97" s="17"/>
      <c r="E97" s="90"/>
      <c r="F97" s="17"/>
      <c r="G97" s="90"/>
      <c r="H97" s="17"/>
      <c r="I97" s="90"/>
      <c r="J97" s="17"/>
      <c r="K97" s="90"/>
      <c r="L97" s="17"/>
    </row>
    <row r="98" spans="1:16" x14ac:dyDescent="0.2">
      <c r="A98" s="3" t="s">
        <v>221</v>
      </c>
      <c r="B98" s="17">
        <f>'KY_Cost by Plant Acct P8 (REG)'!B98+'KY_Cost by Plant Acct P8 (REG)'!B183</f>
        <v>27309924.549999997</v>
      </c>
      <c r="C98" s="90"/>
      <c r="D98" s="17">
        <f>'KY_Cost by Plant Acct P8 (REG)'!D98+'KY_Cost by Plant Acct P8 (REG)'!D183</f>
        <v>0</v>
      </c>
      <c r="E98" s="90"/>
      <c r="F98" s="17">
        <f>'KY_Cost by Plant Acct P8 (REG)'!F98+'KY_Cost by Plant Acct P8 (REG)'!F183</f>
        <v>0</v>
      </c>
      <c r="G98" s="90"/>
      <c r="H98" s="17">
        <f>'KY_Cost by Plant Acct P8 (REG)'!H98+'KY_Cost by Plant Acct P8 (REG)'!H183</f>
        <v>0</v>
      </c>
      <c r="I98" s="90"/>
      <c r="J98" s="17">
        <f t="shared" ref="J98:J111" si="15">H98+F98+D98</f>
        <v>0</v>
      </c>
      <c r="K98" s="90"/>
      <c r="L98" s="17">
        <f t="shared" ref="L98:L111" si="16">J98+B98</f>
        <v>27309924.549999997</v>
      </c>
      <c r="N98" s="15">
        <f>'KY_Res by Plant Acct P16(REG)'!R440+'KY_Res by Plant Acct P16(REG)'!R441</f>
        <v>-15649261.229999999</v>
      </c>
      <c r="P98" s="15">
        <f t="shared" ref="P98:P111" si="17">L98+N98</f>
        <v>11660663.319999998</v>
      </c>
    </row>
    <row r="99" spans="1:16" x14ac:dyDescent="0.2">
      <c r="A99" s="3" t="s">
        <v>222</v>
      </c>
      <c r="B99" s="17">
        <f>'KY_Cost by Plant Acct P8 (REG)'!B99+'KY_Cost by Plant Acct P8 (REG)'!B184</f>
        <v>2314569.5699999998</v>
      </c>
      <c r="C99" s="90"/>
      <c r="D99" s="17">
        <f>'KY_Cost by Plant Acct P8 (REG)'!D99+'KY_Cost by Plant Acct P8 (REG)'!D184</f>
        <v>0</v>
      </c>
      <c r="E99" s="90"/>
      <c r="F99" s="17">
        <f>'KY_Cost by Plant Acct P8 (REG)'!F99</f>
        <v>0</v>
      </c>
      <c r="G99" s="90"/>
      <c r="H99" s="17">
        <f>'KY_Cost by Plant Acct P8 (REG)'!H99+'KY_Cost by Plant Acct P8 (REG)'!H184</f>
        <v>0</v>
      </c>
      <c r="I99" s="90"/>
      <c r="J99" s="17">
        <f t="shared" si="15"/>
        <v>0</v>
      </c>
      <c r="K99" s="90"/>
      <c r="L99" s="17">
        <f t="shared" si="16"/>
        <v>2314569.5699999998</v>
      </c>
      <c r="N99" s="15">
        <f>'KY_Res by Plant Acct P16(REG)'!R442</f>
        <v>0</v>
      </c>
      <c r="P99" s="15">
        <f t="shared" si="17"/>
        <v>2314569.5699999998</v>
      </c>
    </row>
    <row r="100" spans="1:16" x14ac:dyDescent="0.2">
      <c r="A100" s="3" t="s">
        <v>223</v>
      </c>
      <c r="B100" s="17">
        <f>'KY_Cost by Plant Acct P8 (REG)'!B100+'KY_Cost by Plant Acct P8 (REG)'!B185</f>
        <v>27228066.910000004</v>
      </c>
      <c r="C100" s="90"/>
      <c r="D100" s="17">
        <f>'KY_Cost by Plant Acct P8 (REG)'!D100+'KY_Cost by Plant Acct P8 (REG)'!D185</f>
        <v>400651.42000000004</v>
      </c>
      <c r="E100" s="90"/>
      <c r="F100" s="17">
        <f>'KY_Cost by Plant Acct P8 (REG)'!F100</f>
        <v>-101498.12</v>
      </c>
      <c r="G100" s="90"/>
      <c r="H100" s="17">
        <f>'KY_Cost by Plant Acct P8 (REG)'!H100+'KY_Cost by Plant Acct P8 (REG)'!H185</f>
        <v>147601.17000000001</v>
      </c>
      <c r="I100" s="90"/>
      <c r="J100" s="17">
        <f t="shared" si="15"/>
        <v>446754.47000000009</v>
      </c>
      <c r="K100" s="90"/>
      <c r="L100" s="17">
        <f t="shared" si="16"/>
        <v>27674821.380000003</v>
      </c>
      <c r="N100" s="15">
        <f>'KY_Res by Plant Acct P16(REG)'!R443+'KY_Res by Plant Acct P16(REG)'!R444+'KY_Res by Plant Acct P16(REG)'!R445</f>
        <v>-6368380.4699999997</v>
      </c>
      <c r="P100" s="15">
        <f t="shared" si="17"/>
        <v>21306440.910000004</v>
      </c>
    </row>
    <row r="101" spans="1:16" x14ac:dyDescent="0.2">
      <c r="A101" s="3" t="s">
        <v>224</v>
      </c>
      <c r="B101" s="17">
        <f>'KY_Cost by Plant Acct P8 (REG)'!B101+'KY_Cost by Plant Acct P8 (REG)'!B186</f>
        <v>193226.00999999992</v>
      </c>
      <c r="C101" s="90"/>
      <c r="D101" s="17">
        <f>'KY_Cost by Plant Acct P8 (REG)'!D101+'KY_Cost by Plant Acct P8 (REG)'!D186</f>
        <v>5785.94</v>
      </c>
      <c r="E101" s="90"/>
      <c r="F101" s="17">
        <f>'KY_Cost by Plant Acct P8 (REG)'!F101+'KY_Cost by Plant Acct P8 (REG)'!F186</f>
        <v>-32410.2</v>
      </c>
      <c r="G101" s="90"/>
      <c r="H101" s="17">
        <f>'KY_Cost by Plant Acct P8 (REG)'!H101+'KY_Cost by Plant Acct P8 (REG)'!H186</f>
        <v>-77830.59</v>
      </c>
      <c r="I101" s="90"/>
      <c r="J101" s="17">
        <f t="shared" si="15"/>
        <v>-104454.84999999999</v>
      </c>
      <c r="K101" s="90"/>
      <c r="L101" s="17">
        <f>J101+B101</f>
        <v>88771.159999999931</v>
      </c>
      <c r="N101" s="15">
        <f>'KY_Res by Plant Acct P16(REG)'!R446</f>
        <v>-36752.660000000003</v>
      </c>
      <c r="P101" s="15">
        <f t="shared" si="17"/>
        <v>52018.499999999927</v>
      </c>
    </row>
    <row r="102" spans="1:16" x14ac:dyDescent="0.2">
      <c r="A102" s="3" t="s">
        <v>225</v>
      </c>
      <c r="B102" s="17">
        <f>'KY_Cost by Plant Acct P8 (REG)'!B102+'KY_Cost by Plant Acct P8 (REG)'!B187</f>
        <v>255742978.53999999</v>
      </c>
      <c r="C102" s="90"/>
      <c r="D102" s="17">
        <f>'KY_Cost by Plant Acct P8 (REG)'!D102+'KY_Cost by Plant Acct P8 (REG)'!D187</f>
        <v>8234122.3599999994</v>
      </c>
      <c r="E102" s="90"/>
      <c r="F102" s="17">
        <f>'KY_Cost by Plant Acct P8 (REG)'!F102</f>
        <v>-2212475.8199999998</v>
      </c>
      <c r="G102" s="90"/>
      <c r="H102" s="17">
        <f>'KY_Cost by Plant Acct P8 (REG)'!H102+'KY_Cost by Plant Acct P8 (REG)'!H187</f>
        <v>617291.75</v>
      </c>
      <c r="I102" s="90"/>
      <c r="J102" s="17">
        <f t="shared" si="15"/>
        <v>6638938.2899999991</v>
      </c>
      <c r="K102" s="90"/>
      <c r="L102" s="17">
        <f t="shared" si="16"/>
        <v>262381916.82999998</v>
      </c>
      <c r="N102" s="15">
        <f>'KY_Res by Plant Acct P16(REG)'!R447+'KY_Res by Plant Acct P16(REG)'!R448</f>
        <v>-65655461.459999971</v>
      </c>
      <c r="P102" s="15">
        <f t="shared" si="17"/>
        <v>196726455.37</v>
      </c>
    </row>
    <row r="103" spans="1:16" x14ac:dyDescent="0.2">
      <c r="A103" s="3" t="s">
        <v>226</v>
      </c>
      <c r="B103" s="17">
        <f>'KY_Cost by Plant Acct P8 (REG)'!B103</f>
        <v>0</v>
      </c>
      <c r="C103" s="90"/>
      <c r="D103" s="17">
        <f>'KY_Cost by Plant Acct P8 (REG)'!D103</f>
        <v>0</v>
      </c>
      <c r="E103" s="90"/>
      <c r="F103" s="17">
        <f>'KY_Cost by Plant Acct P8 (REG)'!F103</f>
        <v>0</v>
      </c>
      <c r="G103" s="90"/>
      <c r="H103" s="17">
        <f>'KY_Cost by Plant Acct P8 (REG)'!H103</f>
        <v>0</v>
      </c>
      <c r="I103" s="90"/>
      <c r="J103" s="17">
        <f t="shared" si="15"/>
        <v>0</v>
      </c>
      <c r="K103" s="90"/>
      <c r="L103" s="17">
        <f t="shared" si="16"/>
        <v>0</v>
      </c>
      <c r="N103" s="15">
        <f>'KY_Res by Plant Acct P16(REG)'!R449</f>
        <v>-1.1641532182693481E-10</v>
      </c>
      <c r="P103" s="15">
        <f t="shared" si="17"/>
        <v>-1.1641532182693481E-10</v>
      </c>
    </row>
    <row r="104" spans="1:16" x14ac:dyDescent="0.2">
      <c r="A104" s="3" t="s">
        <v>227</v>
      </c>
      <c r="B104" s="17">
        <f>'KY_Cost by Plant Acct P8 (REG)'!B104+'KY_Cost by Plant Acct P8 (REG)'!B188</f>
        <v>6541159.8899999997</v>
      </c>
      <c r="C104" s="90"/>
      <c r="D104" s="17">
        <f>'KY_Cost by Plant Acct P8 (REG)'!D104+'KY_Cost by Plant Acct P8 (REG)'!D188</f>
        <v>35703.760000000002</v>
      </c>
      <c r="E104" s="90"/>
      <c r="F104" s="17">
        <f>'KY_Cost by Plant Acct P8 (REG)'!F104+'KY_Cost by Plant Acct P8 (REG)'!F188</f>
        <v>-3949271.49</v>
      </c>
      <c r="G104" s="90"/>
      <c r="H104" s="17">
        <f>'KY_Cost by Plant Acct P8 (REG)'!H104+'KY_Cost by Plant Acct P8 (REG)'!H188</f>
        <v>-3521.71</v>
      </c>
      <c r="I104" s="90"/>
      <c r="J104" s="17">
        <f t="shared" si="15"/>
        <v>-3917089.4400000004</v>
      </c>
      <c r="K104" s="90"/>
      <c r="L104" s="17">
        <f t="shared" si="16"/>
        <v>2624070.4499999993</v>
      </c>
      <c r="N104" s="15">
        <f>'KY_Res by Plant Acct P16(REG)'!R450</f>
        <v>-5726208.0200000005</v>
      </c>
      <c r="P104" s="15">
        <f t="shared" si="17"/>
        <v>-3102137.5700000012</v>
      </c>
    </row>
    <row r="105" spans="1:16" x14ac:dyDescent="0.2">
      <c r="A105" s="3" t="s">
        <v>228</v>
      </c>
      <c r="B105" s="17">
        <f>'KY_Cost by Plant Acct P8 (REG)'!B105+'KY_Cost by Plant Acct P8 (REG)'!B189</f>
        <v>69277599.61999999</v>
      </c>
      <c r="C105" s="90"/>
      <c r="D105" s="17">
        <f>'KY_Cost by Plant Acct P8 (REG)'!D105+'KY_Cost by Plant Acct P8 (REG)'!D189</f>
        <v>1593369.88</v>
      </c>
      <c r="E105" s="90"/>
      <c r="F105" s="17">
        <f>'KY_Cost by Plant Acct P8 (REG)'!F105</f>
        <v>-18956.650000000001</v>
      </c>
      <c r="G105" s="90"/>
      <c r="H105" s="17">
        <f>'KY_Cost by Plant Acct P8 (REG)'!H105+'KY_Cost by Plant Acct P8 (REG)'!H189</f>
        <v>0</v>
      </c>
      <c r="I105" s="90"/>
      <c r="J105" s="17">
        <f t="shared" si="15"/>
        <v>1574413.23</v>
      </c>
      <c r="K105" s="90"/>
      <c r="L105" s="17">
        <f t="shared" si="16"/>
        <v>70852012.849999994</v>
      </c>
      <c r="N105" s="15">
        <f>'KY_Res by Plant Acct P16(REG)'!R453</f>
        <v>-46116981.919999987</v>
      </c>
      <c r="P105" s="15">
        <f t="shared" si="17"/>
        <v>24735030.930000007</v>
      </c>
    </row>
    <row r="106" spans="1:16" x14ac:dyDescent="0.2">
      <c r="A106" s="3" t="s">
        <v>229</v>
      </c>
      <c r="B106" s="17">
        <f>'KY_Cost by Plant Acct P8 (REG)'!B106+'KY_Cost by Plant Acct P8 (REG)'!B190</f>
        <v>254919624.79000002</v>
      </c>
      <c r="C106" s="90"/>
      <c r="D106" s="17">
        <f>'KY_Cost by Plant Acct P8 (REG)'!D106+'KY_Cost by Plant Acct P8 (REG)'!D190</f>
        <v>42779230.100000001</v>
      </c>
      <c r="E106" s="90"/>
      <c r="F106" s="17">
        <f>'KY_Cost by Plant Acct P8 (REG)'!F106</f>
        <v>-4153974.33</v>
      </c>
      <c r="G106" s="90"/>
      <c r="H106" s="17">
        <f>'KY_Cost by Plant Acct P8 (REG)'!H106+'KY_Cost by Plant Acct P8 (REG)'!H190</f>
        <v>0</v>
      </c>
      <c r="I106" s="90"/>
      <c r="J106" s="17">
        <f t="shared" si="15"/>
        <v>38625255.770000003</v>
      </c>
      <c r="K106" s="90"/>
      <c r="L106" s="17">
        <f t="shared" si="16"/>
        <v>293544880.56</v>
      </c>
      <c r="N106" s="15">
        <f>'KY_Res by Plant Acct P16(REG)'!R457</f>
        <v>-68041208.329999983</v>
      </c>
      <c r="P106" s="15">
        <f t="shared" si="17"/>
        <v>225503672.23000002</v>
      </c>
    </row>
    <row r="107" spans="1:16" x14ac:dyDescent="0.2">
      <c r="A107" s="3" t="s">
        <v>230</v>
      </c>
      <c r="B107" s="17">
        <f>'KY_Cost by Plant Acct P8 (REG)'!B107+'KY_Cost by Plant Acct P8 (REG)'!B191</f>
        <v>167549728.84999996</v>
      </c>
      <c r="C107" s="90"/>
      <c r="D107" s="17">
        <f>'KY_Cost by Plant Acct P8 (REG)'!D107+'KY_Cost by Plant Acct P8 (REG)'!D191</f>
        <v>4502987.7</v>
      </c>
      <c r="E107" s="90"/>
      <c r="F107" s="17">
        <f>'KY_Cost by Plant Acct P8 (REG)'!F107</f>
        <v>-1946415.14</v>
      </c>
      <c r="G107" s="90"/>
      <c r="H107" s="17">
        <f>'KY_Cost by Plant Acct P8 (REG)'!H107+'KY_Cost by Plant Acct P8 (REG)'!H191</f>
        <v>0</v>
      </c>
      <c r="I107" s="90"/>
      <c r="J107" s="17">
        <f t="shared" si="15"/>
        <v>2556572.5600000005</v>
      </c>
      <c r="K107" s="90"/>
      <c r="L107" s="17">
        <f t="shared" si="16"/>
        <v>170106301.40999997</v>
      </c>
      <c r="N107" s="15">
        <f>'KY_Res by Plant Acct P16(REG)'!R458+'KY_Res by Plant Acct P16(REG)'!R461</f>
        <v>-103360793.34999999</v>
      </c>
      <c r="P107" s="15">
        <f t="shared" si="17"/>
        <v>66745508.059999973</v>
      </c>
    </row>
    <row r="108" spans="1:16" x14ac:dyDescent="0.2">
      <c r="A108" s="3" t="s">
        <v>231</v>
      </c>
      <c r="B108" s="17">
        <f>'KY_Cost by Plant Acct P8 (REG)'!B108</f>
        <v>448760.26</v>
      </c>
      <c r="C108" s="90"/>
      <c r="D108" s="17">
        <f>'KY_Cost by Plant Acct P8 (REG)'!D108</f>
        <v>0</v>
      </c>
      <c r="E108" s="90"/>
      <c r="F108" s="17">
        <f>'KY_Cost by Plant Acct P8 (REG)'!F108</f>
        <v>0</v>
      </c>
      <c r="G108" s="90"/>
      <c r="H108" s="17">
        <f>'KY_Cost by Plant Acct P8 (REG)'!H108</f>
        <v>0</v>
      </c>
      <c r="I108" s="90"/>
      <c r="J108" s="17">
        <f t="shared" si="15"/>
        <v>0</v>
      </c>
      <c r="K108" s="90"/>
      <c r="L108" s="17">
        <f t="shared" si="16"/>
        <v>448760.26</v>
      </c>
      <c r="N108" s="15">
        <f>'KY_Res by Plant Acct P16(REG)'!R462</f>
        <v>-248740.42999999996</v>
      </c>
      <c r="P108" s="15">
        <f t="shared" si="17"/>
        <v>200019.83000000005</v>
      </c>
    </row>
    <row r="109" spans="1:16" x14ac:dyDescent="0.2">
      <c r="A109" s="3" t="s">
        <v>232</v>
      </c>
      <c r="B109" s="17">
        <f>'KY_Cost by Plant Acct P8 (REG)'!B109</f>
        <v>1118444.1700000002</v>
      </c>
      <c r="C109" s="90"/>
      <c r="D109" s="17">
        <f>'KY_Cost by Plant Acct P8 (REG)'!D109+'KY_Cost by Plant Acct P8 (REG)'!D192</f>
        <v>181217.19</v>
      </c>
      <c r="E109" s="17">
        <f>'KY_Cost by Plant Acct P8 (REG)'!E109+'KY_Cost by Plant Acct P8 (REG)'!E192</f>
        <v>0</v>
      </c>
      <c r="F109" s="17">
        <f>'KY_Cost by Plant Acct P8 (REG)'!F109+'KY_Cost by Plant Acct P8 (REG)'!F192</f>
        <v>-566.96</v>
      </c>
      <c r="G109" s="17">
        <f>'KY_Cost by Plant Acct P8 (REG)'!G109+'KY_Cost by Plant Acct P8 (REG)'!G192</f>
        <v>0</v>
      </c>
      <c r="H109" s="17">
        <f>'KY_Cost by Plant Acct P8 (REG)'!H109+'KY_Cost by Plant Acct P8 (REG)'!H192</f>
        <v>0</v>
      </c>
      <c r="I109" s="90"/>
      <c r="J109" s="17">
        <f t="shared" si="15"/>
        <v>180650.23</v>
      </c>
      <c r="K109" s="90"/>
      <c r="L109" s="17">
        <f t="shared" si="16"/>
        <v>1299094.4000000001</v>
      </c>
      <c r="N109" s="15">
        <f>'KY_Res by Plant Acct P16(REG)'!R463</f>
        <v>-948753.98000000021</v>
      </c>
      <c r="P109" s="15">
        <f t="shared" si="17"/>
        <v>350340.41999999993</v>
      </c>
    </row>
    <row r="110" spans="1:16" x14ac:dyDescent="0.2">
      <c r="A110" s="3" t="s">
        <v>233</v>
      </c>
      <c r="B110" s="17">
        <f>'KY_Cost by Plant Acct P8 (REG)'!B110</f>
        <v>84829.629999999976</v>
      </c>
      <c r="C110" s="90"/>
      <c r="D110" s="17">
        <f>'KY_Cost by Plant Acct P8 (REG)'!D110</f>
        <v>0</v>
      </c>
      <c r="E110" s="90"/>
      <c r="F110" s="17">
        <f>'KY_Cost by Plant Acct P8 (REG)'!F110</f>
        <v>0</v>
      </c>
      <c r="G110" s="90"/>
      <c r="H110" s="17">
        <f>'KY_Cost by Plant Acct P8 (REG)'!H110</f>
        <v>-11824.21</v>
      </c>
      <c r="I110" s="90"/>
      <c r="J110" s="17">
        <f t="shared" si="15"/>
        <v>-11824.21</v>
      </c>
      <c r="K110" s="90"/>
      <c r="L110" s="17">
        <f t="shared" si="16"/>
        <v>73005.419999999984</v>
      </c>
      <c r="N110" s="15">
        <f>'KY_Res by Plant Acct P16(REG)'!R464</f>
        <v>-6030.9500000000007</v>
      </c>
      <c r="P110" s="15">
        <f t="shared" si="17"/>
        <v>66974.469999999987</v>
      </c>
    </row>
    <row r="111" spans="1:16" x14ac:dyDescent="0.2">
      <c r="A111" s="3" t="s">
        <v>234</v>
      </c>
      <c r="B111" s="16">
        <f>'KY_Cost by Plant Acct P8 (REG)'!B111</f>
        <v>483852.19999999995</v>
      </c>
      <c r="C111" s="90"/>
      <c r="D111" s="16">
        <f>'KY_Cost by Plant Acct P8 (REG)'!D111</f>
        <v>0</v>
      </c>
      <c r="E111" s="90"/>
      <c r="F111" s="16">
        <f>'KY_Cost by Plant Acct P8 (REG)'!F111</f>
        <v>0</v>
      </c>
      <c r="G111" s="90"/>
      <c r="H111" s="16">
        <f>'KY_Cost by Plant Acct P8 (REG)'!H111</f>
        <v>0</v>
      </c>
      <c r="I111" s="90"/>
      <c r="J111" s="16">
        <f t="shared" si="15"/>
        <v>0</v>
      </c>
      <c r="K111" s="90"/>
      <c r="L111" s="16">
        <f t="shared" si="16"/>
        <v>483852.19999999995</v>
      </c>
      <c r="N111" s="91">
        <f>'KY_Res by Plant Acct P16(REG)'!R465</f>
        <v>-66936.73000000001</v>
      </c>
      <c r="P111" s="91">
        <f t="shared" si="17"/>
        <v>416915.47</v>
      </c>
    </row>
    <row r="112" spans="1:16" x14ac:dyDescent="0.2">
      <c r="B112" s="17">
        <f>SUM(B98:B111)</f>
        <v>813212764.99000001</v>
      </c>
      <c r="C112" s="90"/>
      <c r="D112" s="17">
        <f>SUM(D98:D111)</f>
        <v>57733068.350000001</v>
      </c>
      <c r="E112" s="90"/>
      <c r="F112" s="17">
        <f>SUM(F98:F111)</f>
        <v>-12415568.710000001</v>
      </c>
      <c r="G112" s="90"/>
      <c r="H112" s="17">
        <f>SUM(H98:H111)</f>
        <v>671716.41000000015</v>
      </c>
      <c r="I112" s="90"/>
      <c r="J112" s="17">
        <f>SUM(J98:J111)</f>
        <v>45989216.049999997</v>
      </c>
      <c r="K112" s="90"/>
      <c r="L112" s="17">
        <f>SUM(L98:L111)</f>
        <v>859201981.03999984</v>
      </c>
      <c r="N112" s="17">
        <f>SUM(N98:N111)</f>
        <v>-312225509.52999997</v>
      </c>
      <c r="P112" s="17">
        <f>SUM(P98:P111)</f>
        <v>546976471.51000011</v>
      </c>
    </row>
    <row r="113" spans="1:16" x14ac:dyDescent="0.2">
      <c r="B113" s="17"/>
      <c r="C113" s="89"/>
      <c r="D113" s="17"/>
      <c r="E113" s="89"/>
      <c r="F113" s="17"/>
      <c r="G113" s="89"/>
      <c r="H113" s="17"/>
      <c r="I113" s="89"/>
      <c r="J113" s="17"/>
      <c r="K113" s="89"/>
      <c r="L113" s="17"/>
    </row>
    <row r="114" spans="1:16" x14ac:dyDescent="0.2">
      <c r="C114" s="89"/>
      <c r="E114" s="89"/>
      <c r="G114" s="89"/>
      <c r="I114" s="89"/>
      <c r="K114" s="89"/>
    </row>
    <row r="115" spans="1:16" ht="13.5" thickBot="1" x14ac:dyDescent="0.25">
      <c r="A115" s="12" t="s">
        <v>3655</v>
      </c>
      <c r="B115" s="78">
        <f>B112+B95+B80+B66+B59+B48+B28</f>
        <v>8928112999.8999977</v>
      </c>
      <c r="C115" s="90"/>
      <c r="D115" s="78">
        <f>D112+D95+D80+D66+D59+D48+D28</f>
        <v>297251595.43000001</v>
      </c>
      <c r="E115" s="90"/>
      <c r="F115" s="78">
        <f>F112+F95+F80+F66+F59+F48+F28</f>
        <v>-65746377.310000002</v>
      </c>
      <c r="G115" s="90"/>
      <c r="H115" s="78">
        <f>H112+H95+H80+H66+H59+H48+H28</f>
        <v>-46161055.400000006</v>
      </c>
      <c r="I115" s="90"/>
      <c r="J115" s="78">
        <f>J112+J95+J80+J66+J59+J48+J28</f>
        <v>185344162.71999997</v>
      </c>
      <c r="K115" s="90"/>
      <c r="L115" s="78">
        <f>L112+L95+L80+L66+L59+L48+L28</f>
        <v>9113457162.6199989</v>
      </c>
      <c r="N115" s="78">
        <f>N112+N95+N80+N66+N59+N48+N28</f>
        <v>-3193705314.5899997</v>
      </c>
      <c r="P115" s="78">
        <f>P112+P95+P80+P66+P59+P48+P28</f>
        <v>5919751848.0299997</v>
      </c>
    </row>
    <row r="116" spans="1:16" ht="13.5" thickTop="1" x14ac:dyDescent="0.2">
      <c r="A116" s="12"/>
      <c r="B116" s="17"/>
      <c r="C116" s="90"/>
      <c r="D116" s="17"/>
      <c r="E116" s="90"/>
      <c r="F116" s="17"/>
      <c r="G116" s="90"/>
      <c r="H116" s="17"/>
      <c r="I116" s="90"/>
      <c r="J116" s="17"/>
      <c r="K116" s="90"/>
      <c r="L116" s="17"/>
    </row>
    <row r="117" spans="1:16" x14ac:dyDescent="0.2">
      <c r="C117" s="89"/>
      <c r="E117" s="89"/>
      <c r="G117" s="89"/>
      <c r="I117" s="89"/>
      <c r="K117" s="89"/>
    </row>
    <row r="118" spans="1:16" x14ac:dyDescent="0.2">
      <c r="C118" s="89"/>
      <c r="E118" s="89"/>
      <c r="G118" s="89"/>
      <c r="I118" s="89"/>
      <c r="K118" s="89"/>
    </row>
    <row r="119" spans="1:16" x14ac:dyDescent="0.2">
      <c r="C119" s="89"/>
      <c r="E119" s="89"/>
      <c r="G119" s="89"/>
      <c r="I119" s="89"/>
      <c r="K119" s="89"/>
    </row>
    <row r="120" spans="1:16" x14ac:dyDescent="0.2">
      <c r="C120" s="89"/>
      <c r="E120" s="89"/>
      <c r="G120" s="89"/>
      <c r="I120" s="89"/>
      <c r="K120" s="89"/>
    </row>
    <row r="121" spans="1:16" x14ac:dyDescent="0.2">
      <c r="C121" s="89"/>
      <c r="E121" s="89"/>
      <c r="G121" s="89"/>
      <c r="I121" s="89"/>
      <c r="K121" s="89"/>
    </row>
    <row r="122" spans="1:16" x14ac:dyDescent="0.2">
      <c r="C122" s="89"/>
      <c r="E122" s="89"/>
      <c r="G122" s="89"/>
      <c r="I122" s="89"/>
      <c r="K122" s="89"/>
    </row>
    <row r="123" spans="1:16" x14ac:dyDescent="0.2">
      <c r="C123" s="89"/>
      <c r="E123" s="89"/>
      <c r="G123" s="89"/>
      <c r="I123" s="89"/>
      <c r="K123" s="89"/>
    </row>
    <row r="124" spans="1:16" x14ac:dyDescent="0.2">
      <c r="C124" s="89"/>
      <c r="E124" s="89"/>
      <c r="G124" s="89"/>
      <c r="I124" s="89"/>
      <c r="K124" s="89"/>
    </row>
    <row r="125" spans="1:16" x14ac:dyDescent="0.2">
      <c r="C125" s="89"/>
      <c r="E125" s="89"/>
      <c r="G125" s="89"/>
      <c r="I125" s="89"/>
      <c r="K125" s="89"/>
    </row>
    <row r="126" spans="1:16" x14ac:dyDescent="0.2">
      <c r="C126" s="89"/>
      <c r="E126" s="89"/>
      <c r="G126" s="89"/>
      <c r="I126" s="89"/>
      <c r="K126" s="89"/>
    </row>
    <row r="127" spans="1:16" x14ac:dyDescent="0.2">
      <c r="C127" s="13"/>
      <c r="E127" s="13"/>
      <c r="G127" s="13"/>
      <c r="I127" s="13"/>
      <c r="K127" s="13"/>
    </row>
    <row r="128" spans="1:16" x14ac:dyDescent="0.2">
      <c r="C128" s="13"/>
      <c r="E128" s="13"/>
      <c r="G128" s="13"/>
      <c r="I128" s="13"/>
      <c r="K128" s="13"/>
    </row>
    <row r="129" spans="3:11" x14ac:dyDescent="0.2">
      <c r="C129" s="13"/>
      <c r="E129" s="13"/>
      <c r="G129" s="13"/>
      <c r="I129" s="13"/>
      <c r="K129" s="13"/>
    </row>
    <row r="130" spans="3:11" x14ac:dyDescent="0.2">
      <c r="C130" s="13"/>
      <c r="E130" s="13"/>
      <c r="G130" s="13"/>
      <c r="I130" s="13"/>
      <c r="K130" s="13"/>
    </row>
    <row r="131" spans="3:11" x14ac:dyDescent="0.2">
      <c r="C131" s="13"/>
      <c r="E131" s="13"/>
      <c r="G131" s="13"/>
      <c r="I131" s="13"/>
      <c r="K131" s="13"/>
    </row>
    <row r="132" spans="3:11" x14ac:dyDescent="0.2">
      <c r="C132" s="13"/>
      <c r="E132" s="13"/>
      <c r="G132" s="13"/>
      <c r="I132" s="13"/>
      <c r="K132" s="13"/>
    </row>
    <row r="133" spans="3:11" x14ac:dyDescent="0.2">
      <c r="C133" s="13"/>
      <c r="E133" s="13"/>
      <c r="G133" s="13"/>
      <c r="I133" s="13"/>
      <c r="K133" s="13"/>
    </row>
    <row r="134" spans="3:11" x14ac:dyDescent="0.2">
      <c r="C134" s="13"/>
      <c r="E134" s="13"/>
      <c r="G134" s="13"/>
      <c r="I134" s="13"/>
      <c r="K134" s="13"/>
    </row>
    <row r="135" spans="3:11" x14ac:dyDescent="0.2">
      <c r="C135" s="13"/>
      <c r="E135" s="13"/>
      <c r="G135" s="13"/>
      <c r="I135" s="13"/>
      <c r="K135" s="13"/>
    </row>
    <row r="136" spans="3:11" x14ac:dyDescent="0.2">
      <c r="C136" s="13"/>
      <c r="E136" s="13"/>
      <c r="G136" s="13"/>
      <c r="I136" s="13"/>
      <c r="K136" s="13"/>
    </row>
    <row r="137" spans="3:11" x14ac:dyDescent="0.2">
      <c r="C137" s="13"/>
      <c r="E137" s="13"/>
      <c r="G137" s="13"/>
      <c r="I137" s="13"/>
      <c r="K137" s="13"/>
    </row>
    <row r="138" spans="3:11" x14ac:dyDescent="0.2">
      <c r="C138" s="13"/>
      <c r="E138" s="13"/>
      <c r="G138" s="13"/>
      <c r="I138" s="13"/>
      <c r="K138" s="13"/>
    </row>
    <row r="139" spans="3:11" x14ac:dyDescent="0.2">
      <c r="C139" s="13"/>
      <c r="E139" s="13"/>
      <c r="G139" s="13"/>
      <c r="I139" s="13"/>
      <c r="K139" s="13"/>
    </row>
    <row r="140" spans="3:11" x14ac:dyDescent="0.2">
      <c r="C140" s="13"/>
      <c r="E140" s="13"/>
      <c r="G140" s="13"/>
      <c r="I140" s="13"/>
      <c r="K140" s="13"/>
    </row>
    <row r="141" spans="3:11" x14ac:dyDescent="0.2">
      <c r="C141" s="13"/>
      <c r="E141" s="13"/>
      <c r="G141" s="13"/>
      <c r="I141" s="13"/>
      <c r="K141" s="13"/>
    </row>
    <row r="142" spans="3:11" x14ac:dyDescent="0.2">
      <c r="C142" s="13"/>
      <c r="E142" s="13"/>
      <c r="G142" s="13"/>
      <c r="I142" s="13"/>
      <c r="K142" s="13"/>
    </row>
    <row r="143" spans="3:11" x14ac:dyDescent="0.2">
      <c r="C143" s="13"/>
      <c r="E143" s="13"/>
      <c r="G143" s="13"/>
      <c r="I143" s="13"/>
      <c r="K143" s="13"/>
    </row>
    <row r="144" spans="3:11" x14ac:dyDescent="0.2">
      <c r="C144" s="13"/>
      <c r="E144" s="13"/>
      <c r="G144" s="13"/>
      <c r="I144" s="13"/>
      <c r="K144" s="13"/>
    </row>
    <row r="145" spans="3:11" x14ac:dyDescent="0.2">
      <c r="C145" s="13"/>
      <c r="E145" s="13"/>
      <c r="G145" s="13"/>
      <c r="I145" s="13"/>
      <c r="K145" s="13"/>
    </row>
    <row r="146" spans="3:11" x14ac:dyDescent="0.2">
      <c r="C146" s="13"/>
      <c r="E146" s="13"/>
      <c r="G146" s="13"/>
      <c r="I146" s="13"/>
      <c r="K146" s="13"/>
    </row>
    <row r="147" spans="3:11" x14ac:dyDescent="0.2">
      <c r="C147" s="13"/>
      <c r="E147" s="13"/>
      <c r="G147" s="13"/>
      <c r="I147" s="13"/>
      <c r="K147" s="13"/>
    </row>
    <row r="148" spans="3:11" x14ac:dyDescent="0.2">
      <c r="C148" s="13"/>
      <c r="E148" s="13"/>
      <c r="G148" s="13"/>
      <c r="I148" s="13"/>
      <c r="K148" s="13"/>
    </row>
    <row r="149" spans="3:11" x14ac:dyDescent="0.2">
      <c r="C149" s="13"/>
      <c r="E149" s="13"/>
      <c r="G149" s="13"/>
      <c r="I149" s="13"/>
      <c r="K149" s="13"/>
    </row>
    <row r="150" spans="3:11" x14ac:dyDescent="0.2">
      <c r="C150" s="13"/>
      <c r="E150" s="13"/>
      <c r="G150" s="13"/>
      <c r="I150" s="13"/>
      <c r="K150" s="13"/>
    </row>
    <row r="151" spans="3:11" x14ac:dyDescent="0.2">
      <c r="C151" s="13"/>
      <c r="E151" s="13"/>
      <c r="G151" s="13"/>
      <c r="I151" s="13"/>
      <c r="K151" s="13"/>
    </row>
    <row r="152" spans="3:11" x14ac:dyDescent="0.2">
      <c r="C152" s="13"/>
      <c r="E152" s="13"/>
      <c r="G152" s="13"/>
      <c r="I152" s="13"/>
      <c r="K152" s="13"/>
    </row>
    <row r="153" spans="3:11" x14ac:dyDescent="0.2">
      <c r="C153" s="13"/>
      <c r="E153" s="13"/>
      <c r="G153" s="13"/>
      <c r="I153" s="13"/>
      <c r="K153" s="13"/>
    </row>
    <row r="154" spans="3:11" x14ac:dyDescent="0.2">
      <c r="C154" s="13"/>
      <c r="E154" s="13"/>
      <c r="G154" s="13"/>
      <c r="I154" s="13"/>
      <c r="K154" s="13"/>
    </row>
    <row r="155" spans="3:11" x14ac:dyDescent="0.2">
      <c r="C155" s="13"/>
      <c r="E155" s="13"/>
      <c r="G155" s="13"/>
      <c r="I155" s="13"/>
      <c r="K155" s="13"/>
    </row>
    <row r="156" spans="3:11" x14ac:dyDescent="0.2">
      <c r="C156" s="13"/>
      <c r="E156" s="13"/>
      <c r="G156" s="13"/>
      <c r="I156" s="13"/>
      <c r="K156" s="13"/>
    </row>
    <row r="157" spans="3:11" x14ac:dyDescent="0.2">
      <c r="C157" s="13"/>
      <c r="E157" s="13"/>
      <c r="G157" s="13"/>
      <c r="I157" s="13"/>
      <c r="K157" s="13"/>
    </row>
    <row r="158" spans="3:11" x14ac:dyDescent="0.2">
      <c r="C158" s="13"/>
      <c r="E158" s="13"/>
      <c r="G158" s="13"/>
      <c r="I158" s="13"/>
      <c r="K158" s="13"/>
    </row>
    <row r="159" spans="3:11" x14ac:dyDescent="0.2">
      <c r="C159" s="13"/>
      <c r="E159" s="13"/>
      <c r="G159" s="13"/>
      <c r="I159" s="13"/>
      <c r="K159" s="13"/>
    </row>
    <row r="160" spans="3:11" x14ac:dyDescent="0.2">
      <c r="C160" s="13"/>
      <c r="E160" s="13"/>
      <c r="G160" s="13"/>
      <c r="I160" s="13"/>
      <c r="K160" s="13"/>
    </row>
    <row r="161" spans="3:11" x14ac:dyDescent="0.2">
      <c r="C161" s="13"/>
      <c r="E161" s="13"/>
      <c r="G161" s="13"/>
      <c r="I161" s="13"/>
      <c r="K161" s="13"/>
    </row>
    <row r="162" spans="3:11" x14ac:dyDescent="0.2">
      <c r="C162" s="13"/>
      <c r="E162" s="13"/>
      <c r="G162" s="13"/>
      <c r="I162" s="13"/>
      <c r="K162" s="13"/>
    </row>
    <row r="163" spans="3:11" x14ac:dyDescent="0.2">
      <c r="C163" s="13"/>
      <c r="E163" s="13"/>
      <c r="G163" s="13"/>
      <c r="I163" s="13"/>
      <c r="K163" s="13"/>
    </row>
    <row r="164" spans="3:11" x14ac:dyDescent="0.2">
      <c r="C164" s="13"/>
      <c r="E164" s="13"/>
      <c r="G164" s="13"/>
      <c r="I164" s="13"/>
      <c r="K164" s="13"/>
    </row>
    <row r="165" spans="3:11" x14ac:dyDescent="0.2">
      <c r="C165" s="13"/>
      <c r="E165" s="13"/>
      <c r="G165" s="13"/>
      <c r="I165" s="13"/>
      <c r="K165" s="13"/>
    </row>
    <row r="166" spans="3:11" x14ac:dyDescent="0.2">
      <c r="C166" s="13"/>
      <c r="E166" s="13"/>
      <c r="G166" s="13"/>
      <c r="I166" s="13"/>
      <c r="K166" s="13"/>
    </row>
    <row r="167" spans="3:11" x14ac:dyDescent="0.2">
      <c r="C167" s="13"/>
      <c r="E167" s="13"/>
      <c r="G167" s="13"/>
      <c r="I167" s="13"/>
      <c r="K167" s="13"/>
    </row>
    <row r="168" spans="3:11" x14ac:dyDescent="0.2">
      <c r="C168" s="13"/>
      <c r="E168" s="13"/>
      <c r="G168" s="13"/>
      <c r="I168" s="13"/>
      <c r="K168" s="13"/>
    </row>
    <row r="169" spans="3:11" x14ac:dyDescent="0.2">
      <c r="C169" s="13"/>
      <c r="E169" s="13"/>
      <c r="G169" s="13"/>
      <c r="I169" s="13"/>
      <c r="K169" s="13"/>
    </row>
    <row r="170" spans="3:11" x14ac:dyDescent="0.2">
      <c r="C170" s="13"/>
      <c r="E170" s="13"/>
      <c r="G170" s="13"/>
      <c r="I170" s="13"/>
      <c r="K170" s="13"/>
    </row>
    <row r="171" spans="3:11" x14ac:dyDescent="0.2">
      <c r="C171" s="13"/>
      <c r="E171" s="13"/>
      <c r="G171" s="13"/>
      <c r="I171" s="13"/>
      <c r="K171" s="13"/>
    </row>
    <row r="172" spans="3:11" x14ac:dyDescent="0.2">
      <c r="C172" s="13"/>
      <c r="E172" s="13"/>
      <c r="G172" s="13"/>
      <c r="I172" s="13"/>
      <c r="K172" s="13"/>
    </row>
    <row r="173" spans="3:11" x14ac:dyDescent="0.2">
      <c r="C173" s="13"/>
      <c r="E173" s="13"/>
      <c r="G173" s="13"/>
      <c r="I173" s="13"/>
      <c r="K173" s="13"/>
    </row>
    <row r="174" spans="3:11" x14ac:dyDescent="0.2">
      <c r="C174" s="13"/>
      <c r="E174" s="13"/>
      <c r="G174" s="13"/>
      <c r="I174" s="13"/>
      <c r="K174" s="13"/>
    </row>
    <row r="175" spans="3:11" x14ac:dyDescent="0.2">
      <c r="C175" s="13"/>
      <c r="E175" s="13"/>
      <c r="G175" s="13"/>
      <c r="I175" s="13"/>
      <c r="K175" s="13"/>
    </row>
    <row r="176" spans="3:11" x14ac:dyDescent="0.2">
      <c r="C176" s="13"/>
      <c r="E176" s="13"/>
      <c r="G176" s="13"/>
      <c r="I176" s="13"/>
      <c r="K176" s="13"/>
    </row>
    <row r="177" spans="3:11" x14ac:dyDescent="0.2">
      <c r="C177" s="13"/>
      <c r="E177" s="13"/>
      <c r="G177" s="13"/>
      <c r="I177" s="13"/>
      <c r="K177" s="13"/>
    </row>
    <row r="178" spans="3:11" x14ac:dyDescent="0.2">
      <c r="C178" s="13"/>
      <c r="E178" s="13"/>
      <c r="G178" s="13"/>
      <c r="I178" s="13"/>
      <c r="K178" s="13"/>
    </row>
    <row r="179" spans="3:11" x14ac:dyDescent="0.2">
      <c r="C179" s="13"/>
      <c r="E179" s="13"/>
      <c r="G179" s="13"/>
      <c r="I179" s="13"/>
      <c r="K179" s="13"/>
    </row>
    <row r="180" spans="3:11" x14ac:dyDescent="0.2">
      <c r="C180" s="13"/>
      <c r="E180" s="13"/>
      <c r="G180" s="13"/>
      <c r="I180" s="13"/>
      <c r="K180" s="13"/>
    </row>
    <row r="181" spans="3:11" x14ac:dyDescent="0.2">
      <c r="C181" s="13"/>
      <c r="E181" s="13"/>
      <c r="G181" s="13"/>
      <c r="I181" s="13"/>
      <c r="K181" s="13"/>
    </row>
    <row r="182" spans="3:11" x14ac:dyDescent="0.2">
      <c r="C182" s="13"/>
      <c r="E182" s="13"/>
      <c r="G182" s="13"/>
      <c r="I182" s="13"/>
      <c r="K182" s="13"/>
    </row>
    <row r="183" spans="3:11" x14ac:dyDescent="0.2">
      <c r="C183" s="13"/>
      <c r="E183" s="13"/>
      <c r="G183" s="13"/>
      <c r="I183" s="13"/>
      <c r="K183" s="13"/>
    </row>
    <row r="184" spans="3:11" x14ac:dyDescent="0.2">
      <c r="C184" s="13"/>
      <c r="E184" s="13"/>
      <c r="G184" s="13"/>
      <c r="I184" s="13"/>
      <c r="K184" s="13"/>
    </row>
    <row r="185" spans="3:11" x14ac:dyDescent="0.2">
      <c r="C185" s="13"/>
      <c r="E185" s="13"/>
      <c r="G185" s="13"/>
      <c r="I185" s="13"/>
      <c r="K185" s="13"/>
    </row>
    <row r="186" spans="3:11" x14ac:dyDescent="0.2">
      <c r="C186" s="13"/>
      <c r="E186" s="13"/>
      <c r="G186" s="13"/>
      <c r="I186" s="13"/>
      <c r="K186" s="13"/>
    </row>
    <row r="187" spans="3:11" x14ac:dyDescent="0.2">
      <c r="C187" s="13"/>
      <c r="E187" s="13"/>
      <c r="G187" s="13"/>
      <c r="I187" s="13"/>
      <c r="K187" s="13"/>
    </row>
    <row r="188" spans="3:11" x14ac:dyDescent="0.2">
      <c r="C188" s="13"/>
      <c r="E188" s="13"/>
      <c r="G188" s="13"/>
      <c r="I188" s="13"/>
      <c r="K188" s="13"/>
    </row>
    <row r="189" spans="3:11" x14ac:dyDescent="0.2">
      <c r="C189" s="13"/>
      <c r="E189" s="13"/>
      <c r="G189" s="13"/>
      <c r="I189" s="13"/>
      <c r="K189" s="13"/>
    </row>
    <row r="190" spans="3:11" x14ac:dyDescent="0.2">
      <c r="C190" s="13"/>
      <c r="E190" s="13"/>
      <c r="G190" s="13"/>
      <c r="I190" s="13"/>
      <c r="K190" s="13"/>
    </row>
    <row r="191" spans="3:11" x14ac:dyDescent="0.2">
      <c r="C191" s="13"/>
      <c r="E191" s="13"/>
      <c r="G191" s="13"/>
      <c r="I191" s="13"/>
      <c r="K191" s="13"/>
    </row>
    <row r="192" spans="3:11" x14ac:dyDescent="0.2">
      <c r="C192" s="13"/>
      <c r="E192" s="13"/>
      <c r="G192" s="13"/>
      <c r="I192" s="13"/>
      <c r="K192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2" manualBreakCount="2">
    <brk id="49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275"/>
  <sheetViews>
    <sheetView workbookViewId="0">
      <pane xSplit="1" ySplit="10" topLeftCell="B143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51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3" width="11" style="3" bestFit="1" customWidth="1"/>
    <col min="14" max="14" width="14" style="3" bestFit="1" customWidth="1"/>
    <col min="15" max="15" width="11.140625" style="3" bestFit="1" customWidth="1"/>
    <col min="16" max="16384" width="9.140625" style="3"/>
  </cols>
  <sheetData>
    <row r="1" spans="1:15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5" s="87" customFormat="1" ht="15.75" x14ac:dyDescent="0.25">
      <c r="A2" s="103" t="s">
        <v>3656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5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5" x14ac:dyDescent="0.2">
      <c r="B6" s="25" t="s">
        <v>2</v>
      </c>
      <c r="H6" s="25" t="s">
        <v>3</v>
      </c>
      <c r="L6" s="25" t="s">
        <v>4</v>
      </c>
    </row>
    <row r="7" spans="1:15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3657</v>
      </c>
      <c r="L7" s="10" t="s">
        <v>5</v>
      </c>
    </row>
    <row r="8" spans="1:15" x14ac:dyDescent="0.2">
      <c r="B8" s="11"/>
      <c r="D8" s="11"/>
      <c r="F8" s="11"/>
      <c r="H8" s="11"/>
      <c r="J8" s="11"/>
      <c r="L8" s="11"/>
    </row>
    <row r="9" spans="1:15" x14ac:dyDescent="0.2">
      <c r="A9" s="12" t="s">
        <v>3658</v>
      </c>
    </row>
    <row r="10" spans="1:15" x14ac:dyDescent="0.2">
      <c r="A10" s="12" t="s">
        <v>12</v>
      </c>
    </row>
    <row r="11" spans="1:15" x14ac:dyDescent="0.2">
      <c r="A11" s="43" t="s">
        <v>3659</v>
      </c>
      <c r="B11" s="19">
        <v>2075300.07</v>
      </c>
      <c r="C11" s="116"/>
      <c r="D11" s="19">
        <v>0</v>
      </c>
      <c r="E11" s="116"/>
      <c r="F11" s="19">
        <v>0</v>
      </c>
      <c r="G11" s="116"/>
      <c r="H11" s="19">
        <v>0</v>
      </c>
      <c r="I11" s="116"/>
      <c r="J11" s="19">
        <f>H11+F11+D11</f>
        <v>0</v>
      </c>
      <c r="K11" s="116"/>
      <c r="L11" s="19">
        <f>J11+B11</f>
        <v>2075300.07</v>
      </c>
      <c r="O11" s="19"/>
    </row>
    <row r="12" spans="1:15" x14ac:dyDescent="0.2">
      <c r="A12" s="43" t="s">
        <v>3660</v>
      </c>
      <c r="B12" s="19">
        <v>5455384.2700000005</v>
      </c>
      <c r="C12" s="116"/>
      <c r="D12" s="19">
        <v>9399.51</v>
      </c>
      <c r="E12" s="116"/>
      <c r="F12" s="19">
        <v>-14378.77</v>
      </c>
      <c r="G12" s="116"/>
      <c r="H12" s="19">
        <v>0</v>
      </c>
      <c r="I12" s="116"/>
      <c r="J12" s="19">
        <f>H12+F12+D12</f>
        <v>-4979.26</v>
      </c>
      <c r="K12" s="116"/>
      <c r="L12" s="19">
        <f t="shared" ref="L12:L27" si="0">J12+B12</f>
        <v>5450405.0100000007</v>
      </c>
    </row>
    <row r="13" spans="1:15" x14ac:dyDescent="0.2">
      <c r="A13" s="43" t="s">
        <v>3661</v>
      </c>
      <c r="B13" s="19">
        <v>10408034.51</v>
      </c>
      <c r="C13" s="116"/>
      <c r="D13" s="19">
        <v>1921485.36</v>
      </c>
      <c r="E13" s="116"/>
      <c r="F13" s="19">
        <v>-74458.17</v>
      </c>
      <c r="G13" s="116"/>
      <c r="H13" s="19">
        <v>-73624.78</v>
      </c>
      <c r="I13" s="116"/>
      <c r="J13" s="19">
        <f>H13+F13+D13</f>
        <v>1773402.4100000001</v>
      </c>
      <c r="K13" s="116"/>
      <c r="L13" s="19">
        <f t="shared" si="0"/>
        <v>12181436.92</v>
      </c>
    </row>
    <row r="14" spans="1:15" x14ac:dyDescent="0.2">
      <c r="A14" s="43" t="s">
        <v>3662</v>
      </c>
      <c r="B14" s="19">
        <v>167330921.54000002</v>
      </c>
      <c r="C14" s="116"/>
      <c r="D14" s="19">
        <v>11035927.699999999</v>
      </c>
      <c r="E14" s="116"/>
      <c r="F14" s="19">
        <v>-1876079.84</v>
      </c>
      <c r="G14" s="116"/>
      <c r="H14" s="19">
        <v>-669308.88</v>
      </c>
      <c r="I14" s="116"/>
      <c r="J14" s="19">
        <f>H14+F14+D14</f>
        <v>8490538.9799999986</v>
      </c>
      <c r="K14" s="116"/>
      <c r="L14" s="19">
        <f t="shared" si="0"/>
        <v>175821460.52000001</v>
      </c>
    </row>
    <row r="15" spans="1:15" x14ac:dyDescent="0.2">
      <c r="A15" s="43" t="s">
        <v>3663</v>
      </c>
      <c r="B15" s="19">
        <v>335780291.03999996</v>
      </c>
      <c r="C15" s="116"/>
      <c r="D15" s="19">
        <v>18830441.82</v>
      </c>
      <c r="E15" s="116"/>
      <c r="F15" s="19">
        <v>-1702929.12</v>
      </c>
      <c r="G15" s="116"/>
      <c r="H15" s="19">
        <v>0</v>
      </c>
      <c r="I15" s="116"/>
      <c r="J15" s="19">
        <f>H15+F15+D15</f>
        <v>17127512.699999999</v>
      </c>
      <c r="K15" s="116"/>
      <c r="L15" s="19">
        <f t="shared" si="0"/>
        <v>352907803.73999995</v>
      </c>
    </row>
    <row r="16" spans="1:15" x14ac:dyDescent="0.2">
      <c r="A16" s="43" t="s">
        <v>3664</v>
      </c>
      <c r="B16" s="19">
        <v>316202423.24000001</v>
      </c>
      <c r="C16" s="116"/>
      <c r="D16" s="19">
        <v>22601077.899999999</v>
      </c>
      <c r="E16" s="116"/>
      <c r="F16" s="19">
        <v>-7489267.7000000002</v>
      </c>
      <c r="G16" s="116"/>
      <c r="H16" s="19">
        <v>0</v>
      </c>
      <c r="I16" s="116"/>
      <c r="J16" s="19">
        <f t="shared" ref="J16:J27" si="1">H16+F16+D16</f>
        <v>15111810.199999999</v>
      </c>
      <c r="K16" s="116"/>
      <c r="L16" s="19">
        <f t="shared" si="0"/>
        <v>331314233.44</v>
      </c>
    </row>
    <row r="17" spans="1:14" x14ac:dyDescent="0.2">
      <c r="A17" s="43" t="s">
        <v>3665</v>
      </c>
      <c r="B17" s="19">
        <v>2189375.2899999996</v>
      </c>
      <c r="C17" s="116"/>
      <c r="D17" s="19">
        <v>29793.25</v>
      </c>
      <c r="E17" s="116"/>
      <c r="F17" s="19">
        <v>0</v>
      </c>
      <c r="G17" s="116"/>
      <c r="H17" s="19">
        <v>0</v>
      </c>
      <c r="I17" s="116"/>
      <c r="J17" s="19">
        <f t="shared" si="1"/>
        <v>29793.25</v>
      </c>
      <c r="K17" s="116"/>
      <c r="L17" s="19">
        <f t="shared" si="0"/>
        <v>2219168.5399999996</v>
      </c>
    </row>
    <row r="18" spans="1:14" x14ac:dyDescent="0.2">
      <c r="A18" s="43" t="s">
        <v>3666</v>
      </c>
      <c r="B18" s="19">
        <v>176254765.72000003</v>
      </c>
      <c r="C18" s="116"/>
      <c r="D18" s="19">
        <v>7964163.6299999999</v>
      </c>
      <c r="E18" s="116"/>
      <c r="F18" s="19">
        <v>-874631.2</v>
      </c>
      <c r="G18" s="116"/>
      <c r="H18" s="19">
        <v>0</v>
      </c>
      <c r="I18" s="116"/>
      <c r="J18" s="19">
        <f t="shared" si="1"/>
        <v>7089532.4299999997</v>
      </c>
      <c r="K18" s="116"/>
      <c r="L18" s="19">
        <f t="shared" si="0"/>
        <v>183344298.15000004</v>
      </c>
    </row>
    <row r="19" spans="1:14" x14ac:dyDescent="0.2">
      <c r="A19" s="43" t="s">
        <v>3667</v>
      </c>
      <c r="B19" s="19">
        <v>298522434.40000004</v>
      </c>
      <c r="C19" s="116"/>
      <c r="D19" s="19">
        <v>7774305.7199999997</v>
      </c>
      <c r="E19" s="116"/>
      <c r="F19" s="19">
        <v>-7785666.2699999996</v>
      </c>
      <c r="G19" s="116"/>
      <c r="H19" s="19">
        <v>0</v>
      </c>
      <c r="I19" s="116"/>
      <c r="J19" s="19">
        <f t="shared" si="1"/>
        <v>-11360.549999999814</v>
      </c>
      <c r="K19" s="116"/>
      <c r="L19" s="19">
        <f t="shared" si="0"/>
        <v>298511073.85000002</v>
      </c>
    </row>
    <row r="20" spans="1:14" x14ac:dyDescent="0.2">
      <c r="A20" s="43" t="s">
        <v>3668</v>
      </c>
      <c r="B20" s="19">
        <v>97780929.50999999</v>
      </c>
      <c r="C20" s="116"/>
      <c r="D20" s="19">
        <v>10791153.93</v>
      </c>
      <c r="E20" s="116"/>
      <c r="F20" s="19">
        <v>-79568.639999999999</v>
      </c>
      <c r="G20" s="116"/>
      <c r="H20" s="19">
        <v>0</v>
      </c>
      <c r="I20" s="116"/>
      <c r="J20" s="19">
        <f t="shared" si="1"/>
        <v>10711585.289999999</v>
      </c>
      <c r="K20" s="116"/>
      <c r="L20" s="19">
        <f t="shared" si="0"/>
        <v>108492514.79999998</v>
      </c>
    </row>
    <row r="21" spans="1:14" x14ac:dyDescent="0.2">
      <c r="A21" s="43" t="s">
        <v>3669</v>
      </c>
      <c r="B21" s="19">
        <v>73715435.519999996</v>
      </c>
      <c r="C21" s="116"/>
      <c r="D21" s="19">
        <v>968860.8</v>
      </c>
      <c r="E21" s="116"/>
      <c r="F21" s="19">
        <v>-1757459.33</v>
      </c>
      <c r="G21" s="116"/>
      <c r="H21" s="19">
        <v>-10038276.189999999</v>
      </c>
      <c r="I21" s="116"/>
      <c r="J21" s="19">
        <f t="shared" si="1"/>
        <v>-10826874.719999999</v>
      </c>
      <c r="K21" s="116"/>
      <c r="L21" s="19">
        <f t="shared" si="0"/>
        <v>62888560.799999997</v>
      </c>
      <c r="N21" s="15"/>
    </row>
    <row r="22" spans="1:14" x14ac:dyDescent="0.2">
      <c r="A22" s="43" t="s">
        <v>3670</v>
      </c>
      <c r="B22" s="19">
        <v>952365.7</v>
      </c>
      <c r="C22" s="116"/>
      <c r="D22" s="19">
        <v>135795.26</v>
      </c>
      <c r="E22" s="116"/>
      <c r="F22" s="19">
        <v>0</v>
      </c>
      <c r="G22" s="116"/>
      <c r="H22" s="19">
        <v>0</v>
      </c>
      <c r="I22" s="116"/>
      <c r="J22" s="19">
        <f t="shared" si="1"/>
        <v>135795.26</v>
      </c>
      <c r="K22" s="116"/>
      <c r="L22" s="19">
        <f t="shared" si="0"/>
        <v>1088160.96</v>
      </c>
      <c r="N22" s="15"/>
    </row>
    <row r="23" spans="1:14" x14ac:dyDescent="0.2">
      <c r="A23" s="43" t="s">
        <v>3671</v>
      </c>
      <c r="B23" s="19">
        <v>0</v>
      </c>
      <c r="C23" s="116"/>
      <c r="D23" s="19">
        <v>320790.63</v>
      </c>
      <c r="E23" s="116"/>
      <c r="F23" s="19">
        <v>0</v>
      </c>
      <c r="G23" s="116"/>
      <c r="H23" s="19">
        <v>10038276.189999999</v>
      </c>
      <c r="I23" s="116"/>
      <c r="J23" s="19">
        <f t="shared" si="1"/>
        <v>10359066.82</v>
      </c>
      <c r="K23" s="116"/>
      <c r="L23" s="19">
        <f t="shared" si="0"/>
        <v>10359066.82</v>
      </c>
      <c r="N23" s="15"/>
    </row>
    <row r="24" spans="1:14" x14ac:dyDescent="0.2">
      <c r="A24" s="43" t="s">
        <v>3672</v>
      </c>
      <c r="B24" s="19">
        <v>0</v>
      </c>
      <c r="C24" s="116"/>
      <c r="D24" s="19">
        <v>0</v>
      </c>
      <c r="E24" s="116"/>
      <c r="F24" s="19">
        <v>0</v>
      </c>
      <c r="G24" s="116"/>
      <c r="H24" s="19">
        <v>0</v>
      </c>
      <c r="I24" s="116"/>
      <c r="J24" s="19">
        <f t="shared" si="1"/>
        <v>0</v>
      </c>
      <c r="K24" s="116"/>
      <c r="L24" s="19">
        <f t="shared" si="0"/>
        <v>0</v>
      </c>
    </row>
    <row r="25" spans="1:14" x14ac:dyDescent="0.2">
      <c r="A25" s="43" t="s">
        <v>3673</v>
      </c>
      <c r="B25" s="26">
        <v>107384766.87</v>
      </c>
      <c r="C25" s="115"/>
      <c r="D25" s="19">
        <v>6597780.5899999999</v>
      </c>
      <c r="E25" s="116"/>
      <c r="F25" s="19">
        <v>-810333.36</v>
      </c>
      <c r="G25" s="116"/>
      <c r="H25" s="19">
        <v>0</v>
      </c>
      <c r="I25" s="115"/>
      <c r="J25" s="19">
        <f t="shared" si="1"/>
        <v>5787447.2299999995</v>
      </c>
      <c r="K25" s="115"/>
      <c r="L25" s="19">
        <f t="shared" si="0"/>
        <v>113172214.10000001</v>
      </c>
    </row>
    <row r="26" spans="1:14" x14ac:dyDescent="0.2">
      <c r="A26" s="43" t="s">
        <v>3674</v>
      </c>
      <c r="B26" s="26">
        <v>622146.49</v>
      </c>
      <c r="C26" s="115"/>
      <c r="D26" s="19">
        <v>0</v>
      </c>
      <c r="E26" s="116"/>
      <c r="F26" s="19">
        <v>0</v>
      </c>
      <c r="G26" s="116"/>
      <c r="H26" s="19">
        <v>19555.349999999999</v>
      </c>
      <c r="I26" s="115"/>
      <c r="J26" s="19">
        <f t="shared" si="1"/>
        <v>19555.349999999999</v>
      </c>
      <c r="K26" s="115"/>
      <c r="L26" s="19">
        <f t="shared" si="0"/>
        <v>641701.84</v>
      </c>
    </row>
    <row r="27" spans="1:14" x14ac:dyDescent="0.2">
      <c r="A27" s="76" t="s">
        <v>3675</v>
      </c>
      <c r="B27" s="26">
        <v>71256.579999999958</v>
      </c>
      <c r="C27" s="115"/>
      <c r="D27" s="19">
        <v>0</v>
      </c>
      <c r="E27" s="116"/>
      <c r="F27" s="19">
        <v>-1700.75</v>
      </c>
      <c r="G27" s="116"/>
      <c r="H27" s="19">
        <v>-41067.300000000003</v>
      </c>
      <c r="I27" s="115"/>
      <c r="J27" s="19">
        <f t="shared" si="1"/>
        <v>-42768.05</v>
      </c>
      <c r="K27" s="115"/>
      <c r="L27" s="19">
        <f t="shared" si="0"/>
        <v>28488.529999999955</v>
      </c>
    </row>
    <row r="28" spans="1:14" x14ac:dyDescent="0.2">
      <c r="B28" s="32">
        <f>SUM(B11:B27)</f>
        <v>1594745830.7499998</v>
      </c>
      <c r="C28" s="115"/>
      <c r="D28" s="32">
        <f>SUM(D11:D27)</f>
        <v>88980976.099999994</v>
      </c>
      <c r="E28" s="115"/>
      <c r="F28" s="32">
        <f>SUM(F11:F27)</f>
        <v>-22466473.149999999</v>
      </c>
      <c r="G28" s="115"/>
      <c r="H28" s="32">
        <f>SUM(H11:H27)</f>
        <v>-764445.61000000022</v>
      </c>
      <c r="I28" s="115"/>
      <c r="J28" s="32">
        <f>SUM(J11:J27)</f>
        <v>65750057.340000004</v>
      </c>
      <c r="K28" s="115"/>
      <c r="L28" s="32">
        <f>SUM(L11:L27)</f>
        <v>1660495888.0899999</v>
      </c>
    </row>
    <row r="29" spans="1:14" x14ac:dyDescent="0.2">
      <c r="B29" s="26"/>
      <c r="C29" s="115"/>
      <c r="D29" s="26"/>
      <c r="E29" s="115"/>
      <c r="F29" s="26"/>
      <c r="G29" s="115"/>
      <c r="H29" s="26"/>
      <c r="I29" s="115"/>
      <c r="J29" s="26"/>
      <c r="K29" s="115"/>
      <c r="L29" s="26"/>
    </row>
    <row r="30" spans="1:14" x14ac:dyDescent="0.2">
      <c r="A30" s="12" t="s">
        <v>13</v>
      </c>
      <c r="B30" s="26"/>
      <c r="C30" s="115"/>
      <c r="D30" s="26"/>
      <c r="E30" s="115"/>
      <c r="F30" s="26"/>
      <c r="G30" s="115"/>
      <c r="H30" s="26"/>
      <c r="I30" s="115"/>
      <c r="J30" s="26"/>
      <c r="K30" s="115"/>
      <c r="L30" s="26"/>
    </row>
    <row r="31" spans="1:14" x14ac:dyDescent="0.2">
      <c r="A31" s="43" t="s">
        <v>3676</v>
      </c>
      <c r="B31" s="19">
        <v>3049487.07</v>
      </c>
      <c r="C31" s="116"/>
      <c r="D31" s="19">
        <v>99552</v>
      </c>
      <c r="E31" s="116"/>
      <c r="F31" s="19">
        <v>0</v>
      </c>
      <c r="G31" s="116"/>
      <c r="H31" s="19">
        <v>-131956.31</v>
      </c>
      <c r="I31" s="116"/>
      <c r="J31" s="19">
        <f t="shared" ref="J31:J47" si="2">H31+F31+D31</f>
        <v>-32404.309999999998</v>
      </c>
      <c r="K31" s="116"/>
      <c r="L31" s="19">
        <f t="shared" ref="L31:L43" si="3">J31+B31</f>
        <v>3017082.76</v>
      </c>
      <c r="N31" s="15"/>
    </row>
    <row r="32" spans="1:14" x14ac:dyDescent="0.2">
      <c r="A32" s="43" t="s">
        <v>3677</v>
      </c>
      <c r="B32" s="19">
        <v>56738418.540000007</v>
      </c>
      <c r="C32" s="116"/>
      <c r="D32" s="19">
        <v>3121725.81</v>
      </c>
      <c r="E32" s="116"/>
      <c r="F32" s="19">
        <v>-150168.47</v>
      </c>
      <c r="G32" s="116"/>
      <c r="H32" s="19">
        <v>5134.63</v>
      </c>
      <c r="I32" s="116"/>
      <c r="J32" s="19">
        <f>H32+F32+D32</f>
        <v>2976691.97</v>
      </c>
      <c r="K32" s="116"/>
      <c r="L32" s="19">
        <f>J32+B32</f>
        <v>59715110.510000005</v>
      </c>
    </row>
    <row r="33" spans="1:12" x14ac:dyDescent="0.2">
      <c r="A33" s="3" t="s">
        <v>3678</v>
      </c>
      <c r="B33" s="19">
        <v>440860.27</v>
      </c>
      <c r="C33" s="116"/>
      <c r="D33" s="19">
        <v>0</v>
      </c>
      <c r="E33" s="116"/>
      <c r="F33" s="19">
        <v>-3924.94</v>
      </c>
      <c r="G33" s="116"/>
      <c r="H33" s="19">
        <v>-5134.63</v>
      </c>
      <c r="I33" s="116"/>
      <c r="J33" s="19">
        <f t="shared" si="2"/>
        <v>-9059.57</v>
      </c>
      <c r="K33" s="116"/>
      <c r="L33" s="19">
        <f t="shared" si="3"/>
        <v>431800.7</v>
      </c>
    </row>
    <row r="34" spans="1:12" x14ac:dyDescent="0.2">
      <c r="A34" s="43" t="s">
        <v>3679</v>
      </c>
      <c r="B34" s="19">
        <v>9688117.9400000013</v>
      </c>
      <c r="C34" s="116"/>
      <c r="D34" s="19">
        <v>1150337.75</v>
      </c>
      <c r="E34" s="116"/>
      <c r="F34" s="19">
        <v>-283354.86</v>
      </c>
      <c r="G34" s="116"/>
      <c r="H34" s="19">
        <v>0</v>
      </c>
      <c r="I34" s="116"/>
      <c r="J34" s="19">
        <f t="shared" si="2"/>
        <v>866982.89</v>
      </c>
      <c r="K34" s="116"/>
      <c r="L34" s="19">
        <f t="shared" si="3"/>
        <v>10555100.830000002</v>
      </c>
    </row>
    <row r="35" spans="1:12" x14ac:dyDescent="0.2">
      <c r="A35" s="43" t="s">
        <v>3680</v>
      </c>
      <c r="B35" s="19">
        <v>21729085.969999995</v>
      </c>
      <c r="C35" s="116"/>
      <c r="D35" s="19">
        <v>5435512.8200000003</v>
      </c>
      <c r="E35" s="116"/>
      <c r="F35" s="19">
        <v>-4079972.85</v>
      </c>
      <c r="G35" s="116"/>
      <c r="H35" s="19">
        <v>0</v>
      </c>
      <c r="I35" s="116"/>
      <c r="J35" s="19">
        <f t="shared" si="2"/>
        <v>1355539.9700000002</v>
      </c>
      <c r="K35" s="116"/>
      <c r="L35" s="19">
        <f t="shared" si="3"/>
        <v>23084625.939999994</v>
      </c>
    </row>
    <row r="36" spans="1:12" x14ac:dyDescent="0.2">
      <c r="A36" s="43" t="s">
        <v>3681</v>
      </c>
      <c r="B36" s="19">
        <v>0</v>
      </c>
      <c r="C36" s="116"/>
      <c r="D36" s="19">
        <v>0</v>
      </c>
      <c r="E36" s="116"/>
      <c r="F36" s="19">
        <v>0</v>
      </c>
      <c r="G36" s="116"/>
      <c r="H36" s="19">
        <v>0</v>
      </c>
      <c r="I36" s="116"/>
      <c r="J36" s="19">
        <f t="shared" si="2"/>
        <v>0</v>
      </c>
      <c r="K36" s="116"/>
      <c r="L36" s="19">
        <f t="shared" si="3"/>
        <v>0</v>
      </c>
    </row>
    <row r="37" spans="1:12" x14ac:dyDescent="0.2">
      <c r="A37" s="43" t="s">
        <v>3682</v>
      </c>
      <c r="B37" s="19">
        <v>4354226.29</v>
      </c>
      <c r="C37" s="116"/>
      <c r="D37" s="19">
        <v>1095049.83</v>
      </c>
      <c r="E37" s="116"/>
      <c r="F37" s="19">
        <v>-878964.66</v>
      </c>
      <c r="G37" s="116"/>
      <c r="H37" s="19">
        <v>0</v>
      </c>
      <c r="I37" s="116"/>
      <c r="J37" s="19">
        <f t="shared" si="2"/>
        <v>216085.17000000004</v>
      </c>
      <c r="K37" s="116"/>
      <c r="L37" s="19">
        <f t="shared" si="3"/>
        <v>4570311.46</v>
      </c>
    </row>
    <row r="38" spans="1:12" x14ac:dyDescent="0.2">
      <c r="A38" s="43" t="s">
        <v>3683</v>
      </c>
      <c r="B38" s="19">
        <v>1339258.0699999989</v>
      </c>
      <c r="C38" s="116"/>
      <c r="D38" s="19">
        <v>149526.26</v>
      </c>
      <c r="E38" s="116"/>
      <c r="F38" s="19">
        <v>-38921.74</v>
      </c>
      <c r="G38" s="116"/>
      <c r="H38" s="19">
        <v>0</v>
      </c>
      <c r="I38" s="116"/>
      <c r="J38" s="19">
        <f t="shared" si="2"/>
        <v>110604.52000000002</v>
      </c>
      <c r="K38" s="116"/>
      <c r="L38" s="19">
        <f t="shared" si="3"/>
        <v>1449862.5899999989</v>
      </c>
    </row>
    <row r="39" spans="1:12" x14ac:dyDescent="0.2">
      <c r="A39" s="43" t="s">
        <v>3684</v>
      </c>
      <c r="B39" s="19">
        <v>5824837.5900000008</v>
      </c>
      <c r="C39" s="116"/>
      <c r="D39" s="19">
        <v>0</v>
      </c>
      <c r="E39" s="116"/>
      <c r="F39" s="19">
        <v>-27677.5</v>
      </c>
      <c r="G39" s="116"/>
      <c r="H39" s="19">
        <v>0</v>
      </c>
      <c r="I39" s="116"/>
      <c r="J39" s="19">
        <f t="shared" si="2"/>
        <v>-27677.5</v>
      </c>
      <c r="K39" s="116"/>
      <c r="L39" s="19">
        <f t="shared" si="3"/>
        <v>5797160.0900000008</v>
      </c>
    </row>
    <row r="40" spans="1:12" x14ac:dyDescent="0.2">
      <c r="A40" s="43" t="s">
        <v>3685</v>
      </c>
      <c r="B40" s="19">
        <v>906444.57</v>
      </c>
      <c r="C40" s="116"/>
      <c r="D40" s="19">
        <v>0</v>
      </c>
      <c r="E40" s="116"/>
      <c r="F40" s="19">
        <v>0</v>
      </c>
      <c r="G40" s="116"/>
      <c r="H40" s="19">
        <v>0</v>
      </c>
      <c r="I40" s="116"/>
      <c r="J40" s="19">
        <f t="shared" si="2"/>
        <v>0</v>
      </c>
      <c r="K40" s="116"/>
      <c r="L40" s="19">
        <f t="shared" si="3"/>
        <v>906444.57</v>
      </c>
    </row>
    <row r="41" spans="1:12" x14ac:dyDescent="0.2">
      <c r="A41" s="43" t="s">
        <v>3686</v>
      </c>
      <c r="B41" s="19">
        <v>11940160.16</v>
      </c>
      <c r="C41" s="116"/>
      <c r="D41" s="19">
        <v>979943.55</v>
      </c>
      <c r="E41" s="116"/>
      <c r="F41" s="19">
        <v>-273451.17</v>
      </c>
      <c r="G41" s="116"/>
      <c r="H41" s="19">
        <v>0</v>
      </c>
      <c r="I41" s="116"/>
      <c r="J41" s="19">
        <f t="shared" si="2"/>
        <v>706492.38000000012</v>
      </c>
      <c r="K41" s="116"/>
      <c r="L41" s="19">
        <f t="shared" si="3"/>
        <v>12646652.540000001</v>
      </c>
    </row>
    <row r="42" spans="1:12" x14ac:dyDescent="0.2">
      <c r="A42" s="43" t="s">
        <v>3687</v>
      </c>
      <c r="B42" s="19">
        <v>0</v>
      </c>
      <c r="C42" s="116"/>
      <c r="D42" s="19">
        <v>0</v>
      </c>
      <c r="E42" s="116"/>
      <c r="F42" s="19">
        <v>0</v>
      </c>
      <c r="G42" s="116"/>
      <c r="H42" s="19">
        <v>0</v>
      </c>
      <c r="I42" s="116"/>
      <c r="J42" s="19">
        <f t="shared" si="2"/>
        <v>0</v>
      </c>
      <c r="K42" s="116"/>
      <c r="L42" s="19">
        <f t="shared" si="3"/>
        <v>0</v>
      </c>
    </row>
    <row r="43" spans="1:12" x14ac:dyDescent="0.2">
      <c r="A43" s="43" t="s">
        <v>3688</v>
      </c>
      <c r="B43" s="19">
        <v>2136115.2600000002</v>
      </c>
      <c r="C43" s="116"/>
      <c r="D43" s="19">
        <v>34463.82</v>
      </c>
      <c r="E43" s="116"/>
      <c r="F43" s="19">
        <v>0</v>
      </c>
      <c r="G43" s="116"/>
      <c r="H43" s="19">
        <v>0</v>
      </c>
      <c r="I43" s="116"/>
      <c r="J43" s="19">
        <f t="shared" si="2"/>
        <v>34463.82</v>
      </c>
      <c r="K43" s="116"/>
      <c r="L43" s="19">
        <f t="shared" si="3"/>
        <v>2170579.08</v>
      </c>
    </row>
    <row r="44" spans="1:12" x14ac:dyDescent="0.2">
      <c r="A44" s="3" t="s">
        <v>3689</v>
      </c>
      <c r="B44" s="19">
        <v>26282595.439999998</v>
      </c>
      <c r="C44" s="116"/>
      <c r="D44" s="19">
        <v>2841750.2</v>
      </c>
      <c r="E44" s="116"/>
      <c r="F44" s="19">
        <v>-1916.55</v>
      </c>
      <c r="G44" s="116"/>
      <c r="H44" s="19">
        <v>0</v>
      </c>
      <c r="I44" s="116"/>
      <c r="J44" s="19">
        <f t="shared" si="2"/>
        <v>2839833.6500000004</v>
      </c>
      <c r="K44" s="116"/>
      <c r="L44" s="19">
        <f>J44+B44</f>
        <v>29122429.089999996</v>
      </c>
    </row>
    <row r="45" spans="1:12" x14ac:dyDescent="0.2">
      <c r="A45" s="3" t="s">
        <v>3690</v>
      </c>
      <c r="B45" s="19">
        <v>17864653.390000004</v>
      </c>
      <c r="C45" s="116"/>
      <c r="D45" s="19">
        <v>860659.9</v>
      </c>
      <c r="E45" s="116"/>
      <c r="F45" s="19">
        <v>0</v>
      </c>
      <c r="G45" s="116"/>
      <c r="H45" s="19">
        <v>0</v>
      </c>
      <c r="I45" s="116"/>
      <c r="J45" s="19">
        <f t="shared" si="2"/>
        <v>860659.9</v>
      </c>
      <c r="K45" s="116"/>
      <c r="L45" s="19">
        <f>J45+B45</f>
        <v>18725313.290000003</v>
      </c>
    </row>
    <row r="46" spans="1:12" x14ac:dyDescent="0.2">
      <c r="A46" s="43" t="s">
        <v>3691</v>
      </c>
      <c r="B46" s="19">
        <v>6688482.5800000001</v>
      </c>
      <c r="C46" s="116"/>
      <c r="D46" s="19">
        <v>870650.03</v>
      </c>
      <c r="E46" s="116"/>
      <c r="F46" s="19">
        <v>0</v>
      </c>
      <c r="G46" s="116"/>
      <c r="H46" s="19">
        <v>0</v>
      </c>
      <c r="I46" s="116"/>
      <c r="J46" s="19">
        <f t="shared" si="2"/>
        <v>870650.03</v>
      </c>
      <c r="K46" s="116"/>
      <c r="L46" s="19">
        <f>J46+B46</f>
        <v>7559132.6100000003</v>
      </c>
    </row>
    <row r="47" spans="1:12" x14ac:dyDescent="0.2">
      <c r="A47" s="43" t="s">
        <v>3692</v>
      </c>
      <c r="B47" s="27">
        <v>0</v>
      </c>
      <c r="C47" s="115"/>
      <c r="D47" s="19">
        <v>0</v>
      </c>
      <c r="E47" s="115"/>
      <c r="F47" s="19">
        <v>0</v>
      </c>
      <c r="G47" s="115"/>
      <c r="H47" s="19">
        <v>0</v>
      </c>
      <c r="I47" s="115"/>
      <c r="J47" s="27">
        <f t="shared" si="2"/>
        <v>0</v>
      </c>
      <c r="K47" s="115"/>
      <c r="L47" s="27">
        <f>J47+B47</f>
        <v>0</v>
      </c>
    </row>
    <row r="48" spans="1:12" x14ac:dyDescent="0.2">
      <c r="B48" s="26">
        <f>SUM(B31:B47)</f>
        <v>168982743.14000005</v>
      </c>
      <c r="C48" s="115"/>
      <c r="D48" s="32">
        <f>SUM(D31:D47)</f>
        <v>16639171.970000003</v>
      </c>
      <c r="E48" s="115"/>
      <c r="F48" s="32">
        <f>SUM(F31:F47)</f>
        <v>-5738352.7400000002</v>
      </c>
      <c r="G48" s="115"/>
      <c r="H48" s="32">
        <f>SUM(H31:H47)</f>
        <v>-131956.31</v>
      </c>
      <c r="I48" s="115"/>
      <c r="J48" s="26">
        <f>SUM(J31:J47)</f>
        <v>10768862.920000002</v>
      </c>
      <c r="K48" s="115"/>
      <c r="L48" s="26">
        <f>SUM(L31:L47)</f>
        <v>179751606.06</v>
      </c>
    </row>
    <row r="49" spans="1:12" x14ac:dyDescent="0.2">
      <c r="B49" s="26"/>
      <c r="C49" s="115"/>
      <c r="D49" s="26"/>
      <c r="E49" s="115"/>
      <c r="F49" s="26"/>
      <c r="G49" s="115"/>
      <c r="H49" s="26"/>
      <c r="I49" s="115"/>
      <c r="J49" s="26"/>
      <c r="K49" s="115"/>
      <c r="L49" s="26"/>
    </row>
    <row r="50" spans="1:12" x14ac:dyDescent="0.2">
      <c r="A50" s="12" t="s">
        <v>14</v>
      </c>
      <c r="B50" s="26"/>
      <c r="C50" s="115"/>
      <c r="D50" s="26"/>
      <c r="E50" s="115"/>
      <c r="F50" s="26"/>
      <c r="G50" s="115"/>
      <c r="H50" s="26"/>
      <c r="I50" s="115"/>
      <c r="J50" s="26"/>
      <c r="K50" s="115"/>
      <c r="L50" s="26"/>
    </row>
    <row r="51" spans="1:12" x14ac:dyDescent="0.2">
      <c r="A51" s="43" t="s">
        <v>3693</v>
      </c>
      <c r="B51" s="26">
        <v>879311.47</v>
      </c>
      <c r="C51" s="115"/>
      <c r="D51" s="19">
        <v>0</v>
      </c>
      <c r="E51" s="116"/>
      <c r="F51" s="19">
        <v>-23675</v>
      </c>
      <c r="G51" s="116"/>
      <c r="H51" s="19">
        <v>0</v>
      </c>
      <c r="I51" s="116"/>
      <c r="J51" s="19">
        <f t="shared" ref="J51:J58" si="4">H51+F51+D51</f>
        <v>-23675</v>
      </c>
      <c r="K51" s="115"/>
      <c r="L51" s="26">
        <f t="shared" ref="L51:L58" si="5">J51+B51</f>
        <v>855636.47</v>
      </c>
    </row>
    <row r="52" spans="1:12" x14ac:dyDescent="0.2">
      <c r="A52" s="43" t="s">
        <v>3694</v>
      </c>
      <c r="B52" s="26">
        <v>2999390.54</v>
      </c>
      <c r="C52" s="115"/>
      <c r="D52" s="19">
        <v>0</v>
      </c>
      <c r="E52" s="116"/>
      <c r="F52" s="19">
        <v>0</v>
      </c>
      <c r="G52" s="116"/>
      <c r="H52" s="19">
        <v>0</v>
      </c>
      <c r="I52" s="116"/>
      <c r="J52" s="19">
        <f t="shared" si="4"/>
        <v>0</v>
      </c>
      <c r="K52" s="115"/>
      <c r="L52" s="26">
        <f t="shared" si="5"/>
        <v>2999390.54</v>
      </c>
    </row>
    <row r="53" spans="1:12" x14ac:dyDescent="0.2">
      <c r="A53" s="43" t="s">
        <v>3695</v>
      </c>
      <c r="B53" s="26">
        <v>21885646.370000001</v>
      </c>
      <c r="C53" s="115"/>
      <c r="D53" s="19">
        <v>0</v>
      </c>
      <c r="E53" s="116"/>
      <c r="F53" s="19">
        <v>0</v>
      </c>
      <c r="G53" s="116"/>
      <c r="H53" s="19">
        <v>0</v>
      </c>
      <c r="I53" s="116"/>
      <c r="J53" s="19">
        <f t="shared" si="4"/>
        <v>0</v>
      </c>
      <c r="K53" s="115"/>
      <c r="L53" s="26">
        <f t="shared" si="5"/>
        <v>21885646.370000001</v>
      </c>
    </row>
    <row r="54" spans="1:12" x14ac:dyDescent="0.2">
      <c r="A54" s="43" t="s">
        <v>3696</v>
      </c>
      <c r="B54" s="26">
        <v>14046741.58</v>
      </c>
      <c r="C54" s="115"/>
      <c r="D54" s="19">
        <v>0</v>
      </c>
      <c r="E54" s="116"/>
      <c r="F54" s="19">
        <v>0</v>
      </c>
      <c r="G54" s="116"/>
      <c r="H54" s="19">
        <v>0</v>
      </c>
      <c r="I54" s="116"/>
      <c r="J54" s="19">
        <f t="shared" si="4"/>
        <v>0</v>
      </c>
      <c r="K54" s="115"/>
      <c r="L54" s="26">
        <f t="shared" si="5"/>
        <v>14046741.58</v>
      </c>
    </row>
    <row r="55" spans="1:12" x14ac:dyDescent="0.2">
      <c r="A55" s="43" t="s">
        <v>3697</v>
      </c>
      <c r="B55" s="26">
        <v>1362584.79</v>
      </c>
      <c r="C55" s="115"/>
      <c r="D55" s="19">
        <v>0</v>
      </c>
      <c r="E55" s="116"/>
      <c r="F55" s="19">
        <v>0</v>
      </c>
      <c r="G55" s="116"/>
      <c r="H55" s="19">
        <v>0</v>
      </c>
      <c r="I55" s="116"/>
      <c r="J55" s="19">
        <f t="shared" si="4"/>
        <v>0</v>
      </c>
      <c r="K55" s="115"/>
      <c r="L55" s="26">
        <f t="shared" si="5"/>
        <v>1362584.79</v>
      </c>
    </row>
    <row r="56" spans="1:12" x14ac:dyDescent="0.2">
      <c r="A56" s="43" t="s">
        <v>3698</v>
      </c>
      <c r="B56" s="26">
        <v>316946.74</v>
      </c>
      <c r="C56" s="115"/>
      <c r="D56" s="19">
        <v>0</v>
      </c>
      <c r="E56" s="116"/>
      <c r="F56" s="19">
        <v>0</v>
      </c>
      <c r="G56" s="116"/>
      <c r="H56" s="19">
        <v>0</v>
      </c>
      <c r="I56" s="116"/>
      <c r="J56" s="19">
        <f t="shared" si="4"/>
        <v>0</v>
      </c>
      <c r="K56" s="115"/>
      <c r="L56" s="26">
        <f t="shared" si="5"/>
        <v>316946.74</v>
      </c>
    </row>
    <row r="57" spans="1:12" x14ac:dyDescent="0.2">
      <c r="A57" s="43" t="s">
        <v>3699</v>
      </c>
      <c r="B57" s="26">
        <v>234509.12999999998</v>
      </c>
      <c r="C57" s="115"/>
      <c r="D57" s="19">
        <v>0</v>
      </c>
      <c r="E57" s="116"/>
      <c r="F57" s="19">
        <v>0</v>
      </c>
      <c r="G57" s="116"/>
      <c r="H57" s="19">
        <v>0</v>
      </c>
      <c r="I57" s="116"/>
      <c r="J57" s="19">
        <f t="shared" si="4"/>
        <v>0</v>
      </c>
      <c r="K57" s="115"/>
      <c r="L57" s="26">
        <f t="shared" si="5"/>
        <v>234509.12999999998</v>
      </c>
    </row>
    <row r="58" spans="1:12" x14ac:dyDescent="0.2">
      <c r="A58" s="43" t="s">
        <v>3700</v>
      </c>
      <c r="B58" s="27">
        <v>645787.99</v>
      </c>
      <c r="C58" s="115"/>
      <c r="D58" s="19">
        <v>0</v>
      </c>
      <c r="E58" s="116"/>
      <c r="F58" s="19">
        <v>0</v>
      </c>
      <c r="G58" s="116"/>
      <c r="H58" s="19">
        <v>0</v>
      </c>
      <c r="I58" s="116"/>
      <c r="J58" s="19">
        <f t="shared" si="4"/>
        <v>0</v>
      </c>
      <c r="K58" s="115"/>
      <c r="L58" s="27">
        <f t="shared" si="5"/>
        <v>645787.99</v>
      </c>
    </row>
    <row r="59" spans="1:12" x14ac:dyDescent="0.2">
      <c r="B59" s="26">
        <f>SUM(B51:B58)</f>
        <v>42370918.610000007</v>
      </c>
      <c r="C59" s="115"/>
      <c r="D59" s="32">
        <f>SUM(D51:D58)</f>
        <v>0</v>
      </c>
      <c r="E59" s="115"/>
      <c r="F59" s="32">
        <f>SUM(F51:F58)</f>
        <v>-23675</v>
      </c>
      <c r="G59" s="115"/>
      <c r="H59" s="32">
        <f>SUM(H51:H58)</f>
        <v>0</v>
      </c>
      <c r="I59" s="115"/>
      <c r="J59" s="32">
        <f>SUM(J51:J58)</f>
        <v>-23675</v>
      </c>
      <c r="K59" s="115"/>
      <c r="L59" s="26">
        <f>SUM(L51:L58)</f>
        <v>42347243.610000007</v>
      </c>
    </row>
    <row r="60" spans="1:12" x14ac:dyDescent="0.2">
      <c r="B60" s="26"/>
      <c r="C60" s="115"/>
      <c r="D60" s="26"/>
      <c r="E60" s="115"/>
      <c r="F60" s="26"/>
      <c r="G60" s="115"/>
      <c r="H60" s="26"/>
      <c r="I60" s="115"/>
      <c r="J60" s="26"/>
      <c r="K60" s="115"/>
      <c r="L60" s="26"/>
    </row>
    <row r="61" spans="1:12" x14ac:dyDescent="0.2">
      <c r="A61" s="12" t="s">
        <v>15</v>
      </c>
      <c r="B61" s="26"/>
      <c r="C61" s="115"/>
      <c r="D61" s="26"/>
      <c r="E61" s="115"/>
      <c r="F61" s="26"/>
      <c r="G61" s="115"/>
      <c r="H61" s="26"/>
      <c r="I61" s="115"/>
      <c r="J61" s="26"/>
      <c r="K61" s="115"/>
      <c r="L61" s="26"/>
    </row>
    <row r="62" spans="1:12" x14ac:dyDescent="0.2">
      <c r="A62" s="43" t="s">
        <v>3701</v>
      </c>
      <c r="B62" s="26">
        <v>39116.89</v>
      </c>
      <c r="C62" s="115"/>
      <c r="D62" s="19">
        <v>0</v>
      </c>
      <c r="E62" s="115"/>
      <c r="F62" s="19">
        <v>0</v>
      </c>
      <c r="G62" s="115"/>
      <c r="H62" s="19">
        <v>0</v>
      </c>
      <c r="I62" s="115"/>
      <c r="J62" s="26">
        <f>H62+F62+D62</f>
        <v>0</v>
      </c>
      <c r="K62" s="115"/>
      <c r="L62" s="26">
        <f>J62+B62</f>
        <v>39116.89</v>
      </c>
    </row>
    <row r="63" spans="1:12" x14ac:dyDescent="0.2">
      <c r="A63" s="43" t="s">
        <v>3702</v>
      </c>
      <c r="B63" s="26">
        <v>55918.829999999994</v>
      </c>
      <c r="C63" s="115"/>
      <c r="D63" s="19">
        <v>0</v>
      </c>
      <c r="E63" s="115"/>
      <c r="F63" s="19">
        <v>0</v>
      </c>
      <c r="G63" s="115"/>
      <c r="H63" s="19">
        <v>0</v>
      </c>
      <c r="I63" s="115"/>
      <c r="J63" s="26">
        <f>H63+F63+D63</f>
        <v>0</v>
      </c>
      <c r="K63" s="115"/>
      <c r="L63" s="26">
        <f>J63+B63</f>
        <v>55918.829999999994</v>
      </c>
    </row>
    <row r="64" spans="1:12" x14ac:dyDescent="0.2">
      <c r="A64" s="43" t="s">
        <v>3703</v>
      </c>
      <c r="B64" s="26">
        <v>48833361.969999999</v>
      </c>
      <c r="C64" s="115"/>
      <c r="D64" s="19">
        <v>11083870.050000001</v>
      </c>
      <c r="E64" s="115"/>
      <c r="F64" s="19">
        <v>-7464577.3600000003</v>
      </c>
      <c r="G64" s="115"/>
      <c r="H64" s="19">
        <v>0</v>
      </c>
      <c r="I64" s="115"/>
      <c r="J64" s="26">
        <f>H64+F64+D64</f>
        <v>3619292.6900000004</v>
      </c>
      <c r="K64" s="115"/>
      <c r="L64" s="26">
        <f>J64+B64</f>
        <v>52452654.659999996</v>
      </c>
    </row>
    <row r="65" spans="1:12" x14ac:dyDescent="0.2">
      <c r="A65" s="43" t="s">
        <v>3704</v>
      </c>
      <c r="B65" s="27">
        <v>41045494.530000001</v>
      </c>
      <c r="C65" s="115"/>
      <c r="D65" s="19">
        <v>0</v>
      </c>
      <c r="E65" s="115"/>
      <c r="F65" s="19">
        <v>0</v>
      </c>
      <c r="G65" s="115"/>
      <c r="H65" s="19">
        <v>0</v>
      </c>
      <c r="I65" s="115"/>
      <c r="J65" s="27">
        <f>H65+F65+D65</f>
        <v>0</v>
      </c>
      <c r="K65" s="115"/>
      <c r="L65" s="27">
        <f>J65+B65</f>
        <v>41045494.530000001</v>
      </c>
    </row>
    <row r="66" spans="1:12" x14ac:dyDescent="0.2">
      <c r="B66" s="26">
        <f>SUM(B62:B65)</f>
        <v>89973892.219999999</v>
      </c>
      <c r="C66" s="115"/>
      <c r="D66" s="32">
        <f>SUM(D62:D65)</f>
        <v>11083870.050000001</v>
      </c>
      <c r="E66" s="115"/>
      <c r="F66" s="32">
        <f>SUM(F62:F65)</f>
        <v>-7464577.3600000003</v>
      </c>
      <c r="G66" s="115"/>
      <c r="H66" s="32">
        <f>SUM(H62:H65)</f>
        <v>0</v>
      </c>
      <c r="I66" s="115"/>
      <c r="J66" s="26">
        <f>SUM(J62:J65)</f>
        <v>3619292.6900000004</v>
      </c>
      <c r="K66" s="115"/>
      <c r="L66" s="26">
        <f>SUM(L62:L65)</f>
        <v>93593184.909999996</v>
      </c>
    </row>
    <row r="67" spans="1:12" x14ac:dyDescent="0.2">
      <c r="B67" s="26"/>
      <c r="C67" s="115"/>
      <c r="D67" s="26"/>
      <c r="E67" s="115"/>
      <c r="F67" s="26"/>
      <c r="G67" s="115"/>
      <c r="H67" s="26"/>
      <c r="I67" s="115"/>
      <c r="J67" s="26"/>
      <c r="K67" s="115"/>
      <c r="L67" s="26"/>
    </row>
    <row r="68" spans="1:12" x14ac:dyDescent="0.2">
      <c r="A68" s="12" t="s">
        <v>16</v>
      </c>
      <c r="B68" s="26"/>
      <c r="C68" s="115"/>
      <c r="D68" s="26"/>
      <c r="E68" s="115"/>
      <c r="F68" s="26"/>
      <c r="G68" s="115"/>
      <c r="H68" s="26"/>
      <c r="I68" s="115"/>
      <c r="J68" s="26"/>
      <c r="K68" s="115"/>
      <c r="L68" s="26"/>
    </row>
    <row r="69" spans="1:12" x14ac:dyDescent="0.2">
      <c r="A69" s="43" t="s">
        <v>3705</v>
      </c>
      <c r="B69" s="26">
        <v>176409.31</v>
      </c>
      <c r="C69" s="115"/>
      <c r="D69" s="19">
        <v>0</v>
      </c>
      <c r="E69" s="115"/>
      <c r="F69" s="19">
        <v>0</v>
      </c>
      <c r="G69" s="115"/>
      <c r="H69" s="19">
        <v>0</v>
      </c>
      <c r="I69" s="115"/>
      <c r="J69" s="26">
        <f t="shared" ref="J69:J78" si="6">H69+F69+D69</f>
        <v>0</v>
      </c>
      <c r="K69" s="115"/>
      <c r="L69" s="26">
        <f t="shared" ref="L69:L78" si="7">J69+B69</f>
        <v>176409.31</v>
      </c>
    </row>
    <row r="70" spans="1:12" x14ac:dyDescent="0.2">
      <c r="A70" s="43" t="s">
        <v>3706</v>
      </c>
      <c r="B70" s="26">
        <v>297169.20999999996</v>
      </c>
      <c r="C70" s="115"/>
      <c r="D70" s="19">
        <v>0</v>
      </c>
      <c r="E70" s="115"/>
      <c r="F70" s="19">
        <v>0</v>
      </c>
      <c r="G70" s="115"/>
      <c r="H70" s="19">
        <v>0</v>
      </c>
      <c r="I70" s="115"/>
      <c r="J70" s="26">
        <f t="shared" si="6"/>
        <v>0</v>
      </c>
      <c r="K70" s="115"/>
      <c r="L70" s="26">
        <f t="shared" si="7"/>
        <v>297169.20999999996</v>
      </c>
    </row>
    <row r="71" spans="1:12" x14ac:dyDescent="0.2">
      <c r="A71" s="43" t="s">
        <v>3707</v>
      </c>
      <c r="B71" s="26">
        <v>84117402.100000009</v>
      </c>
      <c r="C71" s="115"/>
      <c r="D71" s="19">
        <v>1590007.43</v>
      </c>
      <c r="E71" s="115"/>
      <c r="F71" s="19">
        <v>0</v>
      </c>
      <c r="G71" s="115"/>
      <c r="H71" s="19">
        <v>0</v>
      </c>
      <c r="I71" s="115"/>
      <c r="J71" s="26">
        <f t="shared" si="6"/>
        <v>1590007.43</v>
      </c>
      <c r="K71" s="115"/>
      <c r="L71" s="26">
        <f t="shared" si="7"/>
        <v>85707409.530000016</v>
      </c>
    </row>
    <row r="72" spans="1:12" x14ac:dyDescent="0.2">
      <c r="A72" s="43" t="s">
        <v>3708</v>
      </c>
      <c r="B72" s="26">
        <v>54822917.179999992</v>
      </c>
      <c r="C72" s="115"/>
      <c r="D72" s="19">
        <v>6997238.3499999996</v>
      </c>
      <c r="E72" s="115"/>
      <c r="F72" s="19">
        <v>-19123.07</v>
      </c>
      <c r="G72" s="115"/>
      <c r="H72" s="19">
        <v>0</v>
      </c>
      <c r="I72" s="115"/>
      <c r="J72" s="26">
        <f t="shared" si="6"/>
        <v>6978115.2799999993</v>
      </c>
      <c r="K72" s="115"/>
      <c r="L72" s="26">
        <f t="shared" si="7"/>
        <v>61801032.459999993</v>
      </c>
    </row>
    <row r="73" spans="1:12" x14ac:dyDescent="0.2">
      <c r="A73" s="43" t="s">
        <v>3709</v>
      </c>
      <c r="B73" s="26">
        <v>0</v>
      </c>
      <c r="C73" s="115"/>
      <c r="D73" s="19">
        <v>0</v>
      </c>
      <c r="E73" s="115"/>
      <c r="F73" s="19">
        <v>0</v>
      </c>
      <c r="G73" s="115"/>
      <c r="H73" s="19">
        <v>0</v>
      </c>
      <c r="I73" s="115"/>
      <c r="J73" s="26">
        <f t="shared" si="6"/>
        <v>0</v>
      </c>
      <c r="K73" s="115"/>
      <c r="L73" s="26">
        <f t="shared" si="7"/>
        <v>0</v>
      </c>
    </row>
    <row r="74" spans="1:12" x14ac:dyDescent="0.2">
      <c r="A74" s="43" t="s">
        <v>3710</v>
      </c>
      <c r="B74" s="26">
        <v>639293629.26999998</v>
      </c>
      <c r="C74" s="115"/>
      <c r="D74" s="19">
        <v>4034169.86</v>
      </c>
      <c r="E74" s="115"/>
      <c r="F74" s="19">
        <v>-2558079.84</v>
      </c>
      <c r="G74" s="115"/>
      <c r="H74" s="19">
        <v>0</v>
      </c>
      <c r="I74" s="115"/>
      <c r="J74" s="26">
        <f t="shared" si="6"/>
        <v>1476090.02</v>
      </c>
      <c r="K74" s="115"/>
      <c r="L74" s="26">
        <f t="shared" si="7"/>
        <v>640769719.28999996</v>
      </c>
    </row>
    <row r="75" spans="1:12" x14ac:dyDescent="0.2">
      <c r="A75" s="43" t="s">
        <v>3711</v>
      </c>
      <c r="B75" s="26">
        <v>116673204.00999999</v>
      </c>
      <c r="C75" s="115"/>
      <c r="D75" s="19">
        <v>15137327.189999999</v>
      </c>
      <c r="E75" s="115"/>
      <c r="F75" s="19">
        <v>-475999.11</v>
      </c>
      <c r="G75" s="115"/>
      <c r="H75" s="19">
        <v>0</v>
      </c>
      <c r="I75" s="115"/>
      <c r="J75" s="26">
        <f t="shared" si="6"/>
        <v>14661328.08</v>
      </c>
      <c r="K75" s="115"/>
      <c r="L75" s="26">
        <f t="shared" si="7"/>
        <v>131334532.08999999</v>
      </c>
    </row>
    <row r="76" spans="1:12" x14ac:dyDescent="0.2">
      <c r="A76" s="43" t="s">
        <v>3712</v>
      </c>
      <c r="B76" s="26">
        <v>65639812.61999999</v>
      </c>
      <c r="C76" s="115"/>
      <c r="D76" s="19">
        <v>518610.88</v>
      </c>
      <c r="E76" s="115"/>
      <c r="F76" s="19">
        <v>0</v>
      </c>
      <c r="G76" s="115"/>
      <c r="H76" s="19">
        <v>0</v>
      </c>
      <c r="I76" s="115"/>
      <c r="J76" s="26">
        <f t="shared" si="6"/>
        <v>518610.88</v>
      </c>
      <c r="K76" s="115"/>
      <c r="L76" s="26">
        <f t="shared" si="7"/>
        <v>66158423.499999993</v>
      </c>
    </row>
    <row r="77" spans="1:12" x14ac:dyDescent="0.2">
      <c r="A77" s="43" t="s">
        <v>3713</v>
      </c>
      <c r="B77" s="26">
        <v>0</v>
      </c>
      <c r="C77" s="115"/>
      <c r="D77" s="19">
        <v>0</v>
      </c>
      <c r="E77" s="115"/>
      <c r="F77" s="19">
        <v>0</v>
      </c>
      <c r="G77" s="115"/>
      <c r="H77" s="19">
        <v>0</v>
      </c>
      <c r="I77" s="115"/>
      <c r="J77" s="26">
        <f t="shared" si="6"/>
        <v>0</v>
      </c>
      <c r="K77" s="115"/>
      <c r="L77" s="26">
        <f t="shared" si="7"/>
        <v>0</v>
      </c>
    </row>
    <row r="78" spans="1:12" x14ac:dyDescent="0.2">
      <c r="A78" s="43" t="s">
        <v>3714</v>
      </c>
      <c r="B78" s="26">
        <v>8577429.3999999985</v>
      </c>
      <c r="C78" s="115"/>
      <c r="D78" s="19">
        <v>527339.17000000004</v>
      </c>
      <c r="E78" s="115"/>
      <c r="F78" s="19">
        <v>-27592.94</v>
      </c>
      <c r="G78" s="115"/>
      <c r="H78" s="19">
        <v>0</v>
      </c>
      <c r="I78" s="115"/>
      <c r="J78" s="26">
        <f t="shared" si="6"/>
        <v>499746.23000000004</v>
      </c>
      <c r="K78" s="115"/>
      <c r="L78" s="26">
        <f t="shared" si="7"/>
        <v>9077175.629999999</v>
      </c>
    </row>
    <row r="79" spans="1:12" x14ac:dyDescent="0.2">
      <c r="A79" s="43" t="s">
        <v>3715</v>
      </c>
      <c r="B79" s="27">
        <v>403344.09</v>
      </c>
      <c r="C79" s="115"/>
      <c r="D79" s="19">
        <v>0</v>
      </c>
      <c r="E79" s="115"/>
      <c r="F79" s="19">
        <v>0</v>
      </c>
      <c r="G79" s="115"/>
      <c r="H79" s="19">
        <v>3647.0299999999988</v>
      </c>
      <c r="I79" s="115"/>
      <c r="J79" s="27">
        <f>H79+F79+D79</f>
        <v>3647.0299999999988</v>
      </c>
      <c r="K79" s="115"/>
      <c r="L79" s="27">
        <f>J79+B79</f>
        <v>406991.12</v>
      </c>
    </row>
    <row r="80" spans="1:12" x14ac:dyDescent="0.2">
      <c r="B80" s="26">
        <f>SUM(B69:B79)</f>
        <v>970001317.18999994</v>
      </c>
      <c r="C80" s="115"/>
      <c r="D80" s="32">
        <f>SUM(D69:D79)</f>
        <v>28804692.879999999</v>
      </c>
      <c r="E80" s="115"/>
      <c r="F80" s="32">
        <f>SUM(F69:F79)</f>
        <v>-3080794.9599999995</v>
      </c>
      <c r="G80" s="115"/>
      <c r="H80" s="32">
        <f>SUM(H69:H79)</f>
        <v>3647.0299999999988</v>
      </c>
      <c r="I80" s="115"/>
      <c r="J80" s="26">
        <f>SUM(J69:J79)</f>
        <v>25727544.949999999</v>
      </c>
      <c r="K80" s="115"/>
      <c r="L80" s="26">
        <f>SUM(L69:L79)</f>
        <v>995728862.13999999</v>
      </c>
    </row>
    <row r="81" spans="1:12" x14ac:dyDescent="0.2">
      <c r="B81" s="26"/>
      <c r="C81" s="115"/>
      <c r="D81" s="26"/>
      <c r="E81" s="115"/>
      <c r="F81" s="26"/>
      <c r="G81" s="115"/>
      <c r="H81" s="26"/>
      <c r="I81" s="115"/>
      <c r="J81" s="26"/>
      <c r="K81" s="115"/>
      <c r="L81" s="26"/>
    </row>
    <row r="82" spans="1:12" x14ac:dyDescent="0.2">
      <c r="A82" s="12" t="s">
        <v>17</v>
      </c>
      <c r="C82" s="116"/>
      <c r="E82" s="116"/>
      <c r="G82" s="116"/>
      <c r="I82" s="116"/>
      <c r="K82" s="116"/>
    </row>
    <row r="83" spans="1:12" x14ac:dyDescent="0.2">
      <c r="A83" s="43" t="s">
        <v>3716</v>
      </c>
      <c r="B83" s="19">
        <v>12286216.309999999</v>
      </c>
      <c r="C83" s="116"/>
      <c r="D83" s="19">
        <v>0</v>
      </c>
      <c r="E83" s="115"/>
      <c r="F83" s="19">
        <v>0</v>
      </c>
      <c r="G83" s="115"/>
      <c r="H83" s="19">
        <v>0</v>
      </c>
      <c r="I83" s="116"/>
      <c r="J83" s="19">
        <f t="shared" ref="J83:J94" si="8">H83+F83+D83</f>
        <v>0</v>
      </c>
      <c r="K83" s="116"/>
      <c r="L83" s="19">
        <f t="shared" ref="L83:L94" si="9">J83+B83</f>
        <v>12286216.309999999</v>
      </c>
    </row>
    <row r="84" spans="1:12" x14ac:dyDescent="0.2">
      <c r="A84" s="43" t="s">
        <v>3717</v>
      </c>
      <c r="B84" s="19">
        <v>320941193.40000004</v>
      </c>
      <c r="C84" s="116"/>
      <c r="D84" s="19">
        <v>14250552.34</v>
      </c>
      <c r="E84" s="115"/>
      <c r="F84" s="19">
        <v>-562234.81999999995</v>
      </c>
      <c r="G84" s="115"/>
      <c r="H84" s="19">
        <v>-244219.69</v>
      </c>
      <c r="I84" s="116"/>
      <c r="J84" s="19">
        <f t="shared" si="8"/>
        <v>13444097.83</v>
      </c>
      <c r="K84" s="116"/>
      <c r="L84" s="19">
        <f t="shared" si="9"/>
        <v>334385291.23000002</v>
      </c>
    </row>
    <row r="85" spans="1:12" x14ac:dyDescent="0.2">
      <c r="A85" s="43" t="s">
        <v>3718</v>
      </c>
      <c r="B85" s="19">
        <v>0</v>
      </c>
      <c r="C85" s="116"/>
      <c r="D85" s="19">
        <v>0</v>
      </c>
      <c r="E85" s="115"/>
      <c r="F85" s="19">
        <v>0</v>
      </c>
      <c r="G85" s="115"/>
      <c r="H85" s="19">
        <v>0</v>
      </c>
      <c r="I85" s="116"/>
      <c r="J85" s="19">
        <f t="shared" si="8"/>
        <v>0</v>
      </c>
      <c r="K85" s="116"/>
      <c r="L85" s="19">
        <f t="shared" si="9"/>
        <v>0</v>
      </c>
    </row>
    <row r="86" spans="1:12" x14ac:dyDescent="0.2">
      <c r="A86" s="43" t="s">
        <v>3719</v>
      </c>
      <c r="B86" s="19">
        <v>2807723474.9200001</v>
      </c>
      <c r="C86" s="116"/>
      <c r="D86" s="19">
        <v>453366741.81999999</v>
      </c>
      <c r="E86" s="115"/>
      <c r="F86" s="19">
        <v>-8820017.4299999997</v>
      </c>
      <c r="G86" s="115"/>
      <c r="H86" s="19">
        <v>0</v>
      </c>
      <c r="I86" s="116"/>
      <c r="J86" s="19">
        <f t="shared" si="8"/>
        <v>444546724.38999999</v>
      </c>
      <c r="K86" s="116"/>
      <c r="L86" s="19">
        <f t="shared" si="9"/>
        <v>3252270199.3099999</v>
      </c>
    </row>
    <row r="87" spans="1:12" x14ac:dyDescent="0.2">
      <c r="A87" s="43" t="s">
        <v>3720</v>
      </c>
      <c r="B87" s="19">
        <v>0</v>
      </c>
      <c r="C87" s="116"/>
      <c r="D87" s="19">
        <v>0</v>
      </c>
      <c r="E87" s="115"/>
      <c r="F87" s="19">
        <v>0</v>
      </c>
      <c r="G87" s="115"/>
      <c r="H87" s="19">
        <v>0</v>
      </c>
      <c r="I87" s="116"/>
      <c r="J87" s="19">
        <f t="shared" si="8"/>
        <v>0</v>
      </c>
      <c r="K87" s="116"/>
      <c r="L87" s="19">
        <f t="shared" si="9"/>
        <v>0</v>
      </c>
    </row>
    <row r="88" spans="1:12" x14ac:dyDescent="0.2">
      <c r="A88" s="43" t="s">
        <v>3721</v>
      </c>
      <c r="B88" s="19">
        <v>330124557.32999992</v>
      </c>
      <c r="C88" s="116"/>
      <c r="D88" s="19">
        <v>9300791.7699999996</v>
      </c>
      <c r="E88" s="115"/>
      <c r="F88" s="19">
        <v>-4439606</v>
      </c>
      <c r="G88" s="115"/>
      <c r="H88" s="19">
        <v>221969.43</v>
      </c>
      <c r="I88" s="116"/>
      <c r="J88" s="19">
        <f t="shared" si="8"/>
        <v>5083155.1999999993</v>
      </c>
      <c r="K88" s="116"/>
      <c r="L88" s="19">
        <f t="shared" si="9"/>
        <v>335207712.52999991</v>
      </c>
    </row>
    <row r="89" spans="1:12" x14ac:dyDescent="0.2">
      <c r="A89" s="43" t="s">
        <v>3722</v>
      </c>
      <c r="B89" s="19">
        <v>0</v>
      </c>
      <c r="C89" s="116"/>
      <c r="D89" s="19">
        <v>0</v>
      </c>
      <c r="E89" s="115"/>
      <c r="F89" s="19">
        <v>0</v>
      </c>
      <c r="G89" s="115"/>
      <c r="H89" s="19">
        <v>0</v>
      </c>
      <c r="I89" s="116"/>
      <c r="J89" s="19">
        <f t="shared" si="8"/>
        <v>0</v>
      </c>
      <c r="K89" s="116"/>
      <c r="L89" s="19">
        <f t="shared" si="9"/>
        <v>0</v>
      </c>
    </row>
    <row r="90" spans="1:12" x14ac:dyDescent="0.2">
      <c r="A90" s="43" t="s">
        <v>3723</v>
      </c>
      <c r="B90" s="19">
        <v>211550294.50999999</v>
      </c>
      <c r="C90" s="116"/>
      <c r="D90" s="19">
        <v>27649486.699999999</v>
      </c>
      <c r="E90" s="115"/>
      <c r="F90" s="19">
        <v>-115476.19</v>
      </c>
      <c r="G90" s="115"/>
      <c r="H90" s="19">
        <v>0</v>
      </c>
      <c r="I90" s="116"/>
      <c r="J90" s="19">
        <f t="shared" si="8"/>
        <v>27534010.509999998</v>
      </c>
      <c r="K90" s="116"/>
      <c r="L90" s="19">
        <f t="shared" si="9"/>
        <v>239084305.01999998</v>
      </c>
    </row>
    <row r="91" spans="1:12" x14ac:dyDescent="0.2">
      <c r="A91" s="3" t="s">
        <v>3724</v>
      </c>
      <c r="B91" s="19">
        <v>0</v>
      </c>
      <c r="C91" s="116"/>
      <c r="D91" s="19">
        <v>0</v>
      </c>
      <c r="E91" s="115"/>
      <c r="F91" s="19">
        <v>0</v>
      </c>
      <c r="G91" s="115"/>
      <c r="H91" s="19">
        <v>0</v>
      </c>
      <c r="I91" s="116"/>
      <c r="J91" s="19">
        <f t="shared" si="8"/>
        <v>0</v>
      </c>
      <c r="K91" s="116"/>
      <c r="L91" s="19">
        <f t="shared" si="9"/>
        <v>0</v>
      </c>
    </row>
    <row r="92" spans="1:12" x14ac:dyDescent="0.2">
      <c r="A92" s="43" t="s">
        <v>3725</v>
      </c>
      <c r="B92" s="19">
        <v>33749760.060000002</v>
      </c>
      <c r="C92" s="116"/>
      <c r="D92" s="19">
        <v>919736.19</v>
      </c>
      <c r="E92" s="115"/>
      <c r="F92" s="19">
        <v>-416466.95</v>
      </c>
      <c r="G92" s="115"/>
      <c r="H92" s="19">
        <v>22250.26</v>
      </c>
      <c r="I92" s="116"/>
      <c r="J92" s="19">
        <f t="shared" si="8"/>
        <v>525519.5</v>
      </c>
      <c r="K92" s="116"/>
      <c r="L92" s="19">
        <f t="shared" si="9"/>
        <v>34275279.560000002</v>
      </c>
    </row>
    <row r="93" spans="1:12" x14ac:dyDescent="0.2">
      <c r="A93" s="43" t="s">
        <v>3726</v>
      </c>
      <c r="B93" s="26">
        <v>27653256.49999994</v>
      </c>
      <c r="C93" s="115"/>
      <c r="D93" s="19">
        <v>0</v>
      </c>
      <c r="E93" s="115"/>
      <c r="F93" s="19">
        <v>-203134</v>
      </c>
      <c r="G93" s="115"/>
      <c r="H93" s="19">
        <v>7488204.6200000001</v>
      </c>
      <c r="I93" s="115"/>
      <c r="J93" s="26">
        <f t="shared" si="8"/>
        <v>7285070.6200000001</v>
      </c>
      <c r="K93" s="115"/>
      <c r="L93" s="26">
        <f t="shared" si="9"/>
        <v>34938327.119999938</v>
      </c>
    </row>
    <row r="94" spans="1:12" x14ac:dyDescent="0.2">
      <c r="A94" s="43" t="s">
        <v>3727</v>
      </c>
      <c r="B94" s="26">
        <v>220491458.15000004</v>
      </c>
      <c r="C94" s="115"/>
      <c r="D94" s="19">
        <v>0</v>
      </c>
      <c r="E94" s="115"/>
      <c r="F94" s="19">
        <v>0</v>
      </c>
      <c r="G94" s="115"/>
      <c r="H94" s="19">
        <v>-53428221.539999999</v>
      </c>
      <c r="I94" s="115"/>
      <c r="J94" s="26">
        <f t="shared" si="8"/>
        <v>-53428221.539999999</v>
      </c>
      <c r="K94" s="115"/>
      <c r="L94" s="26">
        <f t="shared" si="9"/>
        <v>167063236.61000004</v>
      </c>
    </row>
    <row r="95" spans="1:12" x14ac:dyDescent="0.2">
      <c r="B95" s="32">
        <f>SUM(B83:B94)</f>
        <v>3964520211.1800003</v>
      </c>
      <c r="C95" s="115"/>
      <c r="D95" s="32">
        <f>SUM(D83:D94)</f>
        <v>505487308.81999993</v>
      </c>
      <c r="E95" s="115"/>
      <c r="F95" s="32">
        <f>SUM(F83:F94)</f>
        <v>-14556935.389999999</v>
      </c>
      <c r="G95" s="115"/>
      <c r="H95" s="32">
        <f>SUM(H83:H94)</f>
        <v>-45940016.920000002</v>
      </c>
      <c r="I95" s="115"/>
      <c r="J95" s="32">
        <f>SUM(J83:J94)</f>
        <v>444990356.50999993</v>
      </c>
      <c r="K95" s="115"/>
      <c r="L95" s="32">
        <f>SUM(L83:L94)</f>
        <v>4409510567.6899996</v>
      </c>
    </row>
    <row r="96" spans="1:12" x14ac:dyDescent="0.2">
      <c r="B96" s="26"/>
      <c r="C96" s="115"/>
      <c r="D96" s="26"/>
      <c r="E96" s="115"/>
      <c r="F96" s="26"/>
      <c r="G96" s="115"/>
      <c r="H96" s="26"/>
      <c r="I96" s="115"/>
      <c r="J96" s="26"/>
      <c r="K96" s="115"/>
      <c r="L96" s="26"/>
    </row>
    <row r="97" spans="1:12" x14ac:dyDescent="0.2">
      <c r="A97" s="12" t="s">
        <v>18</v>
      </c>
      <c r="B97" s="26"/>
      <c r="C97" s="115"/>
      <c r="D97" s="26"/>
      <c r="E97" s="115"/>
      <c r="F97" s="26"/>
      <c r="G97" s="115"/>
      <c r="H97" s="26"/>
      <c r="I97" s="115"/>
      <c r="J97" s="26"/>
      <c r="K97" s="115"/>
      <c r="L97" s="26"/>
    </row>
    <row r="98" spans="1:12" x14ac:dyDescent="0.2">
      <c r="A98" s="43" t="s">
        <v>3728</v>
      </c>
      <c r="B98" s="26">
        <v>27309924.549999997</v>
      </c>
      <c r="C98" s="115"/>
      <c r="D98" s="19">
        <v>0</v>
      </c>
      <c r="E98" s="115"/>
      <c r="F98" s="19">
        <v>0</v>
      </c>
      <c r="G98" s="115"/>
      <c r="H98" s="19">
        <v>0</v>
      </c>
      <c r="I98" s="115"/>
      <c r="J98" s="26">
        <f t="shared" ref="J98:J111" si="10">H98+F98+D98</f>
        <v>0</v>
      </c>
      <c r="K98" s="115"/>
      <c r="L98" s="26">
        <f t="shared" ref="L98:L111" si="11">J98+B98</f>
        <v>27309924.549999997</v>
      </c>
    </row>
    <row r="99" spans="1:12" x14ac:dyDescent="0.2">
      <c r="A99" s="43" t="s">
        <v>3729</v>
      </c>
      <c r="B99" s="26">
        <v>2314569.5699999998</v>
      </c>
      <c r="C99" s="115"/>
      <c r="D99" s="19">
        <v>0</v>
      </c>
      <c r="E99" s="115"/>
      <c r="F99" s="19">
        <v>0</v>
      </c>
      <c r="G99" s="115"/>
      <c r="H99" s="19">
        <v>0</v>
      </c>
      <c r="I99" s="115"/>
      <c r="J99" s="26">
        <f t="shared" si="10"/>
        <v>0</v>
      </c>
      <c r="K99" s="115"/>
      <c r="L99" s="26">
        <f t="shared" si="11"/>
        <v>2314569.5699999998</v>
      </c>
    </row>
    <row r="100" spans="1:12" x14ac:dyDescent="0.2">
      <c r="A100" s="43" t="s">
        <v>3730</v>
      </c>
      <c r="B100" s="26">
        <v>26625203.890000004</v>
      </c>
      <c r="C100" s="115"/>
      <c r="D100" s="19">
        <v>993723.76</v>
      </c>
      <c r="E100" s="115"/>
      <c r="F100" s="19">
        <v>-101498.12</v>
      </c>
      <c r="G100" s="115"/>
      <c r="H100" s="19">
        <v>147601.17000000001</v>
      </c>
      <c r="I100" s="115"/>
      <c r="J100" s="26">
        <f t="shared" si="10"/>
        <v>1039826.81</v>
      </c>
      <c r="K100" s="115"/>
      <c r="L100" s="26">
        <f t="shared" si="11"/>
        <v>27665030.700000003</v>
      </c>
    </row>
    <row r="101" spans="1:12" x14ac:dyDescent="0.2">
      <c r="A101" s="43" t="s">
        <v>3731</v>
      </c>
      <c r="B101" s="26">
        <v>193226.00999999992</v>
      </c>
      <c r="C101" s="115"/>
      <c r="D101" s="19">
        <v>0</v>
      </c>
      <c r="E101" s="115"/>
      <c r="F101" s="19">
        <v>-32410.2</v>
      </c>
      <c r="G101" s="115"/>
      <c r="H101" s="19">
        <v>-77830.59</v>
      </c>
      <c r="I101" s="115"/>
      <c r="J101" s="26">
        <f t="shared" si="10"/>
        <v>-110240.79</v>
      </c>
      <c r="K101" s="115"/>
      <c r="L101" s="26">
        <f t="shared" si="11"/>
        <v>82985.219999999928</v>
      </c>
    </row>
    <row r="102" spans="1:12" x14ac:dyDescent="0.2">
      <c r="A102" s="43" t="s">
        <v>3732</v>
      </c>
      <c r="B102" s="26">
        <v>238866533.25999999</v>
      </c>
      <c r="C102" s="115"/>
      <c r="D102" s="19">
        <v>14314171.189999999</v>
      </c>
      <c r="E102" s="115"/>
      <c r="F102" s="19">
        <v>-2212475.8199999998</v>
      </c>
      <c r="G102" s="115"/>
      <c r="H102" s="19">
        <v>617291.75</v>
      </c>
      <c r="I102" s="115"/>
      <c r="J102" s="26">
        <f t="shared" si="10"/>
        <v>12718987.119999999</v>
      </c>
      <c r="K102" s="115"/>
      <c r="L102" s="26">
        <f t="shared" si="11"/>
        <v>251585520.38</v>
      </c>
    </row>
    <row r="103" spans="1:12" x14ac:dyDescent="0.2">
      <c r="A103" s="43" t="s">
        <v>3733</v>
      </c>
      <c r="B103" s="26">
        <v>0</v>
      </c>
      <c r="C103" s="115"/>
      <c r="D103" s="19">
        <v>0</v>
      </c>
      <c r="E103" s="115"/>
      <c r="F103" s="19">
        <v>0</v>
      </c>
      <c r="G103" s="115"/>
      <c r="H103" s="19">
        <v>0</v>
      </c>
      <c r="I103" s="115"/>
      <c r="J103" s="26">
        <f t="shared" si="10"/>
        <v>0</v>
      </c>
      <c r="K103" s="115"/>
      <c r="L103" s="26">
        <f t="shared" si="11"/>
        <v>0</v>
      </c>
    </row>
    <row r="104" spans="1:12" x14ac:dyDescent="0.2">
      <c r="A104" s="43" t="s">
        <v>3734</v>
      </c>
      <c r="B104" s="26">
        <v>6541159.8899999997</v>
      </c>
      <c r="C104" s="115"/>
      <c r="D104" s="19">
        <v>35703.760000000002</v>
      </c>
      <c r="E104" s="115"/>
      <c r="F104" s="19">
        <v>-3949271.49</v>
      </c>
      <c r="G104" s="115"/>
      <c r="H104" s="19">
        <v>-3521.71</v>
      </c>
      <c r="I104" s="115"/>
      <c r="J104" s="26">
        <f t="shared" si="10"/>
        <v>-3917089.4400000004</v>
      </c>
      <c r="K104" s="115"/>
      <c r="L104" s="26">
        <f t="shared" si="11"/>
        <v>2624070.4499999993</v>
      </c>
    </row>
    <row r="105" spans="1:12" x14ac:dyDescent="0.2">
      <c r="A105" s="43" t="s">
        <v>3735</v>
      </c>
      <c r="B105" s="26">
        <v>69277599.61999999</v>
      </c>
      <c r="C105" s="115"/>
      <c r="D105" s="19">
        <v>1593369.88</v>
      </c>
      <c r="E105" s="115"/>
      <c r="F105" s="19">
        <v>-18956.650000000001</v>
      </c>
      <c r="G105" s="115"/>
      <c r="H105" s="19">
        <v>0</v>
      </c>
      <c r="I105" s="115"/>
      <c r="J105" s="26">
        <f t="shared" si="10"/>
        <v>1574413.23</v>
      </c>
      <c r="K105" s="115"/>
      <c r="L105" s="26">
        <f t="shared" si="11"/>
        <v>70852012.849999994</v>
      </c>
    </row>
    <row r="106" spans="1:12" x14ac:dyDescent="0.2">
      <c r="A106" s="43" t="s">
        <v>3736</v>
      </c>
      <c r="B106" s="26">
        <v>224215230.29000002</v>
      </c>
      <c r="C106" s="115"/>
      <c r="D106" s="19">
        <v>37315346</v>
      </c>
      <c r="E106" s="115"/>
      <c r="F106" s="19">
        <v>-4153974.33</v>
      </c>
      <c r="G106" s="115"/>
      <c r="H106" s="19">
        <v>0</v>
      </c>
      <c r="I106" s="115"/>
      <c r="J106" s="26">
        <f t="shared" si="10"/>
        <v>33161371.670000002</v>
      </c>
      <c r="K106" s="115"/>
      <c r="L106" s="26">
        <f t="shared" si="11"/>
        <v>257376601.96000004</v>
      </c>
    </row>
    <row r="107" spans="1:12" x14ac:dyDescent="0.2">
      <c r="A107" s="43" t="s">
        <v>3737</v>
      </c>
      <c r="B107" s="26">
        <v>156924145.55999997</v>
      </c>
      <c r="C107" s="115"/>
      <c r="D107" s="19">
        <v>5306900.82</v>
      </c>
      <c r="E107" s="115"/>
      <c r="F107" s="19">
        <v>-1946415.14</v>
      </c>
      <c r="G107" s="115"/>
      <c r="H107" s="19">
        <v>0</v>
      </c>
      <c r="I107" s="115"/>
      <c r="J107" s="26">
        <f t="shared" si="10"/>
        <v>3360485.6800000006</v>
      </c>
      <c r="K107" s="115"/>
      <c r="L107" s="26">
        <f t="shared" si="11"/>
        <v>160284631.23999998</v>
      </c>
    </row>
    <row r="108" spans="1:12" x14ac:dyDescent="0.2">
      <c r="A108" s="43" t="s">
        <v>3738</v>
      </c>
      <c r="B108" s="26">
        <v>448760.26</v>
      </c>
      <c r="C108" s="115"/>
      <c r="D108" s="19">
        <v>0</v>
      </c>
      <c r="E108" s="115"/>
      <c r="F108" s="19">
        <v>0</v>
      </c>
      <c r="G108" s="115"/>
      <c r="H108" s="19">
        <v>0</v>
      </c>
      <c r="I108" s="115"/>
      <c r="J108" s="26">
        <f t="shared" si="10"/>
        <v>0</v>
      </c>
      <c r="K108" s="115"/>
      <c r="L108" s="26">
        <f t="shared" si="11"/>
        <v>448760.26</v>
      </c>
    </row>
    <row r="109" spans="1:12" x14ac:dyDescent="0.2">
      <c r="A109" s="43" t="s">
        <v>3739</v>
      </c>
      <c r="B109" s="26">
        <v>1118444.1700000002</v>
      </c>
      <c r="C109" s="115"/>
      <c r="D109" s="19">
        <v>180766.28</v>
      </c>
      <c r="E109" s="115"/>
      <c r="F109" s="19">
        <v>-566.96</v>
      </c>
      <c r="G109" s="115"/>
      <c r="H109" s="19">
        <v>0</v>
      </c>
      <c r="I109" s="115"/>
      <c r="J109" s="26">
        <f t="shared" si="10"/>
        <v>180199.32</v>
      </c>
      <c r="K109" s="115"/>
      <c r="L109" s="26">
        <f t="shared" si="11"/>
        <v>1298643.4900000002</v>
      </c>
    </row>
    <row r="110" spans="1:12" x14ac:dyDescent="0.2">
      <c r="A110" s="43" t="s">
        <v>3740</v>
      </c>
      <c r="B110" s="26">
        <v>84829.629999999976</v>
      </c>
      <c r="C110" s="115"/>
      <c r="D110" s="19">
        <v>0</v>
      </c>
      <c r="E110" s="115"/>
      <c r="F110" s="19">
        <v>0</v>
      </c>
      <c r="G110" s="115"/>
      <c r="H110" s="19">
        <v>-11824.21</v>
      </c>
      <c r="I110" s="115"/>
      <c r="J110" s="26">
        <f t="shared" si="10"/>
        <v>-11824.21</v>
      </c>
      <c r="K110" s="115"/>
      <c r="L110" s="26">
        <f t="shared" si="11"/>
        <v>73005.419999999984</v>
      </c>
    </row>
    <row r="111" spans="1:12" x14ac:dyDescent="0.2">
      <c r="A111" s="43" t="s">
        <v>3741</v>
      </c>
      <c r="B111" s="27">
        <v>483852.19999999995</v>
      </c>
      <c r="C111" s="115"/>
      <c r="D111" s="19">
        <v>0</v>
      </c>
      <c r="E111" s="115"/>
      <c r="F111" s="19">
        <v>0</v>
      </c>
      <c r="G111" s="115"/>
      <c r="H111" s="19">
        <v>0</v>
      </c>
      <c r="I111" s="115"/>
      <c r="J111" s="27">
        <f t="shared" si="10"/>
        <v>0</v>
      </c>
      <c r="K111" s="115"/>
      <c r="L111" s="27">
        <f t="shared" si="11"/>
        <v>483852.19999999995</v>
      </c>
    </row>
    <row r="112" spans="1:12" x14ac:dyDescent="0.2">
      <c r="B112" s="26">
        <f>SUM(B98:B111)</f>
        <v>754403478.89999986</v>
      </c>
      <c r="C112" s="115"/>
      <c r="D112" s="32">
        <f>SUM(D98:D111)</f>
        <v>59739981.690000005</v>
      </c>
      <c r="E112" s="115"/>
      <c r="F112" s="32">
        <f>SUM(F98:F111)</f>
        <v>-12415568.710000001</v>
      </c>
      <c r="G112" s="115"/>
      <c r="H112" s="32">
        <f>SUM(H98:H111)</f>
        <v>671716.41000000015</v>
      </c>
      <c r="I112" s="115"/>
      <c r="J112" s="26">
        <f>SUM(J98:J111)</f>
        <v>47996129.390000001</v>
      </c>
      <c r="K112" s="115"/>
      <c r="L112" s="26">
        <f>SUM(L98:L111)</f>
        <v>802399608.29000008</v>
      </c>
    </row>
    <row r="113" spans="1:14" x14ac:dyDescent="0.2">
      <c r="B113" s="26"/>
      <c r="C113" s="116"/>
      <c r="D113" s="26"/>
      <c r="E113" s="116"/>
      <c r="F113" s="26"/>
      <c r="G113" s="116"/>
      <c r="H113" s="26"/>
      <c r="I113" s="116"/>
      <c r="J113" s="26"/>
      <c r="K113" s="116"/>
      <c r="L113" s="26"/>
    </row>
    <row r="114" spans="1:14" x14ac:dyDescent="0.2">
      <c r="C114" s="116"/>
      <c r="E114" s="116"/>
      <c r="G114" s="116"/>
      <c r="I114" s="116"/>
      <c r="K114" s="116"/>
    </row>
    <row r="115" spans="1:14" x14ac:dyDescent="0.2">
      <c r="A115" s="12" t="s">
        <v>3742</v>
      </c>
      <c r="B115" s="31">
        <f>B112+B95+B80+B66+B59+B48+B28</f>
        <v>7584998391.9899998</v>
      </c>
      <c r="C115" s="115"/>
      <c r="D115" s="31">
        <f>D112+D95+D80+D66+D59+D48+D28</f>
        <v>710736001.50999999</v>
      </c>
      <c r="E115" s="115"/>
      <c r="F115" s="31">
        <f>F112+F95+F80+F66+F59+F48+F28</f>
        <v>-65746377.310000002</v>
      </c>
      <c r="G115" s="115"/>
      <c r="H115" s="31">
        <f>H112+H95+H80+H66+H59+H48+H28</f>
        <v>-46161055.400000006</v>
      </c>
      <c r="I115" s="115"/>
      <c r="J115" s="31">
        <f>J112+J95+J80+J66+J59+J48+J28</f>
        <v>598828568.79999995</v>
      </c>
      <c r="K115" s="115"/>
      <c r="L115" s="31">
        <f>L112+L95+L80+L66+L59+L48+L28</f>
        <v>8183826960.79</v>
      </c>
    </row>
    <row r="116" spans="1:14" x14ac:dyDescent="0.2">
      <c r="A116" s="12"/>
      <c r="B116" s="26"/>
      <c r="C116" s="115"/>
      <c r="D116" s="26"/>
      <c r="E116" s="115"/>
      <c r="F116" s="26"/>
      <c r="G116" s="115"/>
      <c r="H116" s="26"/>
      <c r="I116" s="115"/>
      <c r="J116" s="26"/>
      <c r="K116" s="115"/>
      <c r="L116" s="26"/>
    </row>
    <row r="117" spans="1:14" x14ac:dyDescent="0.2">
      <c r="C117" s="116"/>
      <c r="E117" s="116"/>
      <c r="G117" s="116"/>
      <c r="I117" s="116"/>
      <c r="K117" s="116"/>
    </row>
    <row r="118" spans="1:14" x14ac:dyDescent="0.2">
      <c r="A118" s="12" t="s">
        <v>3646</v>
      </c>
      <c r="C118" s="116"/>
      <c r="E118" s="116"/>
      <c r="G118" s="116"/>
      <c r="I118" s="116"/>
      <c r="K118" s="116"/>
    </row>
    <row r="119" spans="1:14" x14ac:dyDescent="0.2">
      <c r="A119" s="12" t="s">
        <v>12</v>
      </c>
      <c r="C119" s="116"/>
      <c r="E119" s="116"/>
      <c r="G119" s="116"/>
      <c r="I119" s="116"/>
      <c r="K119" s="116"/>
    </row>
    <row r="120" spans="1:14" x14ac:dyDescent="0.2">
      <c r="A120" s="3" t="s">
        <v>3743</v>
      </c>
      <c r="B120" s="19">
        <v>0</v>
      </c>
      <c r="C120" s="116"/>
      <c r="D120" s="19">
        <v>0</v>
      </c>
      <c r="E120" s="116"/>
      <c r="F120" s="19">
        <v>0</v>
      </c>
      <c r="G120" s="116"/>
      <c r="H120" s="19">
        <v>0</v>
      </c>
      <c r="I120" s="116"/>
      <c r="J120" s="19">
        <f t="shared" ref="J120:J132" si="12">H120+F120+D120</f>
        <v>0</v>
      </c>
      <c r="K120" s="116"/>
      <c r="L120" s="19">
        <f t="shared" ref="L120:L132" si="13">J120+B120</f>
        <v>0</v>
      </c>
    </row>
    <row r="121" spans="1:14" x14ac:dyDescent="0.2">
      <c r="A121" s="3" t="s">
        <v>3744</v>
      </c>
      <c r="B121" s="19">
        <v>1852174.7000000002</v>
      </c>
      <c r="C121" s="116"/>
      <c r="D121" s="19">
        <v>-194410.41</v>
      </c>
      <c r="E121" s="116"/>
      <c r="F121" s="19">
        <v>0</v>
      </c>
      <c r="G121" s="116"/>
      <c r="H121" s="19">
        <v>0</v>
      </c>
      <c r="I121" s="116"/>
      <c r="J121" s="19">
        <f t="shared" si="12"/>
        <v>-194410.41</v>
      </c>
      <c r="K121" s="116"/>
      <c r="L121" s="19">
        <f t="shared" si="13"/>
        <v>1657764.2900000003</v>
      </c>
    </row>
    <row r="122" spans="1:14" x14ac:dyDescent="0.2">
      <c r="A122" s="3" t="s">
        <v>3745</v>
      </c>
      <c r="B122" s="19">
        <v>11988732.51</v>
      </c>
      <c r="C122" s="116"/>
      <c r="D122" s="19">
        <v>1776933.72</v>
      </c>
      <c r="E122" s="116"/>
      <c r="F122" s="19">
        <v>0</v>
      </c>
      <c r="G122" s="116"/>
      <c r="H122" s="19">
        <v>0</v>
      </c>
      <c r="I122" s="116"/>
      <c r="J122" s="19">
        <f t="shared" si="12"/>
        <v>1776933.72</v>
      </c>
      <c r="K122" s="116"/>
      <c r="L122" s="19">
        <f t="shared" si="13"/>
        <v>13765666.23</v>
      </c>
    </row>
    <row r="123" spans="1:14" x14ac:dyDescent="0.2">
      <c r="A123" s="3" t="s">
        <v>3746</v>
      </c>
      <c r="B123" s="19">
        <v>12482262.780000001</v>
      </c>
      <c r="C123" s="116"/>
      <c r="D123" s="19">
        <v>-5357003.33</v>
      </c>
      <c r="E123" s="116"/>
      <c r="F123" s="19">
        <v>0</v>
      </c>
      <c r="G123" s="116"/>
      <c r="H123" s="19">
        <v>0</v>
      </c>
      <c r="I123" s="116"/>
      <c r="J123" s="19">
        <f t="shared" si="12"/>
        <v>-5357003.33</v>
      </c>
      <c r="K123" s="116"/>
      <c r="L123" s="19">
        <f t="shared" si="13"/>
        <v>7125259.4500000011</v>
      </c>
    </row>
    <row r="124" spans="1:14" x14ac:dyDescent="0.2">
      <c r="A124" s="3" t="s">
        <v>3747</v>
      </c>
      <c r="B124" s="19">
        <v>14759072.149999999</v>
      </c>
      <c r="C124" s="116"/>
      <c r="D124" s="19">
        <v>-2103824.85</v>
      </c>
      <c r="E124" s="116"/>
      <c r="F124" s="19">
        <v>0</v>
      </c>
      <c r="G124" s="116"/>
      <c r="H124" s="19">
        <v>0</v>
      </c>
      <c r="I124" s="116"/>
      <c r="J124" s="19">
        <f t="shared" si="12"/>
        <v>-2103824.85</v>
      </c>
      <c r="K124" s="116"/>
      <c r="L124" s="19">
        <f t="shared" si="13"/>
        <v>12655247.299999999</v>
      </c>
    </row>
    <row r="125" spans="1:14" x14ac:dyDescent="0.2">
      <c r="A125" s="3" t="s">
        <v>3748</v>
      </c>
      <c r="B125" s="19">
        <v>200795.77</v>
      </c>
      <c r="C125" s="116"/>
      <c r="D125" s="19">
        <v>-29793.25</v>
      </c>
      <c r="E125" s="116"/>
      <c r="F125" s="19">
        <v>0</v>
      </c>
      <c r="G125" s="116"/>
      <c r="H125" s="19">
        <v>0</v>
      </c>
      <c r="I125" s="116"/>
      <c r="J125" s="19">
        <f t="shared" si="12"/>
        <v>-29793.25</v>
      </c>
      <c r="K125" s="116"/>
      <c r="L125" s="19">
        <f t="shared" si="13"/>
        <v>171002.52</v>
      </c>
    </row>
    <row r="126" spans="1:14" x14ac:dyDescent="0.2">
      <c r="A126" s="3" t="s">
        <v>3749</v>
      </c>
      <c r="B126" s="26">
        <v>9066207.7699999996</v>
      </c>
      <c r="C126" s="115"/>
      <c r="D126" s="19">
        <v>-2856637.47</v>
      </c>
      <c r="E126" s="115"/>
      <c r="F126" s="19">
        <v>0</v>
      </c>
      <c r="G126" s="115"/>
      <c r="H126" s="19">
        <v>0</v>
      </c>
      <c r="I126" s="115"/>
      <c r="J126" s="26">
        <f t="shared" si="12"/>
        <v>-2856637.47</v>
      </c>
      <c r="K126" s="115"/>
      <c r="L126" s="26">
        <f t="shared" si="13"/>
        <v>6209570.2999999989</v>
      </c>
      <c r="M126" s="59"/>
    </row>
    <row r="127" spans="1:14" x14ac:dyDescent="0.2">
      <c r="A127" s="3" t="s">
        <v>3750</v>
      </c>
      <c r="B127" s="26">
        <v>3410820.959999999</v>
      </c>
      <c r="C127" s="115"/>
      <c r="D127" s="19">
        <v>594162.16</v>
      </c>
      <c r="E127" s="115"/>
      <c r="F127" s="19">
        <v>0</v>
      </c>
      <c r="G127" s="115"/>
      <c r="H127" s="19">
        <v>0</v>
      </c>
      <c r="I127" s="115"/>
      <c r="J127" s="26">
        <f t="shared" si="12"/>
        <v>594162.16</v>
      </c>
      <c r="K127" s="115"/>
      <c r="L127" s="26">
        <f t="shared" si="13"/>
        <v>4004983.1199999992</v>
      </c>
      <c r="M127" s="59"/>
    </row>
    <row r="128" spans="1:14" x14ac:dyDescent="0.2">
      <c r="A128" s="3" t="s">
        <v>3751</v>
      </c>
      <c r="B128" s="26">
        <v>197403.23</v>
      </c>
      <c r="C128" s="115"/>
      <c r="D128" s="19">
        <v>-174863.88</v>
      </c>
      <c r="E128" s="115"/>
      <c r="F128" s="19">
        <v>0</v>
      </c>
      <c r="G128" s="115"/>
      <c r="H128" s="19">
        <v>0</v>
      </c>
      <c r="I128" s="115"/>
      <c r="J128" s="26">
        <f t="shared" si="12"/>
        <v>-174863.88</v>
      </c>
      <c r="K128" s="115"/>
      <c r="L128" s="26">
        <f t="shared" si="13"/>
        <v>22539.350000000006</v>
      </c>
      <c r="M128" s="59"/>
      <c r="N128" s="15"/>
    </row>
    <row r="129" spans="1:14" x14ac:dyDescent="0.2">
      <c r="A129" s="43" t="s">
        <v>3752</v>
      </c>
      <c r="B129" s="26">
        <v>427004.63</v>
      </c>
      <c r="C129" s="115"/>
      <c r="D129" s="19">
        <v>97487.2</v>
      </c>
      <c r="E129" s="115"/>
      <c r="F129" s="19">
        <v>0</v>
      </c>
      <c r="G129" s="115"/>
      <c r="H129" s="19">
        <v>0</v>
      </c>
      <c r="I129" s="115"/>
      <c r="J129" s="26">
        <f t="shared" si="12"/>
        <v>97487.2</v>
      </c>
      <c r="K129" s="115"/>
      <c r="L129" s="26">
        <f t="shared" si="13"/>
        <v>524491.82999999996</v>
      </c>
      <c r="M129" s="59"/>
    </row>
    <row r="130" spans="1:14" x14ac:dyDescent="0.2">
      <c r="A130" s="43" t="s">
        <v>3753</v>
      </c>
      <c r="B130" s="26">
        <v>47412.32</v>
      </c>
      <c r="C130" s="115"/>
      <c r="D130" s="19">
        <v>34029.589999999997</v>
      </c>
      <c r="E130" s="115"/>
      <c r="F130" s="19">
        <v>0</v>
      </c>
      <c r="G130" s="115"/>
      <c r="H130" s="19">
        <v>0</v>
      </c>
      <c r="I130" s="115"/>
      <c r="J130" s="26">
        <f t="shared" si="12"/>
        <v>34029.589999999997</v>
      </c>
      <c r="K130" s="115"/>
      <c r="L130" s="26">
        <f t="shared" si="13"/>
        <v>81441.91</v>
      </c>
      <c r="M130" s="59"/>
      <c r="N130" s="93"/>
    </row>
    <row r="131" spans="1:14" x14ac:dyDescent="0.2">
      <c r="A131" s="43" t="s">
        <v>3754</v>
      </c>
      <c r="B131" s="26">
        <v>0</v>
      </c>
      <c r="C131" s="115"/>
      <c r="D131" s="19">
        <v>6164.11</v>
      </c>
      <c r="E131" s="115"/>
      <c r="F131" s="19">
        <v>0</v>
      </c>
      <c r="G131" s="115"/>
      <c r="H131" s="19">
        <v>0</v>
      </c>
      <c r="I131" s="115"/>
      <c r="J131" s="26">
        <f t="shared" si="12"/>
        <v>6164.11</v>
      </c>
      <c r="K131" s="115"/>
      <c r="L131" s="26">
        <f t="shared" si="13"/>
        <v>6164.11</v>
      </c>
      <c r="M131" s="59"/>
    </row>
    <row r="132" spans="1:14" x14ac:dyDescent="0.2">
      <c r="A132" s="3" t="s">
        <v>3755</v>
      </c>
      <c r="B132" s="27">
        <v>5376668.860000005</v>
      </c>
      <c r="C132" s="115"/>
      <c r="D132" s="19">
        <v>-1357232.88</v>
      </c>
      <c r="E132" s="115"/>
      <c r="F132" s="19">
        <v>0</v>
      </c>
      <c r="G132" s="115"/>
      <c r="H132" s="19">
        <v>0</v>
      </c>
      <c r="I132" s="115"/>
      <c r="J132" s="27">
        <f t="shared" si="12"/>
        <v>-1357232.88</v>
      </c>
      <c r="K132" s="115"/>
      <c r="L132" s="27">
        <f t="shared" si="13"/>
        <v>4019435.9800000051</v>
      </c>
      <c r="M132" s="59"/>
    </row>
    <row r="133" spans="1:14" x14ac:dyDescent="0.2">
      <c r="B133" s="26">
        <f>SUM(B120:B132)</f>
        <v>59808555.680000015</v>
      </c>
      <c r="C133" s="115"/>
      <c r="D133" s="32">
        <f>SUM(D120:D132)</f>
        <v>-9564989.2899999991</v>
      </c>
      <c r="E133" s="115"/>
      <c r="F133" s="32">
        <f>SUM(F120:F132)</f>
        <v>0</v>
      </c>
      <c r="G133" s="115"/>
      <c r="H133" s="32">
        <f>SUM(H120:H132)</f>
        <v>0</v>
      </c>
      <c r="I133" s="115"/>
      <c r="J133" s="26">
        <f>SUM(J120:J132)</f>
        <v>-9564989.2899999991</v>
      </c>
      <c r="K133" s="115"/>
      <c r="L133" s="26">
        <f>SUM(L120:L132)</f>
        <v>50243566.390000001</v>
      </c>
      <c r="M133" s="59"/>
    </row>
    <row r="134" spans="1:14" x14ac:dyDescent="0.2">
      <c r="B134" s="26"/>
      <c r="C134" s="115"/>
      <c r="D134" s="26"/>
      <c r="E134" s="115"/>
      <c r="F134" s="26"/>
      <c r="G134" s="115"/>
      <c r="H134" s="26"/>
      <c r="I134" s="115"/>
      <c r="J134" s="26"/>
      <c r="K134" s="115"/>
      <c r="L134" s="26"/>
      <c r="M134" s="59"/>
    </row>
    <row r="135" spans="1:14" x14ac:dyDescent="0.2">
      <c r="A135" s="12" t="s">
        <v>13</v>
      </c>
      <c r="B135" s="26"/>
      <c r="C135" s="115"/>
      <c r="D135" s="26"/>
      <c r="E135" s="115"/>
      <c r="F135" s="26"/>
      <c r="G135" s="115"/>
      <c r="H135" s="26"/>
      <c r="I135" s="115"/>
      <c r="J135" s="26"/>
      <c r="K135" s="115"/>
      <c r="L135" s="26"/>
      <c r="M135" s="59"/>
    </row>
    <row r="136" spans="1:14" x14ac:dyDescent="0.2">
      <c r="A136" s="3" t="s">
        <v>3756</v>
      </c>
      <c r="B136" s="26">
        <v>948369.69000000041</v>
      </c>
      <c r="C136" s="115"/>
      <c r="D136" s="19">
        <v>829591.46</v>
      </c>
      <c r="E136" s="115"/>
      <c r="F136" s="19">
        <v>0</v>
      </c>
      <c r="G136" s="115"/>
      <c r="H136" s="19">
        <v>0</v>
      </c>
      <c r="I136" s="115"/>
      <c r="J136" s="26">
        <f t="shared" ref="J136:J146" si="14">H136+F136+D136</f>
        <v>829591.46</v>
      </c>
      <c r="K136" s="115"/>
      <c r="L136" s="26">
        <f t="shared" ref="L136:L146" si="15">J136+B136</f>
        <v>1777961.1500000004</v>
      </c>
      <c r="M136" s="59"/>
    </row>
    <row r="137" spans="1:14" x14ac:dyDescent="0.2">
      <c r="A137" s="3" t="s">
        <v>3757</v>
      </c>
      <c r="B137" s="26">
        <v>754468.05</v>
      </c>
      <c r="C137" s="115"/>
      <c r="D137" s="19">
        <v>-729594.33</v>
      </c>
      <c r="E137" s="115"/>
      <c r="F137" s="19">
        <v>0</v>
      </c>
      <c r="G137" s="115"/>
      <c r="H137" s="19">
        <v>0</v>
      </c>
      <c r="I137" s="115"/>
      <c r="J137" s="26">
        <f t="shared" si="14"/>
        <v>-729594.33</v>
      </c>
      <c r="K137" s="115"/>
      <c r="L137" s="26">
        <f t="shared" si="15"/>
        <v>24873.720000000088</v>
      </c>
      <c r="M137" s="59"/>
    </row>
    <row r="138" spans="1:14" x14ac:dyDescent="0.2">
      <c r="A138" s="3" t="s">
        <v>3758</v>
      </c>
      <c r="B138" s="26">
        <v>4864934.5799999991</v>
      </c>
      <c r="C138" s="115"/>
      <c r="D138" s="19">
        <v>-4849619.9800000004</v>
      </c>
      <c r="E138" s="115"/>
      <c r="F138" s="19">
        <v>0</v>
      </c>
      <c r="G138" s="115"/>
      <c r="H138" s="19">
        <v>0</v>
      </c>
      <c r="I138" s="115"/>
      <c r="J138" s="26">
        <f t="shared" si="14"/>
        <v>-4849619.9800000004</v>
      </c>
      <c r="K138" s="115"/>
      <c r="L138" s="26">
        <f t="shared" si="15"/>
        <v>15314.599999998696</v>
      </c>
      <c r="M138" s="59"/>
    </row>
    <row r="139" spans="1:14" x14ac:dyDescent="0.2">
      <c r="A139" s="3" t="s">
        <v>3759</v>
      </c>
      <c r="B139" s="26">
        <v>0</v>
      </c>
      <c r="C139" s="115"/>
      <c r="D139" s="19">
        <v>0</v>
      </c>
      <c r="E139" s="115"/>
      <c r="F139" s="19">
        <v>0</v>
      </c>
      <c r="G139" s="115"/>
      <c r="H139" s="19">
        <v>0</v>
      </c>
      <c r="I139" s="115"/>
      <c r="J139" s="26">
        <f>H139+F139+D139</f>
        <v>0</v>
      </c>
      <c r="K139" s="115"/>
      <c r="L139" s="26">
        <f>J139+B139</f>
        <v>0</v>
      </c>
      <c r="M139" s="59"/>
    </row>
    <row r="140" spans="1:14" x14ac:dyDescent="0.2">
      <c r="A140" s="3" t="s">
        <v>3760</v>
      </c>
      <c r="B140" s="26">
        <v>57951.609999999986</v>
      </c>
      <c r="C140" s="115"/>
      <c r="D140" s="19">
        <v>-46039.91</v>
      </c>
      <c r="E140" s="115"/>
      <c r="F140" s="19">
        <v>0</v>
      </c>
      <c r="G140" s="115"/>
      <c r="H140" s="19">
        <v>0</v>
      </c>
      <c r="I140" s="115"/>
      <c r="J140" s="26">
        <f t="shared" si="14"/>
        <v>-46039.91</v>
      </c>
      <c r="K140" s="115"/>
      <c r="L140" s="26">
        <f t="shared" si="15"/>
        <v>11911.699999999983</v>
      </c>
      <c r="M140" s="59"/>
    </row>
    <row r="141" spans="1:14" x14ac:dyDescent="0.2">
      <c r="A141" s="3" t="s">
        <v>3761</v>
      </c>
      <c r="B141" s="26">
        <v>0</v>
      </c>
      <c r="C141" s="115"/>
      <c r="D141" s="19">
        <v>0</v>
      </c>
      <c r="E141" s="115"/>
      <c r="F141" s="19">
        <v>0</v>
      </c>
      <c r="G141" s="115"/>
      <c r="H141" s="19">
        <v>0</v>
      </c>
      <c r="I141" s="115"/>
      <c r="J141" s="26">
        <f t="shared" si="14"/>
        <v>0</v>
      </c>
      <c r="K141" s="115"/>
      <c r="L141" s="26">
        <f t="shared" si="15"/>
        <v>0</v>
      </c>
      <c r="M141" s="59"/>
    </row>
    <row r="142" spans="1:14" x14ac:dyDescent="0.2">
      <c r="A142" s="3" t="s">
        <v>3762</v>
      </c>
      <c r="B142" s="26">
        <v>253241.20000000004</v>
      </c>
      <c r="C142" s="115"/>
      <c r="D142" s="19">
        <v>-73344.36</v>
      </c>
      <c r="E142" s="115"/>
      <c r="F142" s="19">
        <v>0</v>
      </c>
      <c r="G142" s="115"/>
      <c r="H142" s="19">
        <v>0</v>
      </c>
      <c r="I142" s="115"/>
      <c r="J142" s="26">
        <f t="shared" si="14"/>
        <v>-73344.36</v>
      </c>
      <c r="K142" s="115"/>
      <c r="L142" s="26">
        <f t="shared" si="15"/>
        <v>179896.84000000003</v>
      </c>
      <c r="M142" s="59"/>
    </row>
    <row r="143" spans="1:14" x14ac:dyDescent="0.2">
      <c r="A143" s="3" t="s">
        <v>3763</v>
      </c>
      <c r="B143" s="26">
        <v>0</v>
      </c>
      <c r="C143" s="115"/>
      <c r="D143" s="19">
        <v>1005159.48</v>
      </c>
      <c r="E143" s="115"/>
      <c r="F143" s="19">
        <v>0</v>
      </c>
      <c r="G143" s="115"/>
      <c r="H143" s="19">
        <v>0</v>
      </c>
      <c r="I143" s="115"/>
      <c r="J143" s="26">
        <f t="shared" si="14"/>
        <v>1005159.48</v>
      </c>
      <c r="K143" s="115"/>
      <c r="L143" s="26">
        <f t="shared" si="15"/>
        <v>1005159.48</v>
      </c>
      <c r="M143" s="59"/>
    </row>
    <row r="144" spans="1:14" x14ac:dyDescent="0.2">
      <c r="A144" s="3" t="s">
        <v>3764</v>
      </c>
      <c r="B144" s="26">
        <v>2831227.2299999995</v>
      </c>
      <c r="C144" s="115"/>
      <c r="D144" s="19">
        <v>-2554481.85</v>
      </c>
      <c r="E144" s="115"/>
      <c r="F144" s="19">
        <v>0</v>
      </c>
      <c r="G144" s="115"/>
      <c r="H144" s="19">
        <v>0</v>
      </c>
      <c r="I144" s="115"/>
      <c r="J144" s="26">
        <f t="shared" si="14"/>
        <v>-2554481.85</v>
      </c>
      <c r="K144" s="115"/>
      <c r="L144" s="26">
        <f t="shared" si="15"/>
        <v>276745.37999999942</v>
      </c>
      <c r="M144" s="59"/>
    </row>
    <row r="145" spans="1:13" x14ac:dyDescent="0.2">
      <c r="A145" s="3" t="s">
        <v>3765</v>
      </c>
      <c r="B145" s="26">
        <v>823568.2799999998</v>
      </c>
      <c r="C145" s="115"/>
      <c r="D145" s="19">
        <v>-658817.64</v>
      </c>
      <c r="E145" s="115"/>
      <c r="F145" s="19">
        <v>0</v>
      </c>
      <c r="G145" s="115"/>
      <c r="H145" s="19">
        <v>0</v>
      </c>
      <c r="I145" s="115"/>
      <c r="J145" s="26">
        <f t="shared" si="14"/>
        <v>-658817.64</v>
      </c>
      <c r="K145" s="115"/>
      <c r="L145" s="26">
        <f t="shared" si="15"/>
        <v>164750.63999999978</v>
      </c>
      <c r="M145" s="59"/>
    </row>
    <row r="146" spans="1:13" x14ac:dyDescent="0.2">
      <c r="A146" s="3" t="s">
        <v>3766</v>
      </c>
      <c r="B146" s="26">
        <v>163229.63</v>
      </c>
      <c r="C146" s="115"/>
      <c r="D146" s="19">
        <v>-137535.23000000001</v>
      </c>
      <c r="E146" s="115"/>
      <c r="F146" s="19">
        <v>0</v>
      </c>
      <c r="G146" s="115"/>
      <c r="H146" s="19">
        <v>0</v>
      </c>
      <c r="I146" s="115"/>
      <c r="J146" s="26">
        <f t="shared" si="14"/>
        <v>-137535.23000000001</v>
      </c>
      <c r="K146" s="115"/>
      <c r="L146" s="26">
        <f t="shared" si="15"/>
        <v>25694.399999999994</v>
      </c>
      <c r="M146" s="59"/>
    </row>
    <row r="147" spans="1:13" x14ac:dyDescent="0.2">
      <c r="B147" s="32">
        <f>SUM(B136:B146)</f>
        <v>10696990.27</v>
      </c>
      <c r="C147" s="115"/>
      <c r="D147" s="32">
        <f>SUM(D136:D146)</f>
        <v>-7214682.3600000013</v>
      </c>
      <c r="E147" s="115"/>
      <c r="F147" s="32">
        <f>SUM(F136:F146)</f>
        <v>0</v>
      </c>
      <c r="G147" s="115"/>
      <c r="H147" s="32">
        <f>SUM(H136:H146)</f>
        <v>0</v>
      </c>
      <c r="I147" s="115"/>
      <c r="J147" s="32">
        <f>SUM(J136:J146)</f>
        <v>-7214682.3600000013</v>
      </c>
      <c r="K147" s="115"/>
      <c r="L147" s="32">
        <f>SUM(L136:L146)</f>
        <v>3482307.9099999983</v>
      </c>
      <c r="M147" s="59"/>
    </row>
    <row r="148" spans="1:13" x14ac:dyDescent="0.2">
      <c r="B148" s="26"/>
      <c r="C148" s="115"/>
      <c r="D148" s="26"/>
      <c r="E148" s="115"/>
      <c r="F148" s="26"/>
      <c r="G148" s="115"/>
      <c r="H148" s="26"/>
      <c r="I148" s="115"/>
      <c r="J148" s="26"/>
      <c r="K148" s="115"/>
      <c r="L148" s="26"/>
      <c r="M148" s="59"/>
    </row>
    <row r="149" spans="1:13" x14ac:dyDescent="0.2">
      <c r="A149" s="12" t="s">
        <v>14</v>
      </c>
      <c r="C149" s="116"/>
      <c r="E149" s="116"/>
      <c r="G149" s="116"/>
      <c r="I149" s="116"/>
      <c r="K149" s="116"/>
    </row>
    <row r="150" spans="1:13" x14ac:dyDescent="0.2">
      <c r="A150" s="3" t="s">
        <v>3767</v>
      </c>
      <c r="B150" s="19">
        <v>0</v>
      </c>
      <c r="C150" s="116"/>
      <c r="D150" s="19">
        <v>0</v>
      </c>
      <c r="E150" s="116"/>
      <c r="F150" s="19">
        <v>0</v>
      </c>
      <c r="G150" s="116"/>
      <c r="H150" s="19">
        <v>0</v>
      </c>
      <c r="I150" s="116"/>
      <c r="J150" s="26">
        <f t="shared" ref="J150:J155" si="16">H150+F150+D150</f>
        <v>0</v>
      </c>
      <c r="K150" s="116"/>
      <c r="L150" s="19">
        <f t="shared" ref="L150:L155" si="17">J150+B150</f>
        <v>0</v>
      </c>
    </row>
    <row r="151" spans="1:13" x14ac:dyDescent="0.2">
      <c r="A151" s="3" t="s">
        <v>3768</v>
      </c>
      <c r="B151" s="19">
        <v>0</v>
      </c>
      <c r="C151" s="116"/>
      <c r="D151" s="19">
        <v>0</v>
      </c>
      <c r="E151" s="116"/>
      <c r="F151" s="19">
        <v>0</v>
      </c>
      <c r="G151" s="116"/>
      <c r="H151" s="19">
        <v>0</v>
      </c>
      <c r="I151" s="116"/>
      <c r="J151" s="26">
        <f t="shared" si="16"/>
        <v>0</v>
      </c>
      <c r="K151" s="116"/>
      <c r="L151" s="19">
        <f t="shared" si="17"/>
        <v>0</v>
      </c>
    </row>
    <row r="152" spans="1:13" x14ac:dyDescent="0.2">
      <c r="A152" s="3" t="s">
        <v>3769</v>
      </c>
      <c r="B152" s="19">
        <v>7.5669959187507629E-10</v>
      </c>
      <c r="C152" s="116"/>
      <c r="D152" s="19">
        <v>0</v>
      </c>
      <c r="E152" s="116"/>
      <c r="F152" s="19">
        <v>0</v>
      </c>
      <c r="G152" s="116"/>
      <c r="H152" s="19">
        <v>0</v>
      </c>
      <c r="I152" s="116"/>
      <c r="J152" s="26">
        <f t="shared" si="16"/>
        <v>0</v>
      </c>
      <c r="K152" s="116"/>
      <c r="L152" s="19">
        <f t="shared" si="17"/>
        <v>7.5669959187507629E-10</v>
      </c>
    </row>
    <row r="153" spans="1:13" x14ac:dyDescent="0.2">
      <c r="A153" s="3" t="s">
        <v>3770</v>
      </c>
      <c r="B153" s="19">
        <v>0</v>
      </c>
      <c r="C153" s="116"/>
      <c r="D153" s="19">
        <v>19285.88</v>
      </c>
      <c r="E153" s="116"/>
      <c r="F153" s="19">
        <v>0</v>
      </c>
      <c r="G153" s="116"/>
      <c r="H153" s="19">
        <v>0</v>
      </c>
      <c r="I153" s="116"/>
      <c r="J153" s="26">
        <f t="shared" si="16"/>
        <v>19285.88</v>
      </c>
      <c r="K153" s="116"/>
      <c r="L153" s="19">
        <f t="shared" si="17"/>
        <v>19285.88</v>
      </c>
    </row>
    <row r="154" spans="1:13" x14ac:dyDescent="0.2">
      <c r="A154" s="3" t="s">
        <v>3771</v>
      </c>
      <c r="B154" s="19">
        <v>0</v>
      </c>
      <c r="C154" s="116"/>
      <c r="D154" s="19">
        <v>12427.44</v>
      </c>
      <c r="E154" s="116"/>
      <c r="F154" s="19">
        <v>0</v>
      </c>
      <c r="G154" s="116"/>
      <c r="H154" s="19">
        <v>0</v>
      </c>
      <c r="I154" s="116"/>
      <c r="J154" s="26">
        <f t="shared" si="16"/>
        <v>12427.44</v>
      </c>
      <c r="K154" s="116"/>
      <c r="L154" s="19">
        <f t="shared" si="17"/>
        <v>12427.44</v>
      </c>
    </row>
    <row r="155" spans="1:13" x14ac:dyDescent="0.2">
      <c r="A155" s="3" t="s">
        <v>3772</v>
      </c>
      <c r="B155" s="27">
        <v>0</v>
      </c>
      <c r="C155" s="115"/>
      <c r="D155" s="19">
        <v>0</v>
      </c>
      <c r="E155" s="115"/>
      <c r="F155" s="19">
        <v>0</v>
      </c>
      <c r="G155" s="115"/>
      <c r="H155" s="19">
        <v>0</v>
      </c>
      <c r="I155" s="115"/>
      <c r="J155" s="27">
        <f t="shared" si="16"/>
        <v>0</v>
      </c>
      <c r="K155" s="115"/>
      <c r="L155" s="27">
        <f t="shared" si="17"/>
        <v>0</v>
      </c>
      <c r="M155" s="59"/>
    </row>
    <row r="156" spans="1:13" x14ac:dyDescent="0.2">
      <c r="B156" s="26">
        <f>SUM(B150:B155)</f>
        <v>7.5669959187507629E-10</v>
      </c>
      <c r="C156" s="115"/>
      <c r="D156" s="32">
        <f>SUM(D150:D155)</f>
        <v>31713.32</v>
      </c>
      <c r="E156" s="115"/>
      <c r="F156" s="32">
        <f>SUM(F150:F155)</f>
        <v>0</v>
      </c>
      <c r="G156" s="115"/>
      <c r="H156" s="32">
        <f>SUM(H150:H155)</f>
        <v>0</v>
      </c>
      <c r="I156" s="115"/>
      <c r="J156" s="26">
        <f>SUM(J150:J155)</f>
        <v>31713.32</v>
      </c>
      <c r="K156" s="115"/>
      <c r="L156" s="26">
        <f>SUM(L150:L155)</f>
        <v>31713.320000000756</v>
      </c>
      <c r="M156" s="59"/>
    </row>
    <row r="157" spans="1:13" x14ac:dyDescent="0.2">
      <c r="B157" s="26"/>
      <c r="C157" s="115"/>
      <c r="D157" s="26"/>
      <c r="E157" s="115"/>
      <c r="F157" s="26"/>
      <c r="G157" s="115"/>
      <c r="H157" s="26"/>
      <c r="I157" s="115"/>
      <c r="J157" s="26"/>
      <c r="K157" s="115"/>
      <c r="L157" s="26"/>
      <c r="M157" s="59"/>
    </row>
    <row r="158" spans="1:13" x14ac:dyDescent="0.2">
      <c r="A158" s="12" t="s">
        <v>15</v>
      </c>
      <c r="B158" s="26"/>
      <c r="C158" s="115"/>
      <c r="D158" s="26"/>
      <c r="E158" s="115"/>
      <c r="F158" s="26"/>
      <c r="G158" s="115"/>
      <c r="H158" s="26"/>
      <c r="I158" s="115"/>
      <c r="J158" s="26"/>
      <c r="K158" s="115"/>
      <c r="L158" s="26"/>
      <c r="M158" s="59"/>
    </row>
    <row r="159" spans="1:13" x14ac:dyDescent="0.2">
      <c r="A159" s="3" t="s">
        <v>3773</v>
      </c>
      <c r="B159" s="26">
        <v>8287193.8500000006</v>
      </c>
      <c r="C159" s="115"/>
      <c r="D159" s="19">
        <v>2354147.4499999997</v>
      </c>
      <c r="E159" s="115"/>
      <c r="F159" s="19">
        <v>0</v>
      </c>
      <c r="G159" s="115"/>
      <c r="H159" s="19">
        <v>0</v>
      </c>
      <c r="I159" s="115"/>
      <c r="J159" s="26">
        <f>H159+F159+D159</f>
        <v>2354147.4499999997</v>
      </c>
      <c r="K159" s="115"/>
      <c r="L159" s="26">
        <f>J159+B159</f>
        <v>10641341.300000001</v>
      </c>
      <c r="M159" s="59"/>
    </row>
    <row r="160" spans="1:13" x14ac:dyDescent="0.2">
      <c r="A160" s="3" t="s">
        <v>3774</v>
      </c>
      <c r="B160" s="27">
        <v>0</v>
      </c>
      <c r="C160" s="115"/>
      <c r="D160" s="19">
        <v>14448869.460000001</v>
      </c>
      <c r="E160" s="115"/>
      <c r="F160" s="19">
        <v>0</v>
      </c>
      <c r="G160" s="115"/>
      <c r="H160" s="19">
        <v>0</v>
      </c>
      <c r="I160" s="115"/>
      <c r="J160" s="27">
        <f>H160+F160+D160</f>
        <v>14448869.460000001</v>
      </c>
      <c r="K160" s="115"/>
      <c r="L160" s="27">
        <f>J160+B160</f>
        <v>14448869.460000001</v>
      </c>
      <c r="M160" s="59"/>
    </row>
    <row r="161" spans="1:13" x14ac:dyDescent="0.2">
      <c r="B161" s="26">
        <f>SUM(B159:B160)</f>
        <v>8287193.8500000006</v>
      </c>
      <c r="C161" s="115"/>
      <c r="D161" s="32">
        <f>SUM(D159:D160)</f>
        <v>16803016.91</v>
      </c>
      <c r="E161" s="115"/>
      <c r="F161" s="32">
        <f>SUM(F159)</f>
        <v>0</v>
      </c>
      <c r="G161" s="115"/>
      <c r="H161" s="32">
        <f>SUM(H159)</f>
        <v>0</v>
      </c>
      <c r="I161" s="115"/>
      <c r="J161" s="26">
        <f>SUM(J159:J160)</f>
        <v>16803016.91</v>
      </c>
      <c r="K161" s="115"/>
      <c r="L161" s="26">
        <f>SUM(L159:L160)</f>
        <v>25090210.760000002</v>
      </c>
      <c r="M161" s="59"/>
    </row>
    <row r="162" spans="1:13" x14ac:dyDescent="0.2">
      <c r="B162" s="26"/>
      <c r="C162" s="115"/>
      <c r="D162" s="26"/>
      <c r="E162" s="115"/>
      <c r="F162" s="26"/>
      <c r="G162" s="115"/>
      <c r="H162" s="26"/>
      <c r="I162" s="115"/>
      <c r="J162" s="26"/>
      <c r="K162" s="115"/>
      <c r="L162" s="26"/>
      <c r="M162" s="59"/>
    </row>
    <row r="163" spans="1:13" x14ac:dyDescent="0.2">
      <c r="A163" s="12" t="s">
        <v>16</v>
      </c>
      <c r="B163" s="26"/>
      <c r="C163" s="115"/>
      <c r="D163" s="26"/>
      <c r="E163" s="115"/>
      <c r="F163" s="26"/>
      <c r="G163" s="115"/>
      <c r="H163" s="26"/>
      <c r="I163" s="115"/>
      <c r="J163" s="26"/>
      <c r="K163" s="115"/>
      <c r="L163" s="26"/>
      <c r="M163" s="59"/>
    </row>
    <row r="164" spans="1:13" x14ac:dyDescent="0.2">
      <c r="A164" s="3" t="s">
        <v>3775</v>
      </c>
      <c r="B164" s="26">
        <v>961872.55000000447</v>
      </c>
      <c r="C164" s="115"/>
      <c r="D164" s="19">
        <v>-961872.55</v>
      </c>
      <c r="E164" s="115"/>
      <c r="F164" s="19">
        <v>0</v>
      </c>
      <c r="G164" s="115"/>
      <c r="H164" s="19">
        <v>0</v>
      </c>
      <c r="I164" s="115"/>
      <c r="J164" s="26">
        <f t="shared" ref="J164:J169" si="18">H164+F164+D164</f>
        <v>-961872.55</v>
      </c>
      <c r="K164" s="115"/>
      <c r="L164" s="26">
        <f t="shared" ref="L164:L169" si="19">J164+B164</f>
        <v>4.4237822294235229E-9</v>
      </c>
      <c r="M164" s="59"/>
    </row>
    <row r="165" spans="1:13" x14ac:dyDescent="0.2">
      <c r="A165" s="3" t="s">
        <v>3776</v>
      </c>
      <c r="B165" s="26">
        <v>6941086.3800000101</v>
      </c>
      <c r="C165" s="115"/>
      <c r="D165" s="19">
        <v>-6155470.21</v>
      </c>
      <c r="E165" s="115"/>
      <c r="F165" s="19">
        <v>0</v>
      </c>
      <c r="G165" s="115"/>
      <c r="H165" s="19">
        <v>0</v>
      </c>
      <c r="I165" s="115"/>
      <c r="J165" s="26">
        <f t="shared" si="18"/>
        <v>-6155470.21</v>
      </c>
      <c r="K165" s="115"/>
      <c r="L165" s="26">
        <f t="shared" si="19"/>
        <v>785616.17000001017</v>
      </c>
      <c r="M165" s="59"/>
    </row>
    <row r="166" spans="1:13" x14ac:dyDescent="0.2">
      <c r="A166" s="3" t="s">
        <v>3777</v>
      </c>
      <c r="B166" s="26">
        <v>3632252.9099999964</v>
      </c>
      <c r="C166" s="115"/>
      <c r="D166" s="19">
        <v>13585585.42</v>
      </c>
      <c r="E166" s="115"/>
      <c r="F166" s="19">
        <v>0</v>
      </c>
      <c r="G166" s="115"/>
      <c r="H166" s="19">
        <v>0</v>
      </c>
      <c r="I166" s="115"/>
      <c r="J166" s="26">
        <f t="shared" si="18"/>
        <v>13585585.42</v>
      </c>
      <c r="K166" s="115"/>
      <c r="L166" s="26">
        <f t="shared" si="19"/>
        <v>17217838.329999998</v>
      </c>
      <c r="M166" s="59"/>
    </row>
    <row r="167" spans="1:13" x14ac:dyDescent="0.2">
      <c r="A167" s="43" t="s">
        <v>3778</v>
      </c>
      <c r="B167" s="26">
        <v>14424687.25</v>
      </c>
      <c r="C167" s="115"/>
      <c r="D167" s="19">
        <v>-14188014.300000001</v>
      </c>
      <c r="E167" s="115"/>
      <c r="F167" s="19">
        <v>0</v>
      </c>
      <c r="G167" s="115"/>
      <c r="H167" s="19">
        <v>0</v>
      </c>
      <c r="I167" s="115"/>
      <c r="J167" s="26">
        <f t="shared" si="18"/>
        <v>-14188014.300000001</v>
      </c>
      <c r="K167" s="115"/>
      <c r="L167" s="26">
        <f t="shared" si="19"/>
        <v>236672.94999999925</v>
      </c>
      <c r="M167" s="59"/>
    </row>
    <row r="168" spans="1:13" x14ac:dyDescent="0.2">
      <c r="A168" s="3" t="s">
        <v>3779</v>
      </c>
      <c r="B168" s="26">
        <v>695453.35000000149</v>
      </c>
      <c r="C168" s="115"/>
      <c r="D168" s="19">
        <v>11751792.75</v>
      </c>
      <c r="E168" s="115"/>
      <c r="F168" s="19">
        <v>0</v>
      </c>
      <c r="G168" s="115"/>
      <c r="H168" s="19">
        <v>0</v>
      </c>
      <c r="I168" s="115"/>
      <c r="J168" s="26">
        <f t="shared" si="18"/>
        <v>11751792.75</v>
      </c>
      <c r="K168" s="115"/>
      <c r="L168" s="26">
        <f t="shared" si="19"/>
        <v>12447246.100000001</v>
      </c>
      <c r="M168" s="59"/>
    </row>
    <row r="169" spans="1:13" x14ac:dyDescent="0.2">
      <c r="A169" s="3" t="s">
        <v>3780</v>
      </c>
      <c r="B169" s="27">
        <v>418017.53</v>
      </c>
      <c r="C169" s="115"/>
      <c r="D169" s="19">
        <v>-418017.53</v>
      </c>
      <c r="E169" s="115"/>
      <c r="F169" s="19">
        <v>0</v>
      </c>
      <c r="G169" s="115"/>
      <c r="H169" s="19">
        <v>0</v>
      </c>
      <c r="I169" s="115"/>
      <c r="J169" s="27">
        <f t="shared" si="18"/>
        <v>-418017.53</v>
      </c>
      <c r="K169" s="115"/>
      <c r="L169" s="27">
        <f t="shared" si="19"/>
        <v>0</v>
      </c>
      <c r="M169" s="59"/>
    </row>
    <row r="170" spans="1:13" x14ac:dyDescent="0.2">
      <c r="B170" s="26">
        <f>SUM(B164:B169)</f>
        <v>27073369.970000014</v>
      </c>
      <c r="C170" s="115"/>
      <c r="D170" s="32">
        <f>SUM(D164:D169)</f>
        <v>3614003.5799999991</v>
      </c>
      <c r="E170" s="115"/>
      <c r="F170" s="32">
        <f>SUM(F164:F169)</f>
        <v>0</v>
      </c>
      <c r="G170" s="115"/>
      <c r="H170" s="32">
        <f>SUM(H164:H169)</f>
        <v>0</v>
      </c>
      <c r="I170" s="115"/>
      <c r="J170" s="26">
        <f>SUM(J164:J169)</f>
        <v>3614003.5799999991</v>
      </c>
      <c r="K170" s="115"/>
      <c r="L170" s="26">
        <f>SUM(L164:L169)</f>
        <v>30687373.550000012</v>
      </c>
      <c r="M170" s="59"/>
    </row>
    <row r="171" spans="1:13" x14ac:dyDescent="0.2">
      <c r="B171" s="26"/>
      <c r="C171" s="115"/>
      <c r="D171" s="26"/>
      <c r="E171" s="115"/>
      <c r="F171" s="26"/>
      <c r="G171" s="115"/>
      <c r="H171" s="26"/>
      <c r="I171" s="115"/>
      <c r="J171" s="26"/>
      <c r="K171" s="115"/>
      <c r="L171" s="26"/>
      <c r="M171" s="59"/>
    </row>
    <row r="172" spans="1:13" x14ac:dyDescent="0.2">
      <c r="A172" s="12" t="s">
        <v>17</v>
      </c>
      <c r="B172" s="26"/>
      <c r="C172" s="115"/>
      <c r="D172" s="26"/>
      <c r="E172" s="115"/>
      <c r="F172" s="26"/>
      <c r="G172" s="115"/>
      <c r="H172" s="26"/>
      <c r="I172" s="115"/>
      <c r="J172" s="26"/>
      <c r="K172" s="115"/>
      <c r="L172" s="26"/>
      <c r="M172" s="59"/>
    </row>
    <row r="173" spans="1:13" x14ac:dyDescent="0.2">
      <c r="A173" s="43" t="s">
        <v>3781</v>
      </c>
      <c r="B173" s="26">
        <v>10680389.709999999</v>
      </c>
      <c r="C173" s="115"/>
      <c r="D173" s="19">
        <v>1204779.8999999999</v>
      </c>
      <c r="E173" s="115"/>
      <c r="F173" s="19">
        <v>0</v>
      </c>
      <c r="G173" s="115"/>
      <c r="H173" s="19">
        <v>0</v>
      </c>
      <c r="I173" s="115"/>
      <c r="J173" s="26">
        <f>H173+F173+D173</f>
        <v>1204779.8999999999</v>
      </c>
      <c r="K173" s="115"/>
      <c r="L173" s="26">
        <f>J173+B173</f>
        <v>11885169.609999999</v>
      </c>
      <c r="M173" s="59"/>
    </row>
    <row r="174" spans="1:13" x14ac:dyDescent="0.2">
      <c r="A174" s="3" t="s">
        <v>3782</v>
      </c>
      <c r="B174" s="26">
        <v>14486993.290000001</v>
      </c>
      <c r="C174" s="115"/>
      <c r="D174" s="19">
        <v>2884826.21</v>
      </c>
      <c r="E174" s="115"/>
      <c r="F174" s="19">
        <v>0</v>
      </c>
      <c r="G174" s="115"/>
      <c r="H174" s="19">
        <v>0</v>
      </c>
      <c r="I174" s="115"/>
      <c r="J174" s="26">
        <f t="shared" ref="J174:J179" si="20">H174+F174+D174</f>
        <v>2884826.21</v>
      </c>
      <c r="K174" s="115"/>
      <c r="L174" s="26">
        <f t="shared" ref="L174:L179" si="21">J174+B174</f>
        <v>17371819.5</v>
      </c>
      <c r="M174" s="59"/>
    </row>
    <row r="175" spans="1:13" x14ac:dyDescent="0.2">
      <c r="A175" s="73" t="s">
        <v>3783</v>
      </c>
      <c r="B175" s="26">
        <v>0</v>
      </c>
      <c r="C175" s="115"/>
      <c r="D175" s="19">
        <v>0</v>
      </c>
      <c r="E175" s="115"/>
      <c r="F175" s="19">
        <v>0</v>
      </c>
      <c r="G175" s="115"/>
      <c r="H175" s="19">
        <v>0</v>
      </c>
      <c r="I175" s="115"/>
      <c r="J175" s="26">
        <f t="shared" si="20"/>
        <v>0</v>
      </c>
      <c r="K175" s="115"/>
      <c r="L175" s="26">
        <f t="shared" si="21"/>
        <v>0</v>
      </c>
      <c r="M175" s="59"/>
    </row>
    <row r="176" spans="1:13" x14ac:dyDescent="0.2">
      <c r="A176" s="3" t="s">
        <v>3784</v>
      </c>
      <c r="B176" s="26">
        <v>1133977552.5</v>
      </c>
      <c r="C176" s="115"/>
      <c r="D176" s="19">
        <v>-417351266.74000001</v>
      </c>
      <c r="E176" s="115"/>
      <c r="F176" s="19">
        <v>0</v>
      </c>
      <c r="G176" s="115"/>
      <c r="H176" s="19">
        <v>0</v>
      </c>
      <c r="I176" s="115"/>
      <c r="J176" s="26">
        <f t="shared" si="20"/>
        <v>-417351266.74000001</v>
      </c>
      <c r="K176" s="115"/>
      <c r="L176" s="26">
        <f t="shared" si="21"/>
        <v>716626285.75999999</v>
      </c>
      <c r="M176" s="59"/>
    </row>
    <row r="177" spans="1:13" x14ac:dyDescent="0.2">
      <c r="A177" s="3" t="s">
        <v>3785</v>
      </c>
      <c r="B177" s="26">
        <v>5781109.4500000002</v>
      </c>
      <c r="C177" s="115"/>
      <c r="D177" s="19">
        <v>-3481156.37</v>
      </c>
      <c r="E177" s="115"/>
      <c r="F177" s="19">
        <v>0</v>
      </c>
      <c r="G177" s="115"/>
      <c r="H177" s="19">
        <v>0</v>
      </c>
      <c r="I177" s="115"/>
      <c r="J177" s="26">
        <f t="shared" si="20"/>
        <v>-3481156.37</v>
      </c>
      <c r="K177" s="115"/>
      <c r="L177" s="26">
        <f t="shared" si="21"/>
        <v>2299953.08</v>
      </c>
      <c r="M177" s="59"/>
    </row>
    <row r="178" spans="1:13" x14ac:dyDescent="0.2">
      <c r="A178" s="3" t="s">
        <v>3786</v>
      </c>
      <c r="B178" s="26">
        <v>10347043.039999999</v>
      </c>
      <c r="C178" s="115"/>
      <c r="D178" s="19">
        <v>2436080</v>
      </c>
      <c r="E178" s="115"/>
      <c r="F178" s="19">
        <v>0</v>
      </c>
      <c r="G178" s="115"/>
      <c r="H178" s="19">
        <v>0</v>
      </c>
      <c r="I178" s="115"/>
      <c r="J178" s="26">
        <f t="shared" si="20"/>
        <v>2436080</v>
      </c>
      <c r="K178" s="115"/>
      <c r="L178" s="26">
        <f t="shared" si="21"/>
        <v>12783123.039999999</v>
      </c>
      <c r="M178" s="59"/>
    </row>
    <row r="179" spans="1:13" x14ac:dyDescent="0.2">
      <c r="A179" s="3" t="s">
        <v>3787</v>
      </c>
      <c r="B179" s="27">
        <v>3166124.0599999996</v>
      </c>
      <c r="C179" s="115"/>
      <c r="D179" s="19">
        <v>-839817.9</v>
      </c>
      <c r="E179" s="115"/>
      <c r="F179" s="19">
        <v>0</v>
      </c>
      <c r="G179" s="115"/>
      <c r="H179" s="19">
        <v>0</v>
      </c>
      <c r="I179" s="115"/>
      <c r="J179" s="27">
        <f t="shared" si="20"/>
        <v>-839817.9</v>
      </c>
      <c r="K179" s="115"/>
      <c r="L179" s="27">
        <f t="shared" si="21"/>
        <v>2326306.1599999997</v>
      </c>
      <c r="M179" s="59"/>
    </row>
    <row r="180" spans="1:13" x14ac:dyDescent="0.2">
      <c r="B180" s="32">
        <f>SUM(B173:B179)</f>
        <v>1178439212.05</v>
      </c>
      <c r="C180" s="115"/>
      <c r="D180" s="32">
        <f>SUM(D173:D179)</f>
        <v>-415146554.89999998</v>
      </c>
      <c r="E180" s="115"/>
      <c r="F180" s="32">
        <f>SUM(F173:F179)</f>
        <v>0</v>
      </c>
      <c r="G180" s="115"/>
      <c r="H180" s="32">
        <f>SUM(H173:H179)</f>
        <v>0</v>
      </c>
      <c r="I180" s="115"/>
      <c r="J180" s="32">
        <f>SUM(J173:J179)</f>
        <v>-415146554.89999998</v>
      </c>
      <c r="K180" s="115"/>
      <c r="L180" s="32">
        <f>SUM(L173:L179)</f>
        <v>763292657.14999998</v>
      </c>
      <c r="M180" s="59"/>
    </row>
    <row r="181" spans="1:13" x14ac:dyDescent="0.2">
      <c r="B181" s="26"/>
      <c r="C181" s="115"/>
      <c r="D181" s="26"/>
      <c r="E181" s="115"/>
      <c r="F181" s="26"/>
      <c r="G181" s="115"/>
      <c r="H181" s="26"/>
      <c r="I181" s="115"/>
      <c r="J181" s="26"/>
      <c r="K181" s="115"/>
      <c r="L181" s="26"/>
      <c r="M181" s="59"/>
    </row>
    <row r="182" spans="1:13" x14ac:dyDescent="0.2">
      <c r="A182" s="12" t="s">
        <v>18</v>
      </c>
      <c r="B182" s="26"/>
      <c r="C182" s="115"/>
      <c r="D182" s="26"/>
      <c r="E182" s="115"/>
      <c r="F182" s="26"/>
      <c r="G182" s="115"/>
      <c r="H182" s="26"/>
      <c r="I182" s="115"/>
      <c r="J182" s="26"/>
      <c r="K182" s="115"/>
      <c r="L182" s="26"/>
      <c r="M182" s="59"/>
    </row>
    <row r="183" spans="1:13" x14ac:dyDescent="0.2">
      <c r="A183" s="3" t="s">
        <v>3788</v>
      </c>
      <c r="B183" s="26">
        <v>0</v>
      </c>
      <c r="C183" s="115"/>
      <c r="D183" s="19">
        <v>0</v>
      </c>
      <c r="E183" s="115"/>
      <c r="F183" s="19">
        <v>0</v>
      </c>
      <c r="G183" s="115"/>
      <c r="H183" s="19">
        <v>0</v>
      </c>
      <c r="I183" s="115"/>
      <c r="J183" s="26">
        <f t="shared" ref="J183:J192" si="22">H183+F183+D183</f>
        <v>0</v>
      </c>
      <c r="K183" s="115"/>
      <c r="L183" s="26">
        <f t="shared" ref="L183:L192" si="23">J183+B183</f>
        <v>0</v>
      </c>
      <c r="M183" s="59"/>
    </row>
    <row r="184" spans="1:13" x14ac:dyDescent="0.2">
      <c r="A184" s="3" t="s">
        <v>3789</v>
      </c>
      <c r="B184" s="26">
        <v>0</v>
      </c>
      <c r="C184" s="115"/>
      <c r="D184" s="19">
        <v>0</v>
      </c>
      <c r="E184" s="115"/>
      <c r="F184" s="19">
        <v>0</v>
      </c>
      <c r="G184" s="115"/>
      <c r="H184" s="19">
        <v>0</v>
      </c>
      <c r="I184" s="115"/>
      <c r="J184" s="26">
        <f t="shared" si="22"/>
        <v>0</v>
      </c>
      <c r="K184" s="115"/>
      <c r="L184" s="26">
        <f t="shared" si="23"/>
        <v>0</v>
      </c>
      <c r="M184" s="59"/>
    </row>
    <row r="185" spans="1:13" x14ac:dyDescent="0.2">
      <c r="A185" s="3" t="s">
        <v>3790</v>
      </c>
      <c r="B185" s="26">
        <v>602863.02</v>
      </c>
      <c r="C185" s="115"/>
      <c r="D185" s="19">
        <v>-593072.34</v>
      </c>
      <c r="E185" s="115"/>
      <c r="F185" s="19">
        <v>0</v>
      </c>
      <c r="G185" s="115"/>
      <c r="H185" s="19">
        <v>0</v>
      </c>
      <c r="I185" s="115"/>
      <c r="J185" s="26">
        <f t="shared" si="22"/>
        <v>-593072.34</v>
      </c>
      <c r="K185" s="115"/>
      <c r="L185" s="26">
        <f t="shared" si="23"/>
        <v>9790.6800000000512</v>
      </c>
      <c r="M185" s="59"/>
    </row>
    <row r="186" spans="1:13" x14ac:dyDescent="0.2">
      <c r="A186" s="3" t="s">
        <v>3652</v>
      </c>
      <c r="B186" s="26">
        <v>0</v>
      </c>
      <c r="C186" s="115"/>
      <c r="D186" s="19">
        <v>5785.94</v>
      </c>
      <c r="E186" s="115"/>
      <c r="F186" s="19">
        <v>0</v>
      </c>
      <c r="G186" s="115"/>
      <c r="H186" s="19">
        <v>0</v>
      </c>
      <c r="I186" s="115"/>
      <c r="J186" s="26">
        <f t="shared" si="22"/>
        <v>5785.94</v>
      </c>
      <c r="K186" s="115"/>
      <c r="L186" s="26">
        <f t="shared" si="23"/>
        <v>5785.94</v>
      </c>
      <c r="M186" s="59"/>
    </row>
    <row r="187" spans="1:13" x14ac:dyDescent="0.2">
      <c r="A187" s="3" t="s">
        <v>3791</v>
      </c>
      <c r="B187" s="26">
        <v>16876445.280000001</v>
      </c>
      <c r="C187" s="115"/>
      <c r="D187" s="19">
        <v>-6080048.8300000001</v>
      </c>
      <c r="E187" s="115"/>
      <c r="F187" s="19">
        <v>0</v>
      </c>
      <c r="G187" s="115"/>
      <c r="H187" s="19">
        <v>0</v>
      </c>
      <c r="I187" s="115"/>
      <c r="J187" s="26">
        <f t="shared" si="22"/>
        <v>-6080048.8300000001</v>
      </c>
      <c r="K187" s="115"/>
      <c r="L187" s="26">
        <f t="shared" si="23"/>
        <v>10796396.450000001</v>
      </c>
      <c r="M187" s="60"/>
    </row>
    <row r="188" spans="1:13" x14ac:dyDescent="0.2">
      <c r="A188" s="3" t="s">
        <v>3792</v>
      </c>
      <c r="B188" s="26">
        <v>0</v>
      </c>
      <c r="C188" s="115"/>
      <c r="D188" s="19">
        <v>0</v>
      </c>
      <c r="E188" s="115"/>
      <c r="F188" s="19">
        <v>0</v>
      </c>
      <c r="G188" s="115"/>
      <c r="H188" s="19">
        <v>0</v>
      </c>
      <c r="I188" s="115"/>
      <c r="J188" s="26">
        <f>H188+F188+D188</f>
        <v>0</v>
      </c>
      <c r="K188" s="115"/>
      <c r="L188" s="26">
        <f>J188+B188</f>
        <v>0</v>
      </c>
      <c r="M188" s="60"/>
    </row>
    <row r="189" spans="1:13" x14ac:dyDescent="0.2">
      <c r="A189" s="3" t="s">
        <v>3793</v>
      </c>
      <c r="B189" s="26">
        <v>-4.9476511776447296E-10</v>
      </c>
      <c r="C189" s="115"/>
      <c r="D189" s="19">
        <v>0</v>
      </c>
      <c r="E189" s="115"/>
      <c r="F189" s="19">
        <v>0</v>
      </c>
      <c r="G189" s="115"/>
      <c r="H189" s="19">
        <v>0</v>
      </c>
      <c r="I189" s="115"/>
      <c r="J189" s="26">
        <f t="shared" si="22"/>
        <v>0</v>
      </c>
      <c r="K189" s="115"/>
      <c r="L189" s="26">
        <f t="shared" si="23"/>
        <v>-4.9476511776447296E-10</v>
      </c>
      <c r="M189" s="60"/>
    </row>
    <row r="190" spans="1:13" x14ac:dyDescent="0.2">
      <c r="A190" s="3" t="s">
        <v>3794</v>
      </c>
      <c r="B190" s="26">
        <v>30704394.5</v>
      </c>
      <c r="C190" s="115"/>
      <c r="D190" s="19">
        <v>5463884.0999999996</v>
      </c>
      <c r="E190" s="115"/>
      <c r="F190" s="19">
        <v>0</v>
      </c>
      <c r="G190" s="115"/>
      <c r="H190" s="19">
        <v>0</v>
      </c>
      <c r="I190" s="115"/>
      <c r="J190" s="26">
        <f t="shared" si="22"/>
        <v>5463884.0999999996</v>
      </c>
      <c r="K190" s="115"/>
      <c r="L190" s="26">
        <f t="shared" si="23"/>
        <v>36168278.600000001</v>
      </c>
      <c r="M190" s="60"/>
    </row>
    <row r="191" spans="1:13" x14ac:dyDescent="0.2">
      <c r="A191" s="3" t="s">
        <v>3795</v>
      </c>
      <c r="B191" s="26">
        <v>10625583.290000001</v>
      </c>
      <c r="C191" s="115"/>
      <c r="D191" s="19">
        <v>-803913.12</v>
      </c>
      <c r="E191" s="115"/>
      <c r="F191" s="19">
        <v>0</v>
      </c>
      <c r="G191" s="115"/>
      <c r="H191" s="19">
        <v>0</v>
      </c>
      <c r="I191" s="115"/>
      <c r="J191" s="26">
        <f t="shared" si="22"/>
        <v>-803913.12</v>
      </c>
      <c r="K191" s="115"/>
      <c r="L191" s="26">
        <f t="shared" si="23"/>
        <v>9821670.1700000018</v>
      </c>
      <c r="M191" s="60"/>
    </row>
    <row r="192" spans="1:13" x14ac:dyDescent="0.2">
      <c r="A192" s="3" t="s">
        <v>3796</v>
      </c>
      <c r="B192" s="26">
        <v>0</v>
      </c>
      <c r="C192" s="115"/>
      <c r="D192" s="19">
        <v>450.91</v>
      </c>
      <c r="E192" s="115"/>
      <c r="F192" s="19">
        <v>0</v>
      </c>
      <c r="G192" s="115"/>
      <c r="H192" s="19">
        <v>0</v>
      </c>
      <c r="I192" s="115"/>
      <c r="J192" s="26">
        <f t="shared" si="22"/>
        <v>450.91</v>
      </c>
      <c r="K192" s="115"/>
      <c r="L192" s="26">
        <f t="shared" si="23"/>
        <v>450.91</v>
      </c>
      <c r="M192" s="60"/>
    </row>
    <row r="193" spans="1:13" x14ac:dyDescent="0.2">
      <c r="B193" s="32">
        <f>SUM(B183:B192)</f>
        <v>58809286.089999996</v>
      </c>
      <c r="C193" s="115"/>
      <c r="D193" s="32">
        <f>SUM(D183:D192)</f>
        <v>-2006913.340000001</v>
      </c>
      <c r="E193" s="115"/>
      <c r="F193" s="32">
        <f>SUM(F183:F192)</f>
        <v>0</v>
      </c>
      <c r="G193" s="115"/>
      <c r="H193" s="32">
        <f>SUM(H183:H192)</f>
        <v>0</v>
      </c>
      <c r="I193" s="115"/>
      <c r="J193" s="32">
        <f>SUM(J183:J192)</f>
        <v>-2006913.340000001</v>
      </c>
      <c r="K193" s="115"/>
      <c r="L193" s="32">
        <f>SUM(L183:L192)</f>
        <v>56802372.75</v>
      </c>
      <c r="M193" s="59"/>
    </row>
    <row r="194" spans="1:13" x14ac:dyDescent="0.2">
      <c r="B194" s="26"/>
      <c r="C194" s="115"/>
      <c r="D194" s="26"/>
      <c r="E194" s="115"/>
      <c r="F194" s="26"/>
      <c r="G194" s="115"/>
      <c r="H194" s="26"/>
      <c r="I194" s="115"/>
      <c r="J194" s="26"/>
      <c r="K194" s="115"/>
      <c r="L194" s="26"/>
      <c r="M194" s="59"/>
    </row>
    <row r="195" spans="1:13" x14ac:dyDescent="0.2">
      <c r="C195" s="116"/>
      <c r="E195" s="116"/>
      <c r="G195" s="116"/>
      <c r="I195" s="116"/>
      <c r="K195" s="116"/>
    </row>
    <row r="196" spans="1:13" x14ac:dyDescent="0.2">
      <c r="A196" s="12" t="s">
        <v>3653</v>
      </c>
      <c r="B196" s="31">
        <f>B193+B180+B170+B161+B156+B147+B133</f>
        <v>1343114607.9099998</v>
      </c>
      <c r="C196" s="115"/>
      <c r="D196" s="31">
        <f>D193+D180+D170+D161+D156+D147+D133</f>
        <v>-413484406.07999998</v>
      </c>
      <c r="E196" s="115"/>
      <c r="F196" s="31">
        <f>F193+F180+F170+F161+F156+F147+F133</f>
        <v>0</v>
      </c>
      <c r="G196" s="115"/>
      <c r="H196" s="31">
        <f>H193+H180+H170+H161+H156+H147+H133</f>
        <v>0</v>
      </c>
      <c r="I196" s="115"/>
      <c r="J196" s="31">
        <f>J193+J180+J170+J161+J156+J147+J133</f>
        <v>-413484406.07999998</v>
      </c>
      <c r="K196" s="115"/>
      <c r="L196" s="31">
        <f>L193+L180+L170+L161+L156+L147+L133</f>
        <v>929630201.83000004</v>
      </c>
    </row>
    <row r="197" spans="1:13" x14ac:dyDescent="0.2">
      <c r="B197" s="26"/>
      <c r="C197" s="116"/>
      <c r="D197" s="26"/>
      <c r="E197" s="116"/>
      <c r="F197" s="26"/>
      <c r="G197" s="116"/>
      <c r="H197" s="26"/>
      <c r="I197" s="116"/>
      <c r="J197" s="26"/>
      <c r="K197" s="116"/>
      <c r="L197" s="26"/>
    </row>
    <row r="198" spans="1:13" x14ac:dyDescent="0.2">
      <c r="C198" s="116"/>
      <c r="E198" s="116"/>
      <c r="G198" s="116"/>
      <c r="I198" s="116"/>
      <c r="K198" s="116"/>
    </row>
    <row r="199" spans="1:13" ht="13.5" thickBot="1" x14ac:dyDescent="0.25">
      <c r="A199" s="12" t="s">
        <v>3797</v>
      </c>
      <c r="B199" s="33">
        <f>B196+B115</f>
        <v>8928112999.8999996</v>
      </c>
      <c r="C199" s="116"/>
      <c r="D199" s="33">
        <f>D196+D115</f>
        <v>297251595.43000001</v>
      </c>
      <c r="E199" s="116"/>
      <c r="F199" s="33">
        <f>F196+F115</f>
        <v>-65746377.310000002</v>
      </c>
      <c r="G199" s="116"/>
      <c r="H199" s="33">
        <f>H196+H115</f>
        <v>-46161055.400000006</v>
      </c>
      <c r="I199" s="116"/>
      <c r="J199" s="33">
        <f>J196+J115</f>
        <v>185344162.71999997</v>
      </c>
      <c r="K199" s="116"/>
      <c r="L199" s="33">
        <f>L196+L115</f>
        <v>9113457162.6200008</v>
      </c>
    </row>
    <row r="200" spans="1:13" ht="13.5" thickTop="1" x14ac:dyDescent="0.2">
      <c r="C200" s="116"/>
      <c r="E200" s="116"/>
      <c r="G200" s="116"/>
      <c r="I200" s="116"/>
      <c r="K200" s="116"/>
    </row>
    <row r="201" spans="1:13" x14ac:dyDescent="0.2">
      <c r="C201" s="116"/>
      <c r="E201" s="116"/>
      <c r="G201" s="116"/>
      <c r="I201" s="116"/>
      <c r="K201" s="116"/>
    </row>
    <row r="202" spans="1:13" x14ac:dyDescent="0.2">
      <c r="C202" s="116"/>
      <c r="E202" s="116"/>
      <c r="G202" s="116"/>
      <c r="I202" s="116"/>
      <c r="K202" s="116"/>
    </row>
    <row r="203" spans="1:13" x14ac:dyDescent="0.2">
      <c r="C203" s="116"/>
      <c r="E203" s="116"/>
      <c r="G203" s="116"/>
      <c r="I203" s="116"/>
      <c r="K203" s="116"/>
    </row>
    <row r="204" spans="1:13" x14ac:dyDescent="0.2">
      <c r="C204" s="116"/>
      <c r="E204" s="116"/>
      <c r="G204" s="116"/>
      <c r="I204" s="116"/>
      <c r="K204" s="116"/>
    </row>
    <row r="205" spans="1:13" x14ac:dyDescent="0.2">
      <c r="C205" s="116"/>
      <c r="E205" s="116"/>
      <c r="G205" s="116"/>
      <c r="I205" s="116"/>
      <c r="K205" s="116"/>
    </row>
    <row r="206" spans="1:13" x14ac:dyDescent="0.2">
      <c r="C206" s="116"/>
      <c r="E206" s="116"/>
      <c r="G206" s="116"/>
      <c r="I206" s="116"/>
      <c r="K206" s="116"/>
    </row>
    <row r="207" spans="1:13" x14ac:dyDescent="0.2">
      <c r="C207" s="116"/>
      <c r="E207" s="116"/>
      <c r="G207" s="116"/>
      <c r="I207" s="116"/>
      <c r="K207" s="116"/>
    </row>
    <row r="208" spans="1:13" x14ac:dyDescent="0.2">
      <c r="C208" s="116"/>
      <c r="E208" s="116"/>
      <c r="G208" s="116"/>
      <c r="I208" s="116"/>
      <c r="K208" s="116"/>
    </row>
    <row r="209" spans="3:11" x14ac:dyDescent="0.2">
      <c r="C209" s="116"/>
      <c r="E209" s="116"/>
      <c r="G209" s="116"/>
      <c r="I209" s="116"/>
      <c r="K209" s="116"/>
    </row>
    <row r="210" spans="3:11" x14ac:dyDescent="0.2">
      <c r="C210" s="109"/>
      <c r="E210" s="109"/>
      <c r="G210" s="109"/>
      <c r="I210" s="109"/>
      <c r="K210" s="109"/>
    </row>
    <row r="211" spans="3:11" x14ac:dyDescent="0.2">
      <c r="C211" s="109"/>
      <c r="E211" s="109"/>
      <c r="G211" s="109"/>
      <c r="I211" s="109"/>
      <c r="K211" s="109"/>
    </row>
    <row r="212" spans="3:11" x14ac:dyDescent="0.2">
      <c r="C212" s="109"/>
      <c r="E212" s="109"/>
      <c r="G212" s="109"/>
      <c r="I212" s="109"/>
      <c r="K212" s="109"/>
    </row>
    <row r="213" spans="3:11" x14ac:dyDescent="0.2">
      <c r="C213" s="109"/>
      <c r="E213" s="109"/>
      <c r="G213" s="109"/>
      <c r="I213" s="109"/>
      <c r="K213" s="109"/>
    </row>
    <row r="214" spans="3:11" x14ac:dyDescent="0.2">
      <c r="C214" s="109"/>
      <c r="E214" s="109"/>
      <c r="G214" s="109"/>
      <c r="I214" s="109"/>
      <c r="K214" s="109"/>
    </row>
    <row r="215" spans="3:11" x14ac:dyDescent="0.2">
      <c r="C215" s="109"/>
      <c r="E215" s="109"/>
      <c r="G215" s="109"/>
      <c r="I215" s="109"/>
      <c r="K215" s="109"/>
    </row>
    <row r="216" spans="3:11" x14ac:dyDescent="0.2">
      <c r="C216" s="109"/>
      <c r="E216" s="109"/>
      <c r="G216" s="109"/>
      <c r="I216" s="109"/>
      <c r="K216" s="109"/>
    </row>
    <row r="217" spans="3:11" x14ac:dyDescent="0.2">
      <c r="C217" s="109"/>
      <c r="E217" s="109"/>
      <c r="G217" s="109"/>
      <c r="I217" s="109"/>
      <c r="K217" s="109"/>
    </row>
    <row r="218" spans="3:11" x14ac:dyDescent="0.2">
      <c r="C218" s="109"/>
      <c r="E218" s="109"/>
      <c r="G218" s="109"/>
      <c r="I218" s="109"/>
      <c r="K218" s="109"/>
    </row>
    <row r="219" spans="3:11" x14ac:dyDescent="0.2">
      <c r="C219" s="109"/>
      <c r="E219" s="109"/>
      <c r="G219" s="109"/>
      <c r="I219" s="109"/>
      <c r="K219" s="109"/>
    </row>
    <row r="220" spans="3:11" x14ac:dyDescent="0.2">
      <c r="C220" s="109"/>
      <c r="E220" s="109"/>
      <c r="G220" s="109"/>
      <c r="I220" s="109"/>
      <c r="K220" s="109"/>
    </row>
    <row r="221" spans="3:11" x14ac:dyDescent="0.2">
      <c r="C221" s="109"/>
      <c r="E221" s="109"/>
      <c r="G221" s="109"/>
      <c r="I221" s="109"/>
      <c r="K221" s="109"/>
    </row>
    <row r="222" spans="3:11" x14ac:dyDescent="0.2">
      <c r="C222" s="109"/>
      <c r="E222" s="109"/>
      <c r="G222" s="109"/>
      <c r="I222" s="109"/>
      <c r="K222" s="109"/>
    </row>
    <row r="223" spans="3:11" x14ac:dyDescent="0.2">
      <c r="C223" s="109"/>
      <c r="E223" s="109"/>
      <c r="G223" s="109"/>
      <c r="I223" s="109"/>
      <c r="K223" s="109"/>
    </row>
    <row r="224" spans="3:11" x14ac:dyDescent="0.2">
      <c r="C224" s="109"/>
      <c r="E224" s="109"/>
      <c r="G224" s="109"/>
      <c r="I224" s="109"/>
      <c r="K224" s="109"/>
    </row>
    <row r="225" spans="3:11" x14ac:dyDescent="0.2">
      <c r="C225" s="109"/>
      <c r="E225" s="109"/>
      <c r="G225" s="109"/>
      <c r="I225" s="109"/>
      <c r="K225" s="109"/>
    </row>
    <row r="226" spans="3:11" x14ac:dyDescent="0.2">
      <c r="C226" s="109"/>
      <c r="E226" s="109"/>
      <c r="G226" s="109"/>
      <c r="I226" s="109"/>
      <c r="K226" s="109"/>
    </row>
    <row r="227" spans="3:11" x14ac:dyDescent="0.2">
      <c r="C227" s="109"/>
      <c r="E227" s="109"/>
      <c r="G227" s="109"/>
      <c r="I227" s="109"/>
      <c r="K227" s="109"/>
    </row>
    <row r="228" spans="3:11" x14ac:dyDescent="0.2">
      <c r="C228" s="109"/>
      <c r="E228" s="109"/>
      <c r="G228" s="109"/>
      <c r="I228" s="109"/>
      <c r="K228" s="109"/>
    </row>
    <row r="229" spans="3:11" x14ac:dyDescent="0.2">
      <c r="C229" s="109"/>
      <c r="E229" s="109"/>
      <c r="G229" s="109"/>
      <c r="I229" s="109"/>
      <c r="K229" s="109"/>
    </row>
    <row r="230" spans="3:11" x14ac:dyDescent="0.2">
      <c r="C230" s="109"/>
      <c r="E230" s="109"/>
      <c r="G230" s="109"/>
      <c r="I230" s="109"/>
      <c r="K230" s="109"/>
    </row>
    <row r="231" spans="3:11" x14ac:dyDescent="0.2">
      <c r="C231" s="109"/>
      <c r="E231" s="109"/>
      <c r="G231" s="109"/>
      <c r="I231" s="109"/>
      <c r="K231" s="109"/>
    </row>
    <row r="232" spans="3:11" x14ac:dyDescent="0.2">
      <c r="C232" s="109"/>
      <c r="E232" s="109"/>
      <c r="G232" s="109"/>
      <c r="I232" s="109"/>
      <c r="K232" s="109"/>
    </row>
    <row r="233" spans="3:11" x14ac:dyDescent="0.2">
      <c r="C233" s="109"/>
      <c r="E233" s="109"/>
      <c r="G233" s="109"/>
      <c r="I233" s="109"/>
      <c r="K233" s="109"/>
    </row>
    <row r="234" spans="3:11" x14ac:dyDescent="0.2">
      <c r="C234" s="109"/>
      <c r="E234" s="109"/>
      <c r="G234" s="109"/>
      <c r="I234" s="109"/>
      <c r="K234" s="109"/>
    </row>
    <row r="235" spans="3:11" x14ac:dyDescent="0.2">
      <c r="C235" s="109"/>
      <c r="E235" s="109"/>
      <c r="G235" s="109"/>
      <c r="I235" s="109"/>
      <c r="K235" s="109"/>
    </row>
    <row r="236" spans="3:11" x14ac:dyDescent="0.2">
      <c r="C236" s="109"/>
      <c r="E236" s="109"/>
      <c r="G236" s="109"/>
      <c r="I236" s="109"/>
      <c r="K236" s="109"/>
    </row>
    <row r="237" spans="3:11" x14ac:dyDescent="0.2">
      <c r="C237" s="109"/>
      <c r="E237" s="109"/>
      <c r="G237" s="109"/>
      <c r="I237" s="109"/>
      <c r="K237" s="109"/>
    </row>
    <row r="238" spans="3:11" x14ac:dyDescent="0.2">
      <c r="C238" s="109"/>
      <c r="E238" s="109"/>
      <c r="G238" s="109"/>
      <c r="I238" s="109"/>
      <c r="K238" s="109"/>
    </row>
    <row r="239" spans="3:11" x14ac:dyDescent="0.2">
      <c r="C239" s="109"/>
      <c r="E239" s="109"/>
      <c r="G239" s="109"/>
      <c r="I239" s="109"/>
      <c r="K239" s="109"/>
    </row>
    <row r="240" spans="3:11" x14ac:dyDescent="0.2">
      <c r="C240" s="109"/>
      <c r="E240" s="109"/>
      <c r="G240" s="109"/>
      <c r="I240" s="109"/>
      <c r="K240" s="109"/>
    </row>
    <row r="241" spans="3:11" x14ac:dyDescent="0.2">
      <c r="C241" s="109"/>
      <c r="E241" s="109"/>
      <c r="G241" s="109"/>
      <c r="I241" s="109"/>
      <c r="K241" s="109"/>
    </row>
    <row r="242" spans="3:11" x14ac:dyDescent="0.2">
      <c r="C242" s="109"/>
      <c r="E242" s="109"/>
      <c r="G242" s="109"/>
      <c r="I242" s="109"/>
      <c r="K242" s="109"/>
    </row>
    <row r="243" spans="3:11" x14ac:dyDescent="0.2">
      <c r="C243" s="109"/>
      <c r="E243" s="109"/>
      <c r="G243" s="109"/>
      <c r="I243" s="109"/>
      <c r="K243" s="109"/>
    </row>
    <row r="244" spans="3:11" x14ac:dyDescent="0.2">
      <c r="C244" s="109"/>
      <c r="E244" s="109"/>
      <c r="G244" s="109"/>
      <c r="I244" s="109"/>
      <c r="K244" s="109"/>
    </row>
    <row r="245" spans="3:11" x14ac:dyDescent="0.2">
      <c r="C245" s="109"/>
      <c r="E245" s="109"/>
      <c r="G245" s="109"/>
      <c r="I245" s="109"/>
      <c r="K245" s="109"/>
    </row>
    <row r="246" spans="3:11" x14ac:dyDescent="0.2">
      <c r="C246" s="109"/>
      <c r="E246" s="109"/>
      <c r="G246" s="109"/>
      <c r="I246" s="109"/>
      <c r="K246" s="109"/>
    </row>
    <row r="247" spans="3:11" x14ac:dyDescent="0.2">
      <c r="C247" s="109"/>
      <c r="E247" s="109"/>
      <c r="G247" s="109"/>
      <c r="I247" s="109"/>
      <c r="K247" s="109"/>
    </row>
    <row r="248" spans="3:11" x14ac:dyDescent="0.2">
      <c r="C248" s="109"/>
      <c r="E248" s="109"/>
      <c r="G248" s="109"/>
      <c r="I248" s="109"/>
      <c r="K248" s="109"/>
    </row>
    <row r="249" spans="3:11" x14ac:dyDescent="0.2">
      <c r="C249" s="109"/>
      <c r="E249" s="109"/>
      <c r="G249" s="109"/>
      <c r="I249" s="109"/>
      <c r="K249" s="109"/>
    </row>
    <row r="250" spans="3:11" x14ac:dyDescent="0.2">
      <c r="C250" s="109"/>
      <c r="E250" s="109"/>
      <c r="G250" s="109"/>
      <c r="I250" s="109"/>
      <c r="K250" s="109"/>
    </row>
    <row r="251" spans="3:11" x14ac:dyDescent="0.2">
      <c r="C251" s="109"/>
      <c r="E251" s="109"/>
      <c r="G251" s="109"/>
      <c r="I251" s="109"/>
      <c r="K251" s="109"/>
    </row>
    <row r="252" spans="3:11" x14ac:dyDescent="0.2">
      <c r="C252" s="109"/>
      <c r="E252" s="109"/>
      <c r="G252" s="109"/>
      <c r="I252" s="109"/>
      <c r="K252" s="109"/>
    </row>
    <row r="253" spans="3:11" x14ac:dyDescent="0.2">
      <c r="C253" s="109"/>
      <c r="E253" s="109"/>
      <c r="G253" s="109"/>
      <c r="I253" s="109"/>
      <c r="K253" s="109"/>
    </row>
    <row r="254" spans="3:11" x14ac:dyDescent="0.2">
      <c r="C254" s="109"/>
      <c r="E254" s="109"/>
      <c r="G254" s="109"/>
      <c r="I254" s="109"/>
      <c r="K254" s="109"/>
    </row>
    <row r="255" spans="3:11" x14ac:dyDescent="0.2">
      <c r="C255" s="109"/>
      <c r="E255" s="109"/>
      <c r="G255" s="109"/>
      <c r="I255" s="109"/>
      <c r="K255" s="109"/>
    </row>
    <row r="256" spans="3:11" x14ac:dyDescent="0.2">
      <c r="C256" s="109"/>
      <c r="E256" s="109"/>
      <c r="G256" s="109"/>
      <c r="I256" s="109"/>
      <c r="K256" s="109"/>
    </row>
    <row r="257" spans="3:11" x14ac:dyDescent="0.2">
      <c r="C257" s="109"/>
      <c r="E257" s="109"/>
      <c r="G257" s="109"/>
      <c r="I257" s="109"/>
      <c r="K257" s="109"/>
    </row>
    <row r="258" spans="3:11" x14ac:dyDescent="0.2">
      <c r="C258" s="109"/>
      <c r="E258" s="109"/>
      <c r="G258" s="109"/>
      <c r="I258" s="109"/>
      <c r="K258" s="109"/>
    </row>
    <row r="259" spans="3:11" x14ac:dyDescent="0.2">
      <c r="C259" s="109"/>
      <c r="E259" s="109"/>
      <c r="G259" s="109"/>
      <c r="I259" s="109"/>
      <c r="K259" s="109"/>
    </row>
    <row r="260" spans="3:11" x14ac:dyDescent="0.2">
      <c r="C260" s="109"/>
      <c r="E260" s="109"/>
      <c r="G260" s="109"/>
      <c r="I260" s="109"/>
      <c r="K260" s="109"/>
    </row>
    <row r="261" spans="3:11" x14ac:dyDescent="0.2">
      <c r="C261" s="109"/>
      <c r="E261" s="109"/>
      <c r="G261" s="109"/>
      <c r="I261" s="109"/>
      <c r="K261" s="109"/>
    </row>
    <row r="262" spans="3:11" x14ac:dyDescent="0.2">
      <c r="C262" s="109"/>
      <c r="E262" s="109"/>
      <c r="G262" s="109"/>
      <c r="I262" s="109"/>
      <c r="K262" s="109"/>
    </row>
    <row r="263" spans="3:11" x14ac:dyDescent="0.2">
      <c r="C263" s="109"/>
      <c r="E263" s="109"/>
      <c r="G263" s="109"/>
      <c r="I263" s="109"/>
      <c r="K263" s="109"/>
    </row>
    <row r="264" spans="3:11" x14ac:dyDescent="0.2">
      <c r="C264" s="109"/>
      <c r="E264" s="109"/>
      <c r="G264" s="109"/>
      <c r="I264" s="109"/>
      <c r="K264" s="109"/>
    </row>
    <row r="265" spans="3:11" x14ac:dyDescent="0.2">
      <c r="C265" s="109"/>
      <c r="E265" s="109"/>
      <c r="G265" s="109"/>
      <c r="I265" s="109"/>
      <c r="K265" s="109"/>
    </row>
    <row r="266" spans="3:11" x14ac:dyDescent="0.2">
      <c r="C266" s="109"/>
      <c r="E266" s="109"/>
      <c r="G266" s="109"/>
      <c r="I266" s="109"/>
      <c r="K266" s="109"/>
    </row>
    <row r="267" spans="3:11" x14ac:dyDescent="0.2">
      <c r="C267" s="109"/>
      <c r="E267" s="109"/>
      <c r="G267" s="109"/>
      <c r="I267" s="109"/>
      <c r="K267" s="109"/>
    </row>
    <row r="268" spans="3:11" x14ac:dyDescent="0.2">
      <c r="C268" s="109"/>
      <c r="E268" s="109"/>
      <c r="G268" s="109"/>
      <c r="I268" s="109"/>
      <c r="K268" s="109"/>
    </row>
    <row r="269" spans="3:11" x14ac:dyDescent="0.2">
      <c r="C269" s="109"/>
      <c r="E269" s="109"/>
      <c r="G269" s="109"/>
      <c r="I269" s="109"/>
      <c r="K269" s="109"/>
    </row>
    <row r="270" spans="3:11" x14ac:dyDescent="0.2">
      <c r="C270" s="109"/>
      <c r="E270" s="109"/>
      <c r="G270" s="109"/>
      <c r="I270" s="109"/>
      <c r="K270" s="109"/>
    </row>
    <row r="271" spans="3:11" x14ac:dyDescent="0.2">
      <c r="C271" s="109"/>
      <c r="E271" s="109"/>
      <c r="G271" s="109"/>
      <c r="I271" s="109"/>
      <c r="K271" s="109"/>
    </row>
    <row r="272" spans="3:11" x14ac:dyDescent="0.2">
      <c r="C272" s="109"/>
      <c r="E272" s="109"/>
      <c r="G272" s="109"/>
      <c r="I272" s="109"/>
      <c r="K272" s="109"/>
    </row>
    <row r="273" spans="3:11" x14ac:dyDescent="0.2">
      <c r="C273" s="109"/>
      <c r="E273" s="109"/>
      <c r="G273" s="109"/>
      <c r="I273" s="109"/>
      <c r="K273" s="109"/>
    </row>
    <row r="274" spans="3:11" x14ac:dyDescent="0.2">
      <c r="C274" s="109"/>
      <c r="E274" s="109"/>
      <c r="G274" s="109"/>
      <c r="I274" s="109"/>
      <c r="K274" s="109"/>
    </row>
    <row r="275" spans="3:11" x14ac:dyDescent="0.2">
      <c r="C275" s="109"/>
      <c r="E275" s="109"/>
      <c r="G275" s="109"/>
      <c r="I275" s="109"/>
      <c r="K275" s="109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4" manualBreakCount="4">
    <brk id="49" max="16383" man="1"/>
    <brk id="81" max="16383" man="1"/>
    <brk id="117" max="16383" man="1"/>
    <brk id="1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sqref="A1:N1"/>
    </sheetView>
  </sheetViews>
  <sheetFormatPr defaultRowHeight="12.75" x14ac:dyDescent="0.2"/>
  <cols>
    <col min="1" max="1" width="50.8554687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2.140625" style="3" customWidth="1"/>
    <col min="14" max="14" width="17.140625" style="3" customWidth="1"/>
    <col min="15" max="15" width="3" style="3" customWidth="1"/>
    <col min="16" max="16" width="23.140625" style="3" bestFit="1" customWidth="1"/>
    <col min="17" max="16384" width="9.140625" style="3"/>
  </cols>
  <sheetData>
    <row r="1" spans="1:16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87" customFormat="1" ht="15.75" x14ac:dyDescent="0.25">
      <c r="A2" s="103" t="s">
        <v>3798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6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6" x14ac:dyDescent="0.2">
      <c r="B6" s="25" t="s">
        <v>2</v>
      </c>
      <c r="H6" s="25" t="s">
        <v>3</v>
      </c>
      <c r="L6" s="25" t="s">
        <v>4</v>
      </c>
      <c r="P6" s="12" t="s">
        <v>3633</v>
      </c>
    </row>
    <row r="7" spans="1:16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  <c r="N7" s="10" t="s">
        <v>3635</v>
      </c>
      <c r="P7" s="10" t="s">
        <v>3636</v>
      </c>
    </row>
    <row r="8" spans="1:16" x14ac:dyDescent="0.2">
      <c r="A8" s="12" t="s">
        <v>3637</v>
      </c>
      <c r="B8" s="11"/>
      <c r="D8" s="11"/>
      <c r="F8" s="11"/>
      <c r="H8" s="11"/>
      <c r="J8" s="11"/>
      <c r="L8" s="11"/>
    </row>
    <row r="9" spans="1:16" x14ac:dyDescent="0.2">
      <c r="A9" s="12" t="s">
        <v>3638</v>
      </c>
    </row>
    <row r="10" spans="1:16" x14ac:dyDescent="0.2">
      <c r="A10" s="12" t="s">
        <v>12</v>
      </c>
      <c r="C10" s="13"/>
      <c r="E10" s="13"/>
      <c r="G10" s="13"/>
      <c r="I10" s="13"/>
      <c r="K10" s="13"/>
      <c r="M10" s="13"/>
    </row>
    <row r="11" spans="1:16" x14ac:dyDescent="0.2">
      <c r="A11" s="3" t="s">
        <v>146</v>
      </c>
      <c r="B11" s="14">
        <f>'VA_Cost by Plant Acct P10 (REG)'!B11</f>
        <v>91001.83</v>
      </c>
      <c r="C11" s="13"/>
      <c r="D11" s="14">
        <f>'VA_Cost by Plant Acct P10 (REG)'!D11</f>
        <v>0</v>
      </c>
      <c r="E11" s="13"/>
      <c r="F11" s="14">
        <f>'VA_Cost by Plant Acct P10 (REG)'!F11</f>
        <v>0</v>
      </c>
      <c r="G11" s="13"/>
      <c r="H11" s="14">
        <f>'VA_Cost by Plant Acct P10 (REG)'!H11</f>
        <v>0</v>
      </c>
      <c r="I11" s="13"/>
      <c r="J11" s="14">
        <f t="shared" ref="J11:J24" si="0">H11+F11+D11</f>
        <v>0</v>
      </c>
      <c r="K11" s="13"/>
      <c r="L11" s="14">
        <f t="shared" ref="L11:L24" si="1">J11+B11</f>
        <v>91001.83</v>
      </c>
      <c r="M11" s="13"/>
      <c r="N11" s="15">
        <f>'VA_Res by Plant Acct P17(REG)'!R10</f>
        <v>-69089.119999999981</v>
      </c>
      <c r="P11" s="15">
        <f>L11+N11</f>
        <v>21912.710000000021</v>
      </c>
    </row>
    <row r="12" spans="1:16" x14ac:dyDescent="0.2">
      <c r="A12" s="3" t="s">
        <v>147</v>
      </c>
      <c r="B12" s="14">
        <f>'VA_Cost by Plant Acct P10 (REG)'!B12</f>
        <v>102248.61</v>
      </c>
      <c r="C12" s="13"/>
      <c r="D12" s="14">
        <f>'VA_Cost by Plant Acct P10 (REG)'!D12</f>
        <v>240853.29</v>
      </c>
      <c r="E12" s="13"/>
      <c r="F12" s="14">
        <f>'VA_Cost by Plant Acct P10 (REG)'!F12</f>
        <v>0</v>
      </c>
      <c r="G12" s="13"/>
      <c r="H12" s="14">
        <f>'VA_Cost by Plant Acct P10 (REG)'!H12</f>
        <v>-240853.29</v>
      </c>
      <c r="I12" s="13"/>
      <c r="J12" s="14">
        <f t="shared" si="0"/>
        <v>0</v>
      </c>
      <c r="K12" s="13"/>
      <c r="L12" s="14">
        <f t="shared" si="1"/>
        <v>102248.61</v>
      </c>
      <c r="M12" s="13"/>
      <c r="N12" s="15">
        <v>0</v>
      </c>
      <c r="P12" s="15">
        <f t="shared" ref="P12:P24" si="2">L12+N12</f>
        <v>102248.61</v>
      </c>
    </row>
    <row r="13" spans="1:16" x14ac:dyDescent="0.2">
      <c r="A13" s="3" t="s">
        <v>148</v>
      </c>
      <c r="B13" s="14">
        <f>'VA_Cost by Plant Acct P10 (REG)'!B13+'VA_Cost by Plant Acct P10 (REG)'!B62</f>
        <v>490205.62</v>
      </c>
      <c r="C13" s="13"/>
      <c r="D13" s="14">
        <f>'VA_Cost by Plant Acct P10 (REG)'!D13+'VA_Cost by Plant Acct P10 (REG)'!D62</f>
        <v>80031.37</v>
      </c>
      <c r="E13" s="13"/>
      <c r="F13" s="14">
        <f>'VA_Cost by Plant Acct P10 (REG)'!F13+'VA_Cost by Plant Acct P10 (REG)'!F62</f>
        <v>-49.61</v>
      </c>
      <c r="G13" s="13"/>
      <c r="H13" s="14">
        <f>'VA_Cost by Plant Acct P10 (REG)'!H13+'VA_Cost by Plant Acct P10 (REG)'!H62</f>
        <v>0</v>
      </c>
      <c r="I13" s="13"/>
      <c r="J13" s="14">
        <f>'VA_Cost by Plant Acct P10 (REG)'!J13+'VA_Cost by Plant Acct P10 (REG)'!J62</f>
        <v>79981.759999999995</v>
      </c>
      <c r="K13" s="13"/>
      <c r="L13" s="14">
        <f>J13+B13</f>
        <v>570187.38</v>
      </c>
      <c r="M13" s="13"/>
      <c r="N13" s="15">
        <f>'VA_Res by Plant Acct P17(REG)'!R11</f>
        <v>-133814.54000000007</v>
      </c>
      <c r="P13" s="15">
        <f t="shared" si="2"/>
        <v>436372.83999999997</v>
      </c>
    </row>
    <row r="14" spans="1:16" x14ac:dyDescent="0.2">
      <c r="A14" s="3" t="s">
        <v>149</v>
      </c>
      <c r="B14" s="14">
        <f>'VA_Cost by Plant Acct P10 (REG)'!B14+'VA_Cost by Plant Acct P10 (REG)'!B63</f>
        <v>8391865.959999999</v>
      </c>
      <c r="C14" s="13"/>
      <c r="D14" s="14">
        <f>'VA_Cost by Plant Acct P10 (REG)'!D14+'VA_Cost by Plant Acct P10 (REG)'!D63</f>
        <v>21796.14</v>
      </c>
      <c r="E14" s="13"/>
      <c r="F14" s="14">
        <f>'VA_Cost by Plant Acct P10 (REG)'!F14</f>
        <v>-32176.81</v>
      </c>
      <c r="G14" s="13"/>
      <c r="H14" s="14">
        <f>'VA_Cost by Plant Acct P10 (REG)'!H14</f>
        <v>0</v>
      </c>
      <c r="I14" s="13"/>
      <c r="J14" s="14">
        <f t="shared" si="0"/>
        <v>-10380.670000000002</v>
      </c>
      <c r="K14" s="13"/>
      <c r="L14" s="14">
        <f t="shared" si="1"/>
        <v>8381485.2899999991</v>
      </c>
      <c r="M14" s="13"/>
      <c r="N14" s="15">
        <f>'VA_Res by Plant Acct P17(REG)'!R12</f>
        <v>-3174544.5199999996</v>
      </c>
      <c r="P14" s="15">
        <f t="shared" si="2"/>
        <v>5206940.7699999996</v>
      </c>
    </row>
    <row r="15" spans="1:16" x14ac:dyDescent="0.2">
      <c r="A15" s="3" t="s">
        <v>150</v>
      </c>
      <c r="B15" s="14">
        <f>'VA_Cost by Plant Acct P10 (REG)'!B15+'VA_Cost by Plant Acct P10 (REG)'!B64</f>
        <v>28102438.27</v>
      </c>
      <c r="C15" s="13"/>
      <c r="D15" s="14">
        <f>'VA_Cost by Plant Acct P10 (REG)'!D15+'VA_Cost by Plant Acct P10 (REG)'!D64</f>
        <v>1063622.75</v>
      </c>
      <c r="E15" s="13"/>
      <c r="F15" s="14">
        <f>'VA_Cost by Plant Acct P10 (REG)'!F15</f>
        <v>-154973.03</v>
      </c>
      <c r="G15" s="13"/>
      <c r="H15" s="14">
        <f>'VA_Cost by Plant Acct P10 (REG)'!H15+'VA_Cost by Plant Acct P10 (REG)'!H64</f>
        <v>0</v>
      </c>
      <c r="I15" s="13"/>
      <c r="J15" s="14">
        <f t="shared" si="0"/>
        <v>908649.72</v>
      </c>
      <c r="K15" s="13"/>
      <c r="L15" s="14">
        <f t="shared" si="1"/>
        <v>29011087.989999998</v>
      </c>
      <c r="M15" s="13"/>
      <c r="N15" s="15">
        <f>'VA_Res by Plant Acct P17(REG)'!R13</f>
        <v>-12544814.390000001</v>
      </c>
      <c r="P15" s="15">
        <f t="shared" si="2"/>
        <v>16466273.599999998</v>
      </c>
    </row>
    <row r="16" spans="1:16" x14ac:dyDescent="0.2">
      <c r="A16" s="3" t="s">
        <v>151</v>
      </c>
      <c r="B16" s="14">
        <f>'VA_Cost by Plant Acct P10 (REG)'!B16+'VA_Cost by Plant Acct P10 (REG)'!B65</f>
        <v>24481522.780000001</v>
      </c>
      <c r="C16" s="13"/>
      <c r="D16" s="14">
        <f>'VA_Cost by Plant Acct P10 (REG)'!D16+'VA_Cost by Plant Acct P10 (REG)'!D65</f>
        <v>1740494.6</v>
      </c>
      <c r="E16" s="13"/>
      <c r="F16" s="14">
        <f>'VA_Cost by Plant Acct P10 (REG)'!F16</f>
        <v>-676893.99</v>
      </c>
      <c r="G16" s="13"/>
      <c r="H16" s="14">
        <f>'VA_Cost by Plant Acct P10 (REG)'!H16+'VA_Cost by Plant Acct P10 (REG)'!H65</f>
        <v>0</v>
      </c>
      <c r="I16" s="13"/>
      <c r="J16" s="14">
        <f t="shared" si="0"/>
        <v>1063600.6100000001</v>
      </c>
      <c r="K16" s="13"/>
      <c r="L16" s="14">
        <f t="shared" si="1"/>
        <v>25545123.390000001</v>
      </c>
      <c r="M16" s="13"/>
      <c r="N16" s="15">
        <f>'VA_Res by Plant Acct P17(REG)'!R14</f>
        <v>-8992418.9900000002</v>
      </c>
      <c r="P16" s="15">
        <f t="shared" si="2"/>
        <v>16552704.4</v>
      </c>
    </row>
    <row r="17" spans="1:16" x14ac:dyDescent="0.2">
      <c r="A17" s="3" t="s">
        <v>152</v>
      </c>
      <c r="B17" s="14">
        <f>'VA_Cost by Plant Acct P10 (REG)'!B66</f>
        <v>0</v>
      </c>
      <c r="C17" s="13"/>
      <c r="D17" s="14">
        <f>'VA_Cost by Plant Acct P10 (REG)'!D66</f>
        <v>0</v>
      </c>
      <c r="E17" s="13"/>
      <c r="F17" s="14">
        <v>0</v>
      </c>
      <c r="G17" s="13"/>
      <c r="H17" s="14">
        <f>'VA_Cost by Plant Acct P10 (REG)'!H17</f>
        <v>0</v>
      </c>
      <c r="I17" s="13"/>
      <c r="J17" s="14">
        <f t="shared" si="0"/>
        <v>0</v>
      </c>
      <c r="K17" s="13"/>
      <c r="L17" s="14">
        <f t="shared" si="1"/>
        <v>0</v>
      </c>
      <c r="M17" s="13"/>
      <c r="N17" s="15">
        <f>'VA_Res by Plant Acct P17(REG)'!R15</f>
        <v>0</v>
      </c>
      <c r="P17" s="15">
        <f t="shared" si="2"/>
        <v>0</v>
      </c>
    </row>
    <row r="18" spans="1:16" x14ac:dyDescent="0.2">
      <c r="A18" s="3" t="s">
        <v>153</v>
      </c>
      <c r="B18" s="14">
        <f>'VA_Cost by Plant Acct P10 (REG)'!B17+'VA_Cost by Plant Acct P10 (REG)'!B67</f>
        <v>4139560.5300000007</v>
      </c>
      <c r="C18" s="13"/>
      <c r="D18" s="14">
        <f>'VA_Cost by Plant Acct P10 (REG)'!D17+'VA_Cost by Plant Acct P10 (REG)'!D67</f>
        <v>564074.06000000006</v>
      </c>
      <c r="E18" s="13"/>
      <c r="F18" s="14">
        <f>'VA_Cost by Plant Acct P10 (REG)'!F17</f>
        <v>-5152.2299999999996</v>
      </c>
      <c r="G18" s="13"/>
      <c r="H18" s="14">
        <f>'VA_Cost by Plant Acct P10 (REG)'!H17</f>
        <v>0</v>
      </c>
      <c r="I18" s="13"/>
      <c r="J18" s="14">
        <f t="shared" si="0"/>
        <v>558921.83000000007</v>
      </c>
      <c r="K18" s="13"/>
      <c r="L18" s="14">
        <f t="shared" si="1"/>
        <v>4698482.3600000013</v>
      </c>
      <c r="M18" s="13"/>
      <c r="N18" s="15">
        <f>'VA_Res by Plant Acct P17(REG)'!R16</f>
        <v>-671516.45000000007</v>
      </c>
      <c r="P18" s="15">
        <f t="shared" si="2"/>
        <v>4026965.9100000011</v>
      </c>
    </row>
    <row r="19" spans="1:16" x14ac:dyDescent="0.2">
      <c r="A19" s="3" t="s">
        <v>154</v>
      </c>
      <c r="B19" s="14">
        <f>'VA_Cost by Plant Acct P10 (REG)'!B18+'VA_Cost by Plant Acct P10 (REG)'!B68</f>
        <v>12723148.67</v>
      </c>
      <c r="C19" s="13"/>
      <c r="D19" s="14">
        <f>'VA_Cost by Plant Acct P10 (REG)'!D18+'VA_Cost by Plant Acct P10 (REG)'!D68</f>
        <v>211747.12999999998</v>
      </c>
      <c r="E19" s="13"/>
      <c r="F19" s="14">
        <f>'VA_Cost by Plant Acct P10 (REG)'!F18</f>
        <v>-1807396.2</v>
      </c>
      <c r="G19" s="13"/>
      <c r="H19" s="14">
        <f>'VA_Cost by Plant Acct P10 (REG)'!H18</f>
        <v>0</v>
      </c>
      <c r="I19" s="13"/>
      <c r="J19" s="14">
        <f t="shared" si="0"/>
        <v>-1595649.07</v>
      </c>
      <c r="K19" s="13"/>
      <c r="L19" s="14">
        <f t="shared" si="1"/>
        <v>11127499.6</v>
      </c>
      <c r="M19" s="13"/>
      <c r="N19" s="15">
        <f>'VA_Res by Plant Acct P17(REG)'!R17</f>
        <v>-5424958.1800000016</v>
      </c>
      <c r="P19" s="15">
        <f t="shared" si="2"/>
        <v>5702541.4199999981</v>
      </c>
    </row>
    <row r="20" spans="1:16" x14ac:dyDescent="0.2">
      <c r="A20" s="3" t="s">
        <v>155</v>
      </c>
      <c r="B20" s="14">
        <f>'VA_Cost by Plant Acct P10 (REG)'!B19+'VA_Cost by Plant Acct P10 (REG)'!B69</f>
        <v>5498987.4100000011</v>
      </c>
      <c r="C20" s="13"/>
      <c r="D20" s="14">
        <f>'VA_Cost by Plant Acct P10 (REG)'!D19+'VA_Cost by Plant Acct P10 (REG)'!D69</f>
        <v>355368.29</v>
      </c>
      <c r="E20" s="13"/>
      <c r="F20" s="14">
        <f>'VA_Cost by Plant Acct P10 (REG)'!F19</f>
        <v>-1408.17</v>
      </c>
      <c r="G20" s="13"/>
      <c r="H20" s="14">
        <f>'VA_Cost by Plant Acct P10 (REG)'!H19</f>
        <v>0</v>
      </c>
      <c r="I20" s="13"/>
      <c r="J20" s="14">
        <f t="shared" si="0"/>
        <v>353960.12</v>
      </c>
      <c r="K20" s="13"/>
      <c r="L20" s="14">
        <f t="shared" si="1"/>
        <v>5852947.5300000012</v>
      </c>
      <c r="M20" s="13"/>
      <c r="N20" s="15">
        <f>'VA_Res by Plant Acct P17(REG)'!R18</f>
        <v>-4265154.8599999994</v>
      </c>
      <c r="P20" s="15">
        <f t="shared" si="2"/>
        <v>1587792.6700000018</v>
      </c>
    </row>
    <row r="21" spans="1:16" x14ac:dyDescent="0.2">
      <c r="A21" s="3" t="s">
        <v>156</v>
      </c>
      <c r="B21" s="14">
        <f>'VA_Cost by Plant Acct P10 (REG)'!B20+'VA_Cost by Plant Acct P10 (REG)'!B70</f>
        <v>4110517.6299999994</v>
      </c>
      <c r="C21" s="13"/>
      <c r="D21" s="14">
        <f>'VA_Cost by Plant Acct P10 (REG)'!D20+'VA_Cost by Plant Acct P10 (REG)'!D70</f>
        <v>35743.17</v>
      </c>
      <c r="E21" s="14">
        <f>'VA_Cost by Plant Acct P10 (REG)'!E20+'VA_Cost by Plant Acct P10 (REG)'!E70</f>
        <v>0</v>
      </c>
      <c r="F21" s="14">
        <f>'VA_Cost by Plant Acct P10 (REG)'!F20+'VA_Cost by Plant Acct P10 (REG)'!F70</f>
        <v>-236291.41</v>
      </c>
      <c r="G21" s="14">
        <f>'VA_Cost by Plant Acct P10 (REG)'!G20+'VA_Cost by Plant Acct P10 (REG)'!G70</f>
        <v>0</v>
      </c>
      <c r="H21" s="14">
        <f>'VA_Cost by Plant Acct P10 (REG)'!H20+'VA_Cost by Plant Acct P10 (REG)'!H70</f>
        <v>-872830.15</v>
      </c>
      <c r="I21" s="13"/>
      <c r="J21" s="14">
        <f t="shared" si="0"/>
        <v>-1073378.3900000001</v>
      </c>
      <c r="K21" s="13"/>
      <c r="L21" s="14">
        <f t="shared" si="1"/>
        <v>3037139.2399999993</v>
      </c>
      <c r="M21" s="13"/>
      <c r="N21" s="15">
        <f>'VA_Res by Plant Acct P17(REG)'!R19</f>
        <v>-1929033.38</v>
      </c>
      <c r="P21" s="15">
        <f>L21+N21</f>
        <v>1108105.8599999994</v>
      </c>
    </row>
    <row r="22" spans="1:16" x14ac:dyDescent="0.2">
      <c r="A22" s="43" t="s">
        <v>158</v>
      </c>
      <c r="B22" s="14">
        <f>'VA_Cost by Plant Acct P10 (REG)'!B21</f>
        <v>0</v>
      </c>
      <c r="C22" s="13"/>
      <c r="D22" s="14">
        <f>'VA_Cost by Plant Acct P10 (REG)'!D21</f>
        <v>28154.47</v>
      </c>
      <c r="E22" s="14"/>
      <c r="F22" s="14">
        <f>'VA_Cost by Plant Acct P10 (REG)'!F21</f>
        <v>-56276.28</v>
      </c>
      <c r="G22" s="14"/>
      <c r="H22" s="14">
        <f>'VA_Cost by Plant Acct P10 (REG)'!H21</f>
        <v>872830.15</v>
      </c>
      <c r="I22" s="13"/>
      <c r="J22" s="14">
        <f t="shared" si="0"/>
        <v>844708.34</v>
      </c>
      <c r="K22" s="13"/>
      <c r="L22" s="14">
        <f t="shared" si="1"/>
        <v>844708.34</v>
      </c>
      <c r="M22" s="13"/>
      <c r="N22" s="15">
        <f>'VA_Res by Plant Acct P17(REG)'!R20</f>
        <v>-637886.61</v>
      </c>
      <c r="P22" s="15">
        <f t="shared" si="2"/>
        <v>206821.72999999998</v>
      </c>
    </row>
    <row r="23" spans="1:16" x14ac:dyDescent="0.2">
      <c r="A23" s="3" t="s">
        <v>159</v>
      </c>
      <c r="B23" s="14">
        <f>'VA_Cost by Plant Acct P10 (REG)'!B22</f>
        <v>0</v>
      </c>
      <c r="C23" s="94"/>
      <c r="D23" s="14">
        <f>'VA_Cost by Plant Acct P10 (REG)'!D22</f>
        <v>0</v>
      </c>
      <c r="E23" s="94"/>
      <c r="F23" s="14">
        <f>'VA_Cost by Plant Acct P10 (REG)'!F22</f>
        <v>0</v>
      </c>
      <c r="G23" s="94"/>
      <c r="H23" s="14">
        <f>'VA_Cost by Plant Acct P10 (REG)'!H22</f>
        <v>0</v>
      </c>
      <c r="I23" s="94"/>
      <c r="J23" s="17">
        <f t="shared" si="0"/>
        <v>0</v>
      </c>
      <c r="K23" s="94"/>
      <c r="L23" s="17">
        <f t="shared" si="1"/>
        <v>0</v>
      </c>
      <c r="M23" s="13"/>
      <c r="N23" s="15">
        <f>'VA_Res by Plant Acct P17(REG)'!R21</f>
        <v>0</v>
      </c>
      <c r="P23" s="15">
        <f t="shared" si="2"/>
        <v>0</v>
      </c>
    </row>
    <row r="24" spans="1:16" x14ac:dyDescent="0.2">
      <c r="A24" s="3" t="s">
        <v>160</v>
      </c>
      <c r="B24" s="16">
        <f>'VA_Cost by Plant Acct P10 (REG)'!B23+'VA_Cost by Plant Acct P10 (REG)'!B71</f>
        <v>3678258.08</v>
      </c>
      <c r="C24" s="94"/>
      <c r="D24" s="16">
        <f>'VA_Cost by Plant Acct P10 (REG)'!D23+'VA_Cost by Plant Acct P10 (REG)'!D71</f>
        <v>-1180.5699999999779</v>
      </c>
      <c r="E24" s="94"/>
      <c r="F24" s="16">
        <f>'VA_Cost by Plant Acct P10 (REG)'!F23</f>
        <v>-5779.46</v>
      </c>
      <c r="G24" s="94"/>
      <c r="H24" s="16">
        <f>'VA_Cost by Plant Acct P10 (REG)'!H23+'VA_Cost by Plant Acct P10 (REG)'!H71</f>
        <v>0</v>
      </c>
      <c r="I24" s="94"/>
      <c r="J24" s="16">
        <f t="shared" si="0"/>
        <v>-6960.0299999999779</v>
      </c>
      <c r="K24" s="94"/>
      <c r="L24" s="16">
        <f t="shared" si="1"/>
        <v>3671298.0500000003</v>
      </c>
      <c r="M24" s="13"/>
      <c r="N24" s="91">
        <f>'VA_Res by Plant Acct P17(REG)'!R22</f>
        <v>-1753826.4600000002</v>
      </c>
      <c r="P24" s="91">
        <f t="shared" si="2"/>
        <v>1917471.59</v>
      </c>
    </row>
    <row r="25" spans="1:16" x14ac:dyDescent="0.2">
      <c r="B25" s="17">
        <f>SUM(B11:B24)</f>
        <v>91809755.389999986</v>
      </c>
      <c r="C25" s="94"/>
      <c r="D25" s="17">
        <f>SUM(D11:D24)</f>
        <v>4340704.6999999993</v>
      </c>
      <c r="E25" s="94"/>
      <c r="F25" s="17">
        <f>SUM(F11:F24)</f>
        <v>-2976397.19</v>
      </c>
      <c r="G25" s="94"/>
      <c r="H25" s="17">
        <f>SUM(H11:H24)</f>
        <v>-240853.28999999992</v>
      </c>
      <c r="I25" s="94"/>
      <c r="J25" s="17">
        <f>SUM(J11:J24)</f>
        <v>1123454.2199999995</v>
      </c>
      <c r="K25" s="94"/>
      <c r="L25" s="17">
        <f>SUM(L11:L24)</f>
        <v>92933209.609999985</v>
      </c>
      <c r="M25" s="13"/>
      <c r="N25" s="17">
        <f>SUM(N11:N24)</f>
        <v>-39597057.500000007</v>
      </c>
      <c r="P25" s="17">
        <f>SUM(P11:P24)</f>
        <v>53336152.110000007</v>
      </c>
    </row>
    <row r="26" spans="1:16" x14ac:dyDescent="0.2">
      <c r="B26" s="17"/>
      <c r="C26" s="94"/>
      <c r="D26" s="17"/>
      <c r="E26" s="94"/>
      <c r="F26" s="17"/>
      <c r="G26" s="94"/>
      <c r="H26" s="17"/>
      <c r="I26" s="94"/>
      <c r="J26" s="17"/>
      <c r="K26" s="94"/>
      <c r="L26" s="17"/>
      <c r="M26" s="13"/>
    </row>
    <row r="27" spans="1:16" x14ac:dyDescent="0.2">
      <c r="A27" s="12" t="s">
        <v>13</v>
      </c>
      <c r="B27" s="17"/>
      <c r="C27" s="94"/>
      <c r="D27" s="17"/>
      <c r="E27" s="94"/>
      <c r="F27" s="17"/>
      <c r="G27" s="94"/>
      <c r="H27" s="17"/>
      <c r="I27" s="94"/>
      <c r="J27" s="17"/>
      <c r="K27" s="94"/>
      <c r="L27" s="17"/>
      <c r="M27" s="13"/>
    </row>
    <row r="28" spans="1:16" x14ac:dyDescent="0.2">
      <c r="A28" s="3" t="s">
        <v>164</v>
      </c>
      <c r="B28" s="17">
        <f>'VA_Cost by Plant Acct P10 (REG)'!B27</f>
        <v>380629.44</v>
      </c>
      <c r="C28" s="94"/>
      <c r="D28" s="17">
        <f>'VA_Cost by Plant Acct P10 (REG)'!D27</f>
        <v>0</v>
      </c>
      <c r="E28" s="94"/>
      <c r="F28" s="17">
        <f>'VA_Cost by Plant Acct P10 (REG)'!F27</f>
        <v>0</v>
      </c>
      <c r="G28" s="94"/>
      <c r="H28" s="17">
        <f>'VA_Cost by Plant Acct P10 (REG)'!H27</f>
        <v>0</v>
      </c>
      <c r="I28" s="94"/>
      <c r="J28" s="17">
        <f>H28+F28+D28</f>
        <v>0</v>
      </c>
      <c r="K28" s="94"/>
      <c r="L28" s="17">
        <f t="shared" ref="L28:L40" si="3">J28+B28</f>
        <v>380629.44</v>
      </c>
      <c r="M28" s="13"/>
      <c r="N28" s="15">
        <v>0</v>
      </c>
      <c r="P28" s="15">
        <f t="shared" ref="P28:P40" si="4">L28+N28</f>
        <v>380629.44</v>
      </c>
    </row>
    <row r="29" spans="1:16" x14ac:dyDescent="0.2">
      <c r="A29" s="3" t="s">
        <v>165</v>
      </c>
      <c r="B29" s="17">
        <f>'VA_Cost by Plant Acct P10 (REG)'!B28+'VA_Cost by Plant Acct P10 (REG)'!B75</f>
        <v>1035372.05</v>
      </c>
      <c r="C29" s="94"/>
      <c r="D29" s="17">
        <f>'VA_Cost by Plant Acct P10 (REG)'!D28+'VA_Cost by Plant Acct P10 (REG)'!D75</f>
        <v>8200</v>
      </c>
      <c r="E29" s="94"/>
      <c r="F29" s="17">
        <f>'VA_Cost by Plant Acct P10 (REG)'!F28+'VA_Cost by Plant Acct P10 (REG)'!F77</f>
        <v>0</v>
      </c>
      <c r="G29" s="94"/>
      <c r="H29" s="17">
        <f>'VA_Cost by Plant Acct P10 (REG)'!H28+'VA_Cost by Plant Acct P10 (REG)'!H77</f>
        <v>0</v>
      </c>
      <c r="I29" s="94"/>
      <c r="J29" s="17">
        <f>H29+F29+D29</f>
        <v>8200</v>
      </c>
      <c r="K29" s="94"/>
      <c r="L29" s="17">
        <f t="shared" si="3"/>
        <v>1043572.05</v>
      </c>
      <c r="M29" s="13"/>
      <c r="N29" s="15">
        <f>'VA_Res by Plant Acct P17(REG)'!R26</f>
        <v>-308211.00000000012</v>
      </c>
      <c r="P29" s="15">
        <f t="shared" si="4"/>
        <v>735361.04999999993</v>
      </c>
    </row>
    <row r="30" spans="1:16" x14ac:dyDescent="0.2">
      <c r="A30" s="3" t="s">
        <v>3799</v>
      </c>
      <c r="B30" s="17">
        <f>'VA_Cost by Plant Acct P10 (REG)'!B29</f>
        <v>40883.599999999999</v>
      </c>
      <c r="C30" s="94"/>
      <c r="D30" s="17">
        <f>'VA_Cost by Plant Acct P10 (REG)'!D29</f>
        <v>0</v>
      </c>
      <c r="E30" s="94"/>
      <c r="F30" s="17">
        <f>'VA_Cost by Plant Acct P10 (REG)'!F29</f>
        <v>0</v>
      </c>
      <c r="G30" s="94"/>
      <c r="H30" s="17">
        <f>'VA_Cost by Plant Acct P10 (REG)'!H29</f>
        <v>0</v>
      </c>
      <c r="I30" s="94"/>
      <c r="J30" s="17">
        <v>0</v>
      </c>
      <c r="K30" s="94"/>
      <c r="L30" s="17">
        <f t="shared" si="3"/>
        <v>40883.599999999999</v>
      </c>
      <c r="M30" s="13"/>
      <c r="N30" s="15">
        <f>'VA_Res by Plant Acct P17(REG)'!R29</f>
        <v>-44825.880000000012</v>
      </c>
      <c r="P30" s="15">
        <f t="shared" si="4"/>
        <v>-3942.2800000000134</v>
      </c>
    </row>
    <row r="31" spans="1:16" x14ac:dyDescent="0.2">
      <c r="A31" s="3" t="s">
        <v>167</v>
      </c>
      <c r="B31" s="17">
        <f>'VA_Cost by Plant Acct P10 (REG)'!B30</f>
        <v>0</v>
      </c>
      <c r="C31" s="94"/>
      <c r="D31" s="17">
        <f>'VA_Cost by Plant Acct P10 (REG)'!D30</f>
        <v>0</v>
      </c>
      <c r="E31" s="94"/>
      <c r="F31" s="17">
        <f>'VA_Cost by Plant Acct P10 (REG)'!F30</f>
        <v>0</v>
      </c>
      <c r="G31" s="94"/>
      <c r="H31" s="17">
        <f>'VA_Cost by Plant Acct P10 (REG)'!H30</f>
        <v>0</v>
      </c>
      <c r="I31" s="94"/>
      <c r="J31" s="17">
        <f t="shared" ref="J31:J40" si="5">H31+F31+D31</f>
        <v>0</v>
      </c>
      <c r="K31" s="94"/>
      <c r="L31" s="17">
        <f t="shared" si="3"/>
        <v>0</v>
      </c>
      <c r="M31" s="13"/>
      <c r="N31" s="15">
        <f>'VA_Res by Plant Acct P17(REG)'!R30</f>
        <v>0</v>
      </c>
      <c r="P31" s="15">
        <f t="shared" si="4"/>
        <v>0</v>
      </c>
    </row>
    <row r="32" spans="1:16" x14ac:dyDescent="0.2">
      <c r="A32" s="3" t="s">
        <v>3800</v>
      </c>
      <c r="B32" s="17">
        <f>'VA_Cost by Plant Acct P10 (REG)'!B31</f>
        <v>0</v>
      </c>
      <c r="C32" s="94"/>
      <c r="D32" s="17">
        <f>'VA_Cost by Plant Acct P10 (REG)'!D31</f>
        <v>0</v>
      </c>
      <c r="E32" s="94"/>
      <c r="F32" s="17">
        <f>'VA_Cost by Plant Acct P10 (REG)'!F31</f>
        <v>0</v>
      </c>
      <c r="G32" s="94"/>
      <c r="H32" s="17">
        <f>'VA_Cost by Plant Acct P10 (REG)'!H31</f>
        <v>0</v>
      </c>
      <c r="I32" s="94"/>
      <c r="J32" s="17">
        <f t="shared" si="5"/>
        <v>0</v>
      </c>
      <c r="K32" s="94"/>
      <c r="L32" s="17">
        <f t="shared" si="3"/>
        <v>0</v>
      </c>
      <c r="M32" s="13"/>
      <c r="N32" s="15">
        <f>'VA_Res by Plant Acct P17(REG)'!R31</f>
        <v>308.65000000000055</v>
      </c>
      <c r="P32" s="15">
        <f t="shared" si="4"/>
        <v>308.65000000000055</v>
      </c>
    </row>
    <row r="33" spans="1:16" x14ac:dyDescent="0.2">
      <c r="A33" s="3" t="s">
        <v>171</v>
      </c>
      <c r="B33" s="17">
        <f>'VA_Cost by Plant Acct P10 (REG)'!B32</f>
        <v>0</v>
      </c>
      <c r="C33" s="94"/>
      <c r="D33" s="17">
        <f>'VA_Cost by Plant Acct P10 (REG)'!D32</f>
        <v>0</v>
      </c>
      <c r="E33" s="94"/>
      <c r="F33" s="17">
        <f>'VA_Cost by Plant Acct P10 (REG)'!F32</f>
        <v>0</v>
      </c>
      <c r="G33" s="94"/>
      <c r="H33" s="17">
        <f>'VA_Cost by Plant Acct P10 (REG)'!H32</f>
        <v>0</v>
      </c>
      <c r="I33" s="94"/>
      <c r="J33" s="17">
        <f t="shared" si="5"/>
        <v>0</v>
      </c>
      <c r="K33" s="94"/>
      <c r="L33" s="17">
        <f t="shared" si="3"/>
        <v>0</v>
      </c>
      <c r="M33" s="13"/>
      <c r="N33" s="15">
        <f>'VA_Res by Plant Acct P17(REG)'!R32</f>
        <v>-7.2759576141834259E-12</v>
      </c>
      <c r="P33" s="15">
        <f t="shared" si="4"/>
        <v>-7.2759576141834259E-12</v>
      </c>
    </row>
    <row r="34" spans="1:16" x14ac:dyDescent="0.2">
      <c r="A34" s="3" t="s">
        <v>173</v>
      </c>
      <c r="B34" s="17">
        <f>'VA_Cost by Plant Acct P10 (REG)'!B33</f>
        <v>4526.22</v>
      </c>
      <c r="C34" s="94"/>
      <c r="D34" s="17">
        <f>'VA_Cost by Plant Acct P10 (REG)'!D33</f>
        <v>0</v>
      </c>
      <c r="E34" s="94"/>
      <c r="F34" s="17">
        <f>'VA_Cost by Plant Acct P10 (REG)'!F33</f>
        <v>0</v>
      </c>
      <c r="G34" s="94"/>
      <c r="H34" s="17">
        <f>'VA_Cost by Plant Acct P10 (REG)'!H33</f>
        <v>0</v>
      </c>
      <c r="I34" s="94"/>
      <c r="J34" s="17">
        <f t="shared" si="5"/>
        <v>0</v>
      </c>
      <c r="K34" s="94"/>
      <c r="L34" s="17">
        <f t="shared" si="3"/>
        <v>4526.22</v>
      </c>
      <c r="M34" s="13"/>
      <c r="N34" s="15">
        <f>'VA_Res by Plant Acct P17(REG)'!R33</f>
        <v>-3706.5699999999997</v>
      </c>
      <c r="P34" s="15">
        <f t="shared" si="4"/>
        <v>819.65000000000055</v>
      </c>
    </row>
    <row r="35" spans="1:16" x14ac:dyDescent="0.2">
      <c r="A35" s="3" t="s">
        <v>174</v>
      </c>
      <c r="B35" s="17">
        <f>'VA_Cost by Plant Acct P10 (REG)'!B34+'VA_Cost by Plant Acct P10 (REG)'!B76</f>
        <v>473472.47000000009</v>
      </c>
      <c r="C35" s="94"/>
      <c r="D35" s="17">
        <f>'VA_Cost by Plant Acct P10 (REG)'!D34+'VA_Cost by Plant Acct P10 (REG)'!D76</f>
        <v>4207.38</v>
      </c>
      <c r="E35" s="94"/>
      <c r="F35" s="17">
        <f>'VA_Cost by Plant Acct P10 (REG)'!F34+'VA_Cost by Plant Acct P10 (REG)'!F76</f>
        <v>-662.68</v>
      </c>
      <c r="G35" s="94"/>
      <c r="H35" s="17">
        <f>'VA_Cost by Plant Acct P10 (REG)'!H34+'VA_Cost by Plant Acct P10 (REG)'!H76</f>
        <v>0</v>
      </c>
      <c r="I35" s="94"/>
      <c r="J35" s="17">
        <f t="shared" si="5"/>
        <v>3544.7000000000003</v>
      </c>
      <c r="K35" s="94"/>
      <c r="L35" s="17">
        <f t="shared" si="3"/>
        <v>477017.1700000001</v>
      </c>
      <c r="M35" s="13"/>
      <c r="N35" s="15">
        <f>'VA_Res by Plant Acct P17(REG)'!R34</f>
        <v>-204591.41</v>
      </c>
      <c r="P35" s="15">
        <f t="shared" si="4"/>
        <v>272425.76000000013</v>
      </c>
    </row>
    <row r="36" spans="1:16" x14ac:dyDescent="0.2">
      <c r="A36" s="3" t="s">
        <v>175</v>
      </c>
      <c r="B36" s="17">
        <f>'VA_Cost by Plant Acct P10 (REG)'!B35</f>
        <v>0</v>
      </c>
      <c r="C36" s="94"/>
      <c r="D36" s="17">
        <f>'VA_Cost by Plant Acct P10 (REG)'!D35</f>
        <v>0</v>
      </c>
      <c r="E36" s="94"/>
      <c r="F36" s="17">
        <f>'VA_Cost by Plant Acct P10 (REG)'!F35</f>
        <v>0</v>
      </c>
      <c r="G36" s="94"/>
      <c r="H36" s="17">
        <f>'VA_Cost by Plant Acct P10 (REG)'!H35</f>
        <v>0</v>
      </c>
      <c r="I36" s="94"/>
      <c r="J36" s="17">
        <f t="shared" si="5"/>
        <v>0</v>
      </c>
      <c r="K36" s="94"/>
      <c r="L36" s="17">
        <f t="shared" si="3"/>
        <v>0</v>
      </c>
      <c r="M36" s="13"/>
      <c r="N36" s="15">
        <f>'VA_Res by Plant Acct P17(REG)'!R35</f>
        <v>0</v>
      </c>
      <c r="P36" s="15">
        <f t="shared" si="4"/>
        <v>0</v>
      </c>
    </row>
    <row r="37" spans="1:16" x14ac:dyDescent="0.2">
      <c r="A37" s="3" t="s">
        <v>3639</v>
      </c>
      <c r="B37" s="17">
        <f>'VA_Cost by Plant Acct P10 (REG)'!B36</f>
        <v>282277.26</v>
      </c>
      <c r="C37" s="94"/>
      <c r="D37" s="17">
        <f>'VA_Cost by Plant Acct P10 (REG)'!D77+'VA_Cost by Plant Acct P10 (REG)'!D36</f>
        <v>0</v>
      </c>
      <c r="E37" s="94"/>
      <c r="F37" s="17">
        <f>'VA_Cost by Plant Acct P10 (REG)'!F77</f>
        <v>0</v>
      </c>
      <c r="G37" s="94"/>
      <c r="H37" s="17">
        <f>'VA_Cost by Plant Acct P10 (REG)'!H77</f>
        <v>0</v>
      </c>
      <c r="I37" s="94"/>
      <c r="J37" s="17">
        <f t="shared" si="5"/>
        <v>0</v>
      </c>
      <c r="K37" s="94"/>
      <c r="L37" s="17">
        <f t="shared" si="3"/>
        <v>282277.26</v>
      </c>
      <c r="M37" s="13"/>
      <c r="N37" s="15">
        <f>'VA_Res by Plant Acct P17(REG)'!R36</f>
        <v>-114269.1</v>
      </c>
      <c r="P37" s="15">
        <f t="shared" si="4"/>
        <v>168008.16</v>
      </c>
    </row>
    <row r="38" spans="1:16" x14ac:dyDescent="0.2">
      <c r="A38" s="3" t="s">
        <v>3640</v>
      </c>
      <c r="B38" s="17">
        <f>'VA_Cost by Plant Acct P10 (REG)'!B37+'VA_Cost by Plant Acct P10 (REG)'!B78</f>
        <v>597614.32999999996</v>
      </c>
      <c r="C38" s="94"/>
      <c r="D38" s="17">
        <f>'VA_Cost by Plant Acct P10 (REG)'!D37+'VA_Cost by Plant Acct P10 (REG)'!D78</f>
        <v>0</v>
      </c>
      <c r="E38" s="94"/>
      <c r="F38" s="17">
        <f>'VA_Cost by Plant Acct P10 (REG)'!F37+'VA_Cost by Plant Acct P10 (REG)'!F78</f>
        <v>0</v>
      </c>
      <c r="G38" s="94"/>
      <c r="H38" s="17">
        <f>'VA_Cost by Plant Acct P10 (REG)'!H37+'VA_Cost by Plant Acct P10 (REG)'!H78</f>
        <v>0</v>
      </c>
      <c r="I38" s="94"/>
      <c r="J38" s="17">
        <f t="shared" si="5"/>
        <v>0</v>
      </c>
      <c r="K38" s="94"/>
      <c r="L38" s="17">
        <f t="shared" si="3"/>
        <v>597614.32999999996</v>
      </c>
      <c r="M38" s="13"/>
      <c r="N38" s="15">
        <f>'VA_Res by Plant Acct P17(REG)'!R37</f>
        <v>-262872.28999999998</v>
      </c>
      <c r="P38" s="15">
        <f t="shared" si="4"/>
        <v>334742.03999999998</v>
      </c>
    </row>
    <row r="39" spans="1:16" x14ac:dyDescent="0.2">
      <c r="A39" s="3" t="s">
        <v>3641</v>
      </c>
      <c r="B39" s="17">
        <f>'VA_Cost by Plant Acct P10 (REG)'!B38+'VA_Cost by Plant Acct P10 (REG)'!B79</f>
        <v>382484.28</v>
      </c>
      <c r="C39" s="94"/>
      <c r="D39" s="17">
        <f>'VA_Cost by Plant Acct P10 (REG)'!D38+'VA_Cost by Plant Acct P10 (REG)'!D79</f>
        <v>0</v>
      </c>
      <c r="E39" s="94"/>
      <c r="F39" s="17">
        <f>'VA_Cost by Plant Acct P10 (REG)'!F38+'VA_Cost by Plant Acct P10 (REG)'!F79</f>
        <v>0</v>
      </c>
      <c r="G39" s="94"/>
      <c r="H39" s="17">
        <f>'VA_Cost by Plant Acct P10 (REG)'!H38+'VA_Cost by Plant Acct P10 (REG)'!H79</f>
        <v>0</v>
      </c>
      <c r="I39" s="94"/>
      <c r="J39" s="17">
        <f t="shared" si="5"/>
        <v>0</v>
      </c>
      <c r="K39" s="94"/>
      <c r="L39" s="17">
        <f t="shared" si="3"/>
        <v>382484.28</v>
      </c>
      <c r="M39" s="13"/>
      <c r="N39" s="15">
        <f>'VA_Res by Plant Acct P17(REG)'!R38</f>
        <v>-372371.94000000006</v>
      </c>
      <c r="P39" s="15">
        <f t="shared" si="4"/>
        <v>10112.339999999967</v>
      </c>
    </row>
    <row r="40" spans="1:16" x14ac:dyDescent="0.2">
      <c r="A40" s="3" t="s">
        <v>180</v>
      </c>
      <c r="B40" s="16">
        <f>'VA_Cost by Plant Acct P10 (REG)'!B39</f>
        <v>0</v>
      </c>
      <c r="C40" s="94"/>
      <c r="D40" s="16">
        <f>'VA_Cost by Plant Acct P10 (REG)'!D39</f>
        <v>0</v>
      </c>
      <c r="E40" s="94"/>
      <c r="F40" s="16">
        <f>'VA_Cost by Plant Acct P10 (REG)'!F39</f>
        <v>0</v>
      </c>
      <c r="G40" s="94"/>
      <c r="H40" s="16">
        <f>'VA_Cost by Plant Acct P10 (REG)'!H39</f>
        <v>0</v>
      </c>
      <c r="I40" s="94"/>
      <c r="J40" s="16">
        <f t="shared" si="5"/>
        <v>0</v>
      </c>
      <c r="K40" s="94"/>
      <c r="L40" s="16">
        <f t="shared" si="3"/>
        <v>0</v>
      </c>
      <c r="M40" s="13"/>
      <c r="N40" s="91">
        <f>'VA_Res by Plant Acct P17(REG)'!R39</f>
        <v>0</v>
      </c>
      <c r="P40" s="91">
        <f t="shared" si="4"/>
        <v>0</v>
      </c>
    </row>
    <row r="41" spans="1:16" x14ac:dyDescent="0.2">
      <c r="B41" s="17">
        <f>SUM(B28:B40)</f>
        <v>3197259.6500000004</v>
      </c>
      <c r="C41" s="94"/>
      <c r="D41" s="17">
        <f>SUM(D28:D40)</f>
        <v>12407.380000000001</v>
      </c>
      <c r="E41" s="94"/>
      <c r="F41" s="17">
        <f>SUM(F28:F40)</f>
        <v>-662.68</v>
      </c>
      <c r="G41" s="94"/>
      <c r="H41" s="17">
        <f>SUM(H28:H40)</f>
        <v>0</v>
      </c>
      <c r="I41" s="94"/>
      <c r="J41" s="17">
        <f>SUM(J28:J40)</f>
        <v>11744.7</v>
      </c>
      <c r="K41" s="94"/>
      <c r="L41" s="17">
        <f>SUM(L28:L40)</f>
        <v>3209004.3500000006</v>
      </c>
      <c r="M41" s="13"/>
      <c r="N41" s="17">
        <f>SUM(N28:N40)</f>
        <v>-1310539.54</v>
      </c>
      <c r="P41" s="17">
        <f>SUM(P28:P40)</f>
        <v>1898464.81</v>
      </c>
    </row>
    <row r="42" spans="1:16" x14ac:dyDescent="0.2">
      <c r="B42" s="17"/>
      <c r="C42" s="94"/>
      <c r="D42" s="17"/>
      <c r="E42" s="94"/>
      <c r="F42" s="17"/>
      <c r="G42" s="94"/>
      <c r="H42" s="17"/>
      <c r="I42" s="94"/>
      <c r="J42" s="17"/>
      <c r="K42" s="94"/>
      <c r="L42" s="17"/>
      <c r="M42" s="13"/>
    </row>
    <row r="43" spans="1:16" x14ac:dyDescent="0.2">
      <c r="A43" s="12" t="s">
        <v>15</v>
      </c>
      <c r="B43" s="17"/>
      <c r="C43" s="94"/>
      <c r="D43" s="17"/>
      <c r="E43" s="94"/>
      <c r="F43" s="17"/>
      <c r="G43" s="94"/>
      <c r="H43" s="17"/>
      <c r="I43" s="94"/>
      <c r="J43" s="17"/>
      <c r="K43" s="94"/>
      <c r="L43" s="17"/>
      <c r="M43" s="13"/>
    </row>
    <row r="44" spans="1:16" x14ac:dyDescent="0.2">
      <c r="A44" s="3" t="s">
        <v>191</v>
      </c>
      <c r="B44" s="16">
        <f>'VA_Cost by Plant Acct P10 (REG)'!B43</f>
        <v>5338.69</v>
      </c>
      <c r="C44" s="94"/>
      <c r="D44" s="16">
        <f>'VA_Cost by Plant Acct P10 (REG)'!D43</f>
        <v>0</v>
      </c>
      <c r="E44" s="94"/>
      <c r="F44" s="16">
        <f>'VA_Cost by Plant Acct P10 (REG)'!F43</f>
        <v>0</v>
      </c>
      <c r="G44" s="94"/>
      <c r="H44" s="16">
        <f>'VA_Cost by Plant Acct P10 (REG)'!H43</f>
        <v>0</v>
      </c>
      <c r="I44" s="94"/>
      <c r="J44" s="16">
        <f>H44+F44+D44</f>
        <v>0</v>
      </c>
      <c r="K44" s="94"/>
      <c r="L44" s="16">
        <f>J44+B44</f>
        <v>5338.69</v>
      </c>
      <c r="M44" s="13"/>
      <c r="N44" s="91">
        <v>0</v>
      </c>
      <c r="P44" s="91">
        <f>L44+N44</f>
        <v>5338.69</v>
      </c>
    </row>
    <row r="45" spans="1:16" x14ac:dyDescent="0.2">
      <c r="B45" s="17">
        <f>SUM(B44)</f>
        <v>5338.69</v>
      </c>
      <c r="C45" s="94"/>
      <c r="D45" s="17">
        <f>SUM(D44)</f>
        <v>0</v>
      </c>
      <c r="E45" s="94"/>
      <c r="F45" s="17">
        <f>SUM(F44)</f>
        <v>0</v>
      </c>
      <c r="G45" s="94"/>
      <c r="H45" s="17">
        <f>SUM(H44)</f>
        <v>0</v>
      </c>
      <c r="I45" s="94"/>
      <c r="J45" s="17">
        <f>SUM(J44)</f>
        <v>0</v>
      </c>
      <c r="K45" s="94"/>
      <c r="L45" s="17">
        <f>SUM(L44)</f>
        <v>5338.69</v>
      </c>
      <c r="M45" s="13"/>
      <c r="N45" s="17">
        <f>SUM(N44)</f>
        <v>0</v>
      </c>
      <c r="P45" s="17">
        <f>SUM(P44)</f>
        <v>5338.69</v>
      </c>
    </row>
    <row r="46" spans="1:16" x14ac:dyDescent="0.2">
      <c r="B46" s="17"/>
      <c r="C46" s="94"/>
      <c r="D46" s="17"/>
      <c r="E46" s="94"/>
      <c r="F46" s="17"/>
      <c r="G46" s="94"/>
      <c r="H46" s="17"/>
      <c r="I46" s="94"/>
      <c r="J46" s="17"/>
      <c r="K46" s="94"/>
      <c r="L46" s="17"/>
      <c r="M46" s="13"/>
    </row>
    <row r="47" spans="1:16" x14ac:dyDescent="0.2">
      <c r="A47" s="12" t="s">
        <v>18</v>
      </c>
      <c r="B47" s="17"/>
      <c r="C47" s="94"/>
      <c r="D47" s="17"/>
      <c r="E47" s="94"/>
      <c r="F47" s="17"/>
      <c r="G47" s="94"/>
      <c r="H47" s="17"/>
      <c r="I47" s="94"/>
      <c r="J47" s="17"/>
      <c r="K47" s="94"/>
      <c r="L47" s="17"/>
      <c r="M47" s="13"/>
    </row>
    <row r="48" spans="1:16" x14ac:dyDescent="0.2">
      <c r="A48" s="3" t="s">
        <v>221</v>
      </c>
      <c r="B48" s="17">
        <f>'VA_Cost by Plant Acct P10 (REG)'!B47</f>
        <v>2219475.6</v>
      </c>
      <c r="C48" s="94"/>
      <c r="D48" s="17">
        <f>'VA_Cost by Plant Acct P10 (REG)'!D47</f>
        <v>0</v>
      </c>
      <c r="E48" s="94"/>
      <c r="F48" s="17">
        <f>'VA_Cost by Plant Acct P10 (REG)'!F47</f>
        <v>0</v>
      </c>
      <c r="G48" s="94"/>
      <c r="H48" s="17">
        <f>'VA_Cost by Plant Acct P10 (REG)'!H47</f>
        <v>0</v>
      </c>
      <c r="I48" s="94"/>
      <c r="J48" s="17">
        <f t="shared" ref="J48:J56" si="6">H48+F48+D48</f>
        <v>0</v>
      </c>
      <c r="K48" s="94"/>
      <c r="L48" s="17">
        <f t="shared" ref="L48:L56" si="7">J48+B48</f>
        <v>2219475.6</v>
      </c>
      <c r="M48" s="13"/>
      <c r="N48" s="15">
        <f>'VA_Res by Plant Acct P17(REG)'!R45</f>
        <v>-1945868.9699999997</v>
      </c>
      <c r="P48" s="15">
        <f t="shared" ref="P48:P56" si="8">L48+N48</f>
        <v>273606.63000000035</v>
      </c>
    </row>
    <row r="49" spans="1:16" x14ac:dyDescent="0.2">
      <c r="A49" s="3" t="s">
        <v>222</v>
      </c>
      <c r="B49" s="17">
        <f>'VA_Cost by Plant Acct P10 (REG)'!B48</f>
        <v>45700.5</v>
      </c>
      <c r="C49" s="94"/>
      <c r="D49" s="17">
        <f>'VA_Cost by Plant Acct P10 (REG)'!D48</f>
        <v>0</v>
      </c>
      <c r="E49" s="94"/>
      <c r="F49" s="17">
        <f>'VA_Cost by Plant Acct P10 (REG)'!F48</f>
        <v>0</v>
      </c>
      <c r="G49" s="94"/>
      <c r="H49" s="17">
        <f>'VA_Cost by Plant Acct P10 (REG)'!H48</f>
        <v>0</v>
      </c>
      <c r="I49" s="94"/>
      <c r="J49" s="17">
        <f t="shared" si="6"/>
        <v>0</v>
      </c>
      <c r="K49" s="94"/>
      <c r="L49" s="17">
        <f t="shared" si="7"/>
        <v>45700.5</v>
      </c>
      <c r="M49" s="13"/>
      <c r="N49" s="15">
        <v>0</v>
      </c>
      <c r="P49" s="15">
        <f t="shared" si="8"/>
        <v>45700.5</v>
      </c>
    </row>
    <row r="50" spans="1:16" x14ac:dyDescent="0.2">
      <c r="A50" s="3" t="s">
        <v>223</v>
      </c>
      <c r="B50" s="17">
        <f>'VA_Cost by Plant Acct P10 (REG)'!B49</f>
        <v>1617561.19</v>
      </c>
      <c r="C50" s="94"/>
      <c r="D50" s="17">
        <f>'VA_Cost by Plant Acct P10 (REG)'!D49+'VA_Cost by Plant Acct P10 (REG)'!D82</f>
        <v>136954.17000000001</v>
      </c>
      <c r="E50" s="94"/>
      <c r="F50" s="17">
        <f>'VA_Cost by Plant Acct P10 (REG)'!F49</f>
        <v>-11316.48</v>
      </c>
      <c r="G50" s="94"/>
      <c r="H50" s="17">
        <f>'VA_Cost by Plant Acct P10 (REG)'!H49</f>
        <v>0</v>
      </c>
      <c r="I50" s="94"/>
      <c r="J50" s="17">
        <f t="shared" si="6"/>
        <v>125637.69000000002</v>
      </c>
      <c r="K50" s="94"/>
      <c r="L50" s="17">
        <f t="shared" si="7"/>
        <v>1743198.88</v>
      </c>
      <c r="M50" s="13"/>
      <c r="N50" s="15">
        <f>'VA_Res by Plant Acct P17(REG)'!R46</f>
        <v>-786917.3200000003</v>
      </c>
      <c r="P50" s="15">
        <f t="shared" si="8"/>
        <v>956281.55999999959</v>
      </c>
    </row>
    <row r="51" spans="1:16" x14ac:dyDescent="0.2">
      <c r="A51" s="3" t="s">
        <v>225</v>
      </c>
      <c r="B51" s="17">
        <f>'VA_Cost by Plant Acct P10 (REG)'!B50+'VA_Cost by Plant Acct P10 (REG)'!B83</f>
        <v>22419132.359999999</v>
      </c>
      <c r="C51" s="94"/>
      <c r="D51" s="17">
        <f>'VA_Cost by Plant Acct P10 (REG)'!D83+'VA_Cost by Plant Acct P10 (REG)'!D50</f>
        <v>523718.68999999994</v>
      </c>
      <c r="E51" s="94"/>
      <c r="F51" s="17">
        <f>'VA_Cost by Plant Acct P10 (REG)'!F50</f>
        <v>-168359.82</v>
      </c>
      <c r="G51" s="94"/>
      <c r="H51" s="17">
        <f>'VA_Cost by Plant Acct P10 (REG)'!H50</f>
        <v>59393.04</v>
      </c>
      <c r="I51" s="94"/>
      <c r="J51" s="17">
        <f t="shared" si="6"/>
        <v>414751.90999999992</v>
      </c>
      <c r="K51" s="94"/>
      <c r="L51" s="17">
        <f t="shared" si="7"/>
        <v>22833884.27</v>
      </c>
      <c r="M51" s="13"/>
      <c r="N51" s="15">
        <f>'VA_Res by Plant Acct P17(REG)'!R47</f>
        <v>-7897254.2200000025</v>
      </c>
      <c r="P51" s="15">
        <f t="shared" si="8"/>
        <v>14936630.049999997</v>
      </c>
    </row>
    <row r="52" spans="1:16" x14ac:dyDescent="0.2">
      <c r="A52" s="3" t="s">
        <v>228</v>
      </c>
      <c r="B52" s="17">
        <f>'VA_Cost by Plant Acct P10 (REG)'!B51</f>
        <v>7181081.3000000007</v>
      </c>
      <c r="C52" s="94"/>
      <c r="D52" s="17">
        <f>'VA_Cost by Plant Acct P10 (REG)'!D51</f>
        <v>0</v>
      </c>
      <c r="E52" s="94"/>
      <c r="F52" s="17">
        <f>'VA_Cost by Plant Acct P10 (REG)'!F51</f>
        <v>0</v>
      </c>
      <c r="G52" s="94"/>
      <c r="H52" s="17">
        <f>'VA_Cost by Plant Acct P10 (REG)'!H51</f>
        <v>0</v>
      </c>
      <c r="I52" s="94"/>
      <c r="J52" s="17">
        <f t="shared" si="6"/>
        <v>0</v>
      </c>
      <c r="K52" s="94"/>
      <c r="L52" s="17">
        <f t="shared" si="7"/>
        <v>7181081.3000000007</v>
      </c>
      <c r="M52" s="13"/>
      <c r="N52" s="15">
        <f>'VA_Res by Plant Acct P17(REG)'!R48</f>
        <v>-5034562.209999999</v>
      </c>
      <c r="P52" s="15">
        <f t="shared" si="8"/>
        <v>2146519.0900000017</v>
      </c>
    </row>
    <row r="53" spans="1:16" x14ac:dyDescent="0.2">
      <c r="A53" s="3" t="s">
        <v>229</v>
      </c>
      <c r="B53" s="17">
        <f>'VA_Cost by Plant Acct P10 (REG)'!B52+'VA_Cost by Plant Acct P10 (REG)'!B84</f>
        <v>11237593.5</v>
      </c>
      <c r="C53" s="94"/>
      <c r="D53" s="17">
        <f>'VA_Cost by Plant Acct P10 (REG)'!D52+'VA_Cost by Plant Acct P10 (REG)'!D84</f>
        <v>2130335.31</v>
      </c>
      <c r="E53" s="94"/>
      <c r="F53" s="17">
        <f>'VA_Cost by Plant Acct P10 (REG)'!F52+'VA_Cost by Plant Acct P10 (REG)'!F84</f>
        <v>-32431.8</v>
      </c>
      <c r="G53" s="94"/>
      <c r="H53" s="17">
        <f>'VA_Cost by Plant Acct P10 (REG)'!H52+'VA_Cost by Plant Acct P10 (REG)'!H84</f>
        <v>0</v>
      </c>
      <c r="I53" s="94"/>
      <c r="J53" s="17">
        <f t="shared" si="6"/>
        <v>2097903.5100000002</v>
      </c>
      <c r="K53" s="94"/>
      <c r="L53" s="17">
        <f t="shared" si="7"/>
        <v>13335497.01</v>
      </c>
      <c r="M53" s="13"/>
      <c r="N53" s="15">
        <f>'VA_Res by Plant Acct P17(REG)'!R49</f>
        <v>-4569529.4300000016</v>
      </c>
      <c r="P53" s="15">
        <f t="shared" si="8"/>
        <v>8765967.5799999982</v>
      </c>
    </row>
    <row r="54" spans="1:16" x14ac:dyDescent="0.2">
      <c r="A54" s="3" t="s">
        <v>230</v>
      </c>
      <c r="B54" s="17">
        <f>'VA_Cost by Plant Acct P10 (REG)'!B53+'VA_Cost by Plant Acct P10 (REG)'!B85</f>
        <v>16780292.120000001</v>
      </c>
      <c r="C54" s="94"/>
      <c r="D54" s="17">
        <f>'VA_Cost by Plant Acct P10 (REG)'!D53+'VA_Cost by Plant Acct P10 (REG)'!D85</f>
        <v>1218141.52</v>
      </c>
      <c r="E54" s="94"/>
      <c r="F54" s="17">
        <f>'VA_Cost by Plant Acct P10 (REG)'!F53+'VA_Cost by Plant Acct P10 (REG)'!F85</f>
        <v>-72079.460000000006</v>
      </c>
      <c r="G54" s="94"/>
      <c r="H54" s="17">
        <f>'VA_Cost by Plant Acct P10 (REG)'!H53+'VA_Cost by Plant Acct P10 (REG)'!H85</f>
        <v>0</v>
      </c>
      <c r="I54" s="94"/>
      <c r="J54" s="17">
        <f t="shared" si="6"/>
        <v>1146062.06</v>
      </c>
      <c r="K54" s="94"/>
      <c r="L54" s="17">
        <f t="shared" si="7"/>
        <v>17926354.18</v>
      </c>
      <c r="M54" s="13"/>
      <c r="N54" s="15">
        <f>'VA_Res by Plant Acct P17(REG)'!R50</f>
        <v>-10468935.629999995</v>
      </c>
      <c r="P54" s="15">
        <f t="shared" si="8"/>
        <v>7457418.5500000045</v>
      </c>
    </row>
    <row r="55" spans="1:16" x14ac:dyDescent="0.2">
      <c r="A55" s="3" t="s">
        <v>231</v>
      </c>
      <c r="B55" s="17">
        <v>0</v>
      </c>
      <c r="C55" s="94"/>
      <c r="D55" s="17">
        <v>0</v>
      </c>
      <c r="E55" s="94"/>
      <c r="F55" s="17">
        <v>0</v>
      </c>
      <c r="G55" s="94"/>
      <c r="H55" s="17">
        <v>0</v>
      </c>
      <c r="I55" s="94"/>
      <c r="J55" s="17">
        <f t="shared" si="6"/>
        <v>0</v>
      </c>
      <c r="K55" s="94"/>
      <c r="L55" s="17">
        <f t="shared" si="7"/>
        <v>0</v>
      </c>
      <c r="M55" s="13"/>
      <c r="N55" s="15">
        <f>'VA_Res by Plant Acct P17(REG)'!R51</f>
        <v>0</v>
      </c>
      <c r="P55" s="15">
        <f t="shared" si="8"/>
        <v>0</v>
      </c>
    </row>
    <row r="56" spans="1:16" x14ac:dyDescent="0.2">
      <c r="A56" s="3" t="s">
        <v>3801</v>
      </c>
      <c r="B56" s="16">
        <v>0</v>
      </c>
      <c r="C56" s="94"/>
      <c r="D56" s="16">
        <v>0</v>
      </c>
      <c r="E56" s="94"/>
      <c r="F56" s="16">
        <v>0</v>
      </c>
      <c r="G56" s="94"/>
      <c r="H56" s="16">
        <v>0</v>
      </c>
      <c r="I56" s="94"/>
      <c r="J56" s="16">
        <f t="shared" si="6"/>
        <v>0</v>
      </c>
      <c r="K56" s="94"/>
      <c r="L56" s="16">
        <f t="shared" si="7"/>
        <v>0</v>
      </c>
      <c r="M56" s="13"/>
      <c r="N56" s="91">
        <f>'VA_Res by Plant Acct P17(REG)'!R52</f>
        <v>0</v>
      </c>
      <c r="P56" s="91">
        <f t="shared" si="8"/>
        <v>0</v>
      </c>
    </row>
    <row r="57" spans="1:16" x14ac:dyDescent="0.2">
      <c r="B57" s="17">
        <f>SUM(B48:B56)</f>
        <v>61500836.570000008</v>
      </c>
      <c r="C57" s="94"/>
      <c r="D57" s="17">
        <f>SUM(D48:D56)</f>
        <v>4009149.69</v>
      </c>
      <c r="E57" s="94"/>
      <c r="F57" s="17">
        <f>SUM(F48:F56)</f>
        <v>-284187.56</v>
      </c>
      <c r="G57" s="94"/>
      <c r="H57" s="17">
        <f>SUM(H48:H56)</f>
        <v>59393.04</v>
      </c>
      <c r="I57" s="94"/>
      <c r="J57" s="17">
        <f>SUM(J48:J56)</f>
        <v>3784355.1700000004</v>
      </c>
      <c r="K57" s="94"/>
      <c r="L57" s="17">
        <f>SUM(L48:L56)</f>
        <v>65285191.739999995</v>
      </c>
      <c r="M57" s="13"/>
      <c r="N57" s="17">
        <f>SUM(N48:N56)</f>
        <v>-30703067.779999997</v>
      </c>
      <c r="P57" s="17">
        <f>SUM(P48:P56)</f>
        <v>34582123.960000001</v>
      </c>
    </row>
    <row r="58" spans="1:16" x14ac:dyDescent="0.2">
      <c r="B58" s="17"/>
      <c r="C58" s="13"/>
      <c r="D58" s="17"/>
      <c r="E58" s="13"/>
      <c r="F58" s="17"/>
      <c r="G58" s="13"/>
      <c r="H58" s="17"/>
      <c r="I58" s="13"/>
      <c r="J58" s="17"/>
      <c r="K58" s="13"/>
      <c r="L58" s="17"/>
      <c r="M58" s="13"/>
    </row>
    <row r="59" spans="1:16" x14ac:dyDescent="0.2">
      <c r="C59" s="13"/>
      <c r="E59" s="13"/>
      <c r="G59" s="13"/>
      <c r="I59" s="13"/>
      <c r="K59" s="13"/>
      <c r="M59" s="13"/>
    </row>
    <row r="60" spans="1:16" ht="13.5" thickBot="1" x14ac:dyDescent="0.25">
      <c r="A60" s="12" t="s">
        <v>3802</v>
      </c>
      <c r="B60" s="78">
        <f>B57+B45+B41+B25</f>
        <v>156513190.29999998</v>
      </c>
      <c r="C60" s="94"/>
      <c r="D60" s="78">
        <f>D57+D45+D41+D25</f>
        <v>8362261.7699999996</v>
      </c>
      <c r="E60" s="94"/>
      <c r="F60" s="78">
        <f>F57+F45+F41+F25</f>
        <v>-3261247.4299999997</v>
      </c>
      <c r="G60" s="94"/>
      <c r="H60" s="78">
        <f>H57+H45+H41+H25</f>
        <v>-181460.24999999991</v>
      </c>
      <c r="I60" s="94"/>
      <c r="J60" s="78">
        <f>J57+J45+J41+J25</f>
        <v>4919554.09</v>
      </c>
      <c r="K60" s="94"/>
      <c r="L60" s="78">
        <f>L57+L45+L41+L25</f>
        <v>161432744.38999999</v>
      </c>
      <c r="M60" s="94"/>
      <c r="N60" s="78">
        <f>N57+N45+N41+N25</f>
        <v>-71610664.820000008</v>
      </c>
      <c r="P60" s="78">
        <f>P57+P45+P41+P25</f>
        <v>89822079.570000008</v>
      </c>
    </row>
    <row r="61" spans="1:16" ht="13.5" thickTop="1" x14ac:dyDescent="0.2">
      <c r="C61" s="13"/>
      <c r="E61" s="13"/>
      <c r="G61" s="13"/>
      <c r="I61" s="13"/>
      <c r="K61" s="13"/>
      <c r="M61" s="13"/>
    </row>
    <row r="62" spans="1:16" x14ac:dyDescent="0.2">
      <c r="B62" s="14">
        <f>+B60-'VA_Cost by Plant Acct P10 (REG)'!B92</f>
        <v>0</v>
      </c>
      <c r="C62" s="13"/>
      <c r="E62" s="13"/>
      <c r="G62" s="13"/>
      <c r="I62" s="13"/>
      <c r="K62" s="13"/>
      <c r="M62" s="13"/>
    </row>
    <row r="63" spans="1:16" x14ac:dyDescent="0.2">
      <c r="C63" s="13"/>
      <c r="E63" s="13"/>
      <c r="G63" s="13"/>
      <c r="I63" s="13"/>
      <c r="K63" s="13"/>
      <c r="M63" s="13"/>
    </row>
    <row r="64" spans="1:16" x14ac:dyDescent="0.2">
      <c r="C64" s="13"/>
      <c r="E64" s="13"/>
      <c r="G64" s="13"/>
      <c r="I64" s="13"/>
      <c r="K64" s="13"/>
      <c r="M64" s="13"/>
    </row>
    <row r="65" spans="3:13" x14ac:dyDescent="0.2">
      <c r="C65" s="13"/>
      <c r="E65" s="13"/>
      <c r="G65" s="13"/>
      <c r="I65" s="13"/>
      <c r="K65" s="13"/>
      <c r="M65" s="13"/>
    </row>
    <row r="66" spans="3:13" x14ac:dyDescent="0.2">
      <c r="C66" s="13"/>
      <c r="E66" s="13"/>
      <c r="G66" s="13"/>
      <c r="I66" s="13"/>
      <c r="K66" s="13"/>
      <c r="M66" s="13"/>
    </row>
    <row r="67" spans="3:13" x14ac:dyDescent="0.2">
      <c r="C67" s="13"/>
      <c r="E67" s="13"/>
      <c r="G67" s="13"/>
      <c r="I67" s="13"/>
      <c r="K67" s="13"/>
      <c r="M67" s="13"/>
    </row>
    <row r="68" spans="3:13" x14ac:dyDescent="0.2">
      <c r="C68" s="13"/>
      <c r="E68" s="13"/>
      <c r="G68" s="13"/>
      <c r="I68" s="13"/>
      <c r="K68" s="13"/>
      <c r="M68" s="13"/>
    </row>
    <row r="69" spans="3:13" x14ac:dyDescent="0.2">
      <c r="C69" s="13"/>
      <c r="E69" s="13"/>
      <c r="G69" s="13"/>
      <c r="I69" s="13"/>
      <c r="K69" s="13"/>
      <c r="M69" s="13"/>
    </row>
    <row r="70" spans="3:13" x14ac:dyDescent="0.2">
      <c r="C70" s="13"/>
      <c r="E70" s="13"/>
      <c r="G70" s="13"/>
      <c r="I70" s="13"/>
      <c r="K70" s="13"/>
      <c r="M70" s="13"/>
    </row>
    <row r="71" spans="3:13" x14ac:dyDescent="0.2">
      <c r="C71" s="13"/>
      <c r="E71" s="13"/>
      <c r="G71" s="13"/>
      <c r="I71" s="13"/>
      <c r="K71" s="13"/>
      <c r="M71" s="13"/>
    </row>
    <row r="72" spans="3:13" x14ac:dyDescent="0.2">
      <c r="C72" s="13"/>
      <c r="E72" s="13"/>
      <c r="G72" s="13"/>
      <c r="I72" s="13"/>
      <c r="K72" s="13"/>
      <c r="M72" s="13"/>
    </row>
    <row r="73" spans="3:13" x14ac:dyDescent="0.2">
      <c r="C73" s="13"/>
      <c r="E73" s="13"/>
      <c r="G73" s="13"/>
      <c r="I73" s="13"/>
      <c r="K73" s="13"/>
      <c r="M73" s="13"/>
    </row>
    <row r="74" spans="3:13" x14ac:dyDescent="0.2">
      <c r="C74" s="13"/>
      <c r="E74" s="13"/>
      <c r="G74" s="13"/>
      <c r="I74" s="13"/>
      <c r="K74" s="13"/>
      <c r="M74" s="13"/>
    </row>
    <row r="75" spans="3:13" x14ac:dyDescent="0.2">
      <c r="C75" s="13"/>
      <c r="E75" s="13"/>
      <c r="G75" s="13"/>
      <c r="I75" s="13"/>
      <c r="K75" s="13"/>
      <c r="M75" s="13"/>
    </row>
    <row r="76" spans="3:13" x14ac:dyDescent="0.2">
      <c r="C76" s="13"/>
      <c r="E76" s="13"/>
      <c r="G76" s="13"/>
      <c r="I76" s="13"/>
      <c r="K76" s="13"/>
      <c r="M76" s="13"/>
    </row>
    <row r="77" spans="3:13" x14ac:dyDescent="0.2">
      <c r="C77" s="13"/>
      <c r="E77" s="13"/>
      <c r="G77" s="13"/>
      <c r="I77" s="13"/>
      <c r="K77" s="13"/>
      <c r="M77" s="13"/>
    </row>
    <row r="78" spans="3:13" x14ac:dyDescent="0.2">
      <c r="C78" s="13"/>
      <c r="E78" s="13"/>
      <c r="G78" s="13"/>
      <c r="I78" s="13"/>
      <c r="K78" s="13"/>
      <c r="M78" s="13"/>
    </row>
    <row r="79" spans="3:13" x14ac:dyDescent="0.2">
      <c r="C79" s="13"/>
      <c r="E79" s="13"/>
      <c r="G79" s="13"/>
      <c r="I79" s="13"/>
      <c r="K79" s="13"/>
      <c r="M79" s="13"/>
    </row>
    <row r="80" spans="3:13" x14ac:dyDescent="0.2">
      <c r="C80" s="13"/>
      <c r="E80" s="13"/>
      <c r="G80" s="13"/>
      <c r="I80" s="13"/>
      <c r="K80" s="13"/>
      <c r="M80" s="13"/>
    </row>
    <row r="81" spans="3:13" x14ac:dyDescent="0.2">
      <c r="C81" s="13"/>
      <c r="E81" s="13"/>
      <c r="G81" s="13"/>
      <c r="I81" s="13"/>
      <c r="K81" s="13"/>
      <c r="M81" s="13"/>
    </row>
    <row r="82" spans="3:13" x14ac:dyDescent="0.2">
      <c r="C82" s="13"/>
      <c r="E82" s="13"/>
      <c r="G82" s="13"/>
      <c r="I82" s="13"/>
      <c r="K82" s="13"/>
      <c r="M82" s="13"/>
    </row>
    <row r="83" spans="3:13" x14ac:dyDescent="0.2">
      <c r="C83" s="13"/>
      <c r="E83" s="13"/>
      <c r="G83" s="13"/>
      <c r="I83" s="13"/>
      <c r="K83" s="13"/>
      <c r="M83" s="13"/>
    </row>
    <row r="84" spans="3:13" x14ac:dyDescent="0.2">
      <c r="C84" s="13"/>
      <c r="E84" s="13"/>
      <c r="G84" s="13"/>
      <c r="I84" s="13"/>
      <c r="K84" s="13"/>
      <c r="M84" s="13"/>
    </row>
    <row r="85" spans="3:13" x14ac:dyDescent="0.2">
      <c r="C85" s="13"/>
      <c r="E85" s="13"/>
      <c r="G85" s="13"/>
      <c r="I85" s="13"/>
      <c r="K85" s="13"/>
      <c r="M85" s="13"/>
    </row>
    <row r="86" spans="3:13" x14ac:dyDescent="0.2">
      <c r="C86" s="13"/>
      <c r="E86" s="13"/>
      <c r="G86" s="13"/>
      <c r="I86" s="13"/>
      <c r="K86" s="13"/>
      <c r="M86" s="13"/>
    </row>
    <row r="87" spans="3:13" x14ac:dyDescent="0.2">
      <c r="C87" s="13"/>
      <c r="E87" s="13"/>
      <c r="G87" s="13"/>
      <c r="I87" s="13"/>
      <c r="K87" s="13"/>
      <c r="M87" s="13"/>
    </row>
    <row r="88" spans="3:13" x14ac:dyDescent="0.2">
      <c r="C88" s="13"/>
      <c r="E88" s="13"/>
      <c r="G88" s="13"/>
      <c r="I88" s="13"/>
      <c r="K88" s="13"/>
      <c r="M88" s="13"/>
    </row>
    <row r="89" spans="3:13" x14ac:dyDescent="0.2">
      <c r="C89" s="13"/>
      <c r="E89" s="13"/>
      <c r="G89" s="13"/>
      <c r="I89" s="13"/>
      <c r="K89" s="13"/>
      <c r="M89" s="13"/>
    </row>
    <row r="90" spans="3:13" x14ac:dyDescent="0.2">
      <c r="C90" s="13"/>
      <c r="E90" s="13"/>
      <c r="G90" s="13"/>
      <c r="I90" s="13"/>
      <c r="K90" s="13"/>
      <c r="M90" s="13"/>
    </row>
    <row r="91" spans="3:13" x14ac:dyDescent="0.2">
      <c r="C91" s="13"/>
      <c r="E91" s="13"/>
      <c r="G91" s="13"/>
      <c r="I91" s="13"/>
      <c r="K91" s="13"/>
      <c r="M91" s="13"/>
    </row>
    <row r="92" spans="3:13" x14ac:dyDescent="0.2">
      <c r="C92" s="13"/>
      <c r="E92" s="13"/>
      <c r="G92" s="13"/>
      <c r="I92" s="13"/>
      <c r="K92" s="13"/>
      <c r="M92" s="13"/>
    </row>
    <row r="93" spans="3:13" x14ac:dyDescent="0.2">
      <c r="C93" s="13"/>
      <c r="E93" s="13"/>
      <c r="G93" s="13"/>
      <c r="I93" s="13"/>
      <c r="K93" s="13"/>
      <c r="M93" s="13"/>
    </row>
    <row r="94" spans="3:13" x14ac:dyDescent="0.2">
      <c r="C94" s="13"/>
      <c r="E94" s="13"/>
      <c r="G94" s="13"/>
      <c r="I94" s="13"/>
      <c r="K94" s="13"/>
      <c r="M94" s="13"/>
    </row>
    <row r="95" spans="3:13" x14ac:dyDescent="0.2">
      <c r="C95" s="13"/>
      <c r="E95" s="13"/>
      <c r="G95" s="13"/>
      <c r="I95" s="13"/>
      <c r="K95" s="13"/>
      <c r="M95" s="13"/>
    </row>
    <row r="96" spans="3:13" x14ac:dyDescent="0.2">
      <c r="C96" s="13"/>
      <c r="E96" s="13"/>
      <c r="G96" s="13"/>
      <c r="I96" s="13"/>
      <c r="K96" s="13"/>
      <c r="M96" s="13"/>
    </row>
    <row r="97" spans="3:13" x14ac:dyDescent="0.2">
      <c r="C97" s="13"/>
      <c r="E97" s="13"/>
      <c r="G97" s="13"/>
      <c r="I97" s="13"/>
      <c r="K97" s="13"/>
      <c r="M97" s="13"/>
    </row>
    <row r="98" spans="3:13" x14ac:dyDescent="0.2">
      <c r="C98" s="13"/>
      <c r="E98" s="13"/>
      <c r="G98" s="13"/>
      <c r="I98" s="13"/>
      <c r="K98" s="13"/>
      <c r="M98" s="13"/>
    </row>
    <row r="99" spans="3:13" x14ac:dyDescent="0.2">
      <c r="C99" s="13"/>
      <c r="E99" s="13"/>
      <c r="G99" s="13"/>
      <c r="I99" s="13"/>
      <c r="K99" s="13"/>
      <c r="M99" s="13"/>
    </row>
    <row r="100" spans="3:13" x14ac:dyDescent="0.2">
      <c r="C100" s="13"/>
      <c r="E100" s="13"/>
      <c r="G100" s="13"/>
      <c r="I100" s="13"/>
      <c r="K100" s="13"/>
      <c r="M100" s="13"/>
    </row>
    <row r="101" spans="3:13" x14ac:dyDescent="0.2">
      <c r="C101" s="13"/>
      <c r="E101" s="13"/>
      <c r="G101" s="13"/>
      <c r="I101" s="13"/>
      <c r="K101" s="13"/>
      <c r="M101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134"/>
  <sheetViews>
    <sheetView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50.8554687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3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3" s="87" customFormat="1" ht="15.75" x14ac:dyDescent="0.25">
      <c r="A2" s="103" t="s">
        <v>3803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3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3" x14ac:dyDescent="0.2">
      <c r="B6" s="25" t="s">
        <v>2</v>
      </c>
      <c r="H6" s="25" t="s">
        <v>3</v>
      </c>
      <c r="L6" s="25" t="s">
        <v>4</v>
      </c>
    </row>
    <row r="7" spans="1:13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3" x14ac:dyDescent="0.2">
      <c r="B8" s="11"/>
      <c r="D8" s="11"/>
      <c r="F8" s="11"/>
      <c r="H8" s="11"/>
      <c r="J8" s="11"/>
      <c r="L8" s="11"/>
    </row>
    <row r="9" spans="1:13" x14ac:dyDescent="0.2">
      <c r="A9" s="12" t="s">
        <v>3804</v>
      </c>
    </row>
    <row r="10" spans="1:13" x14ac:dyDescent="0.2">
      <c r="A10" s="12" t="s">
        <v>12</v>
      </c>
      <c r="C10" s="109"/>
      <c r="E10" s="109"/>
      <c r="G10" s="109"/>
      <c r="I10" s="109"/>
      <c r="K10" s="109"/>
      <c r="M10" s="109"/>
    </row>
    <row r="11" spans="1:13" x14ac:dyDescent="0.2">
      <c r="A11" s="3" t="s">
        <v>3659</v>
      </c>
      <c r="B11" s="19">
        <v>91001.83</v>
      </c>
      <c r="C11" s="109"/>
      <c r="D11" s="19">
        <v>0</v>
      </c>
      <c r="E11" s="109"/>
      <c r="F11" s="19">
        <v>0</v>
      </c>
      <c r="G11" s="109"/>
      <c r="H11" s="19">
        <v>0</v>
      </c>
      <c r="I11" s="109"/>
      <c r="J11" s="19">
        <f>H11+F11+D11</f>
        <v>0</v>
      </c>
      <c r="K11" s="109"/>
      <c r="L11" s="19">
        <f>J11+B11</f>
        <v>91001.83</v>
      </c>
      <c r="M11" s="109"/>
    </row>
    <row r="12" spans="1:13" x14ac:dyDescent="0.2">
      <c r="A12" s="3" t="s">
        <v>3660</v>
      </c>
      <c r="B12" s="19">
        <v>102248.61</v>
      </c>
      <c r="C12" s="109"/>
      <c r="D12" s="19">
        <v>240853.29</v>
      </c>
      <c r="E12" s="109"/>
      <c r="F12" s="19">
        <v>0</v>
      </c>
      <c r="G12" s="109"/>
      <c r="H12" s="19">
        <v>-240853.29</v>
      </c>
      <c r="I12" s="109"/>
      <c r="J12" s="19">
        <f>H12+F12+D12</f>
        <v>0</v>
      </c>
      <c r="K12" s="109"/>
      <c r="L12" s="19">
        <f t="shared" ref="L12:L23" si="0">J12+B12</f>
        <v>102248.61</v>
      </c>
      <c r="M12" s="109"/>
    </row>
    <row r="13" spans="1:13" x14ac:dyDescent="0.2">
      <c r="A13" s="3" t="s">
        <v>3661</v>
      </c>
      <c r="B13" s="19">
        <v>490205.62</v>
      </c>
      <c r="C13" s="109"/>
      <c r="D13" s="19">
        <v>80031.37</v>
      </c>
      <c r="E13" s="109"/>
      <c r="F13" s="19">
        <v>-49.61</v>
      </c>
      <c r="G13" s="109"/>
      <c r="H13" s="19">
        <v>0</v>
      </c>
      <c r="I13" s="109"/>
      <c r="J13" s="19">
        <f t="shared" ref="J13:J23" si="1">H13+F13+D13</f>
        <v>79981.759999999995</v>
      </c>
      <c r="K13" s="109"/>
      <c r="L13" s="19">
        <f t="shared" si="0"/>
        <v>570187.38</v>
      </c>
      <c r="M13" s="109"/>
    </row>
    <row r="14" spans="1:13" x14ac:dyDescent="0.2">
      <c r="A14" s="3" t="s">
        <v>3662</v>
      </c>
      <c r="B14" s="19">
        <v>8391865.959999999</v>
      </c>
      <c r="C14" s="109"/>
      <c r="D14" s="19">
        <v>21796.14</v>
      </c>
      <c r="E14" s="109"/>
      <c r="F14" s="19">
        <v>-32176.81</v>
      </c>
      <c r="G14" s="109"/>
      <c r="H14" s="19">
        <v>0</v>
      </c>
      <c r="I14" s="109"/>
      <c r="J14" s="19">
        <f t="shared" si="1"/>
        <v>-10380.670000000002</v>
      </c>
      <c r="K14" s="109"/>
      <c r="L14" s="19">
        <f t="shared" si="0"/>
        <v>8381485.2899999991</v>
      </c>
      <c r="M14" s="109"/>
    </row>
    <row r="15" spans="1:13" x14ac:dyDescent="0.2">
      <c r="A15" s="3" t="s">
        <v>3663</v>
      </c>
      <c r="B15" s="19">
        <v>27360478.739999998</v>
      </c>
      <c r="C15" s="109"/>
      <c r="D15" s="19">
        <v>1363614.61</v>
      </c>
      <c r="E15" s="109"/>
      <c r="F15" s="19">
        <v>-154973.03</v>
      </c>
      <c r="G15" s="109"/>
      <c r="H15" s="19">
        <v>0</v>
      </c>
      <c r="I15" s="109"/>
      <c r="J15" s="19">
        <f t="shared" si="1"/>
        <v>1208641.58</v>
      </c>
      <c r="K15" s="109"/>
      <c r="L15" s="19">
        <f t="shared" si="0"/>
        <v>28569120.32</v>
      </c>
      <c r="M15" s="109"/>
    </row>
    <row r="16" spans="1:13" x14ac:dyDescent="0.2">
      <c r="A16" s="3" t="s">
        <v>3664</v>
      </c>
      <c r="B16" s="19">
        <v>23658194.210000001</v>
      </c>
      <c r="C16" s="109"/>
      <c r="D16" s="19">
        <v>2050163.1</v>
      </c>
      <c r="E16" s="109"/>
      <c r="F16" s="19">
        <v>-676893.99</v>
      </c>
      <c r="G16" s="109"/>
      <c r="H16" s="19">
        <v>0</v>
      </c>
      <c r="I16" s="109"/>
      <c r="J16" s="19">
        <f t="shared" si="1"/>
        <v>1373269.11</v>
      </c>
      <c r="K16" s="109"/>
      <c r="L16" s="19">
        <f t="shared" si="0"/>
        <v>25031463.32</v>
      </c>
      <c r="M16" s="109"/>
    </row>
    <row r="17" spans="1:13" x14ac:dyDescent="0.2">
      <c r="A17" s="3" t="s">
        <v>3666</v>
      </c>
      <c r="B17" s="19">
        <v>3932443.4700000007</v>
      </c>
      <c r="C17" s="109"/>
      <c r="D17" s="19">
        <v>84387.85</v>
      </c>
      <c r="E17" s="109"/>
      <c r="F17" s="19">
        <v>-5152.2299999999996</v>
      </c>
      <c r="G17" s="109"/>
      <c r="H17" s="19">
        <v>0</v>
      </c>
      <c r="I17" s="109"/>
      <c r="J17" s="19">
        <f t="shared" si="1"/>
        <v>79235.62000000001</v>
      </c>
      <c r="K17" s="109"/>
      <c r="L17" s="19">
        <f t="shared" si="0"/>
        <v>4011679.0900000008</v>
      </c>
      <c r="M17" s="109"/>
    </row>
    <row r="18" spans="1:13" x14ac:dyDescent="0.2">
      <c r="A18" s="3" t="s">
        <v>3667</v>
      </c>
      <c r="B18" s="19">
        <v>12723148.67</v>
      </c>
      <c r="C18" s="109"/>
      <c r="D18" s="19">
        <v>209273.8</v>
      </c>
      <c r="E18" s="109"/>
      <c r="F18" s="19">
        <v>-1807396.2</v>
      </c>
      <c r="G18" s="109"/>
      <c r="H18" s="19">
        <v>0</v>
      </c>
      <c r="I18" s="109"/>
      <c r="J18" s="19">
        <f t="shared" si="1"/>
        <v>-1598122.4</v>
      </c>
      <c r="K18" s="109"/>
      <c r="L18" s="19">
        <f t="shared" si="0"/>
        <v>11125026.27</v>
      </c>
      <c r="M18" s="109"/>
    </row>
    <row r="19" spans="1:13" x14ac:dyDescent="0.2">
      <c r="A19" s="3" t="s">
        <v>3668</v>
      </c>
      <c r="B19" s="19">
        <v>5498987.4100000011</v>
      </c>
      <c r="C19" s="109"/>
      <c r="D19" s="19">
        <v>355368.29</v>
      </c>
      <c r="E19" s="109"/>
      <c r="F19" s="19">
        <v>-1408.17</v>
      </c>
      <c r="G19" s="109"/>
      <c r="H19" s="19">
        <v>0</v>
      </c>
      <c r="I19" s="109"/>
      <c r="J19" s="19">
        <f t="shared" si="1"/>
        <v>353960.12</v>
      </c>
      <c r="K19" s="109"/>
      <c r="L19" s="19">
        <f t="shared" si="0"/>
        <v>5852947.5300000012</v>
      </c>
      <c r="M19" s="109"/>
    </row>
    <row r="20" spans="1:13" x14ac:dyDescent="0.2">
      <c r="A20" s="3" t="s">
        <v>3669</v>
      </c>
      <c r="B20" s="19">
        <v>3897015.2899999996</v>
      </c>
      <c r="C20" s="109"/>
      <c r="D20" s="19">
        <v>0</v>
      </c>
      <c r="E20" s="109"/>
      <c r="F20" s="19">
        <v>-236291.41</v>
      </c>
      <c r="G20" s="109"/>
      <c r="H20" s="19">
        <v>-872830.15</v>
      </c>
      <c r="I20" s="109"/>
      <c r="J20" s="19">
        <f t="shared" si="1"/>
        <v>-1109121.56</v>
      </c>
      <c r="K20" s="109"/>
      <c r="L20" s="19">
        <f t="shared" si="0"/>
        <v>2787893.7299999995</v>
      </c>
      <c r="M20" s="109"/>
    </row>
    <row r="21" spans="1:13" x14ac:dyDescent="0.2">
      <c r="A21" s="43" t="s">
        <v>3671</v>
      </c>
      <c r="B21" s="19">
        <v>0</v>
      </c>
      <c r="C21" s="109"/>
      <c r="D21" s="19">
        <v>28154.47</v>
      </c>
      <c r="E21" s="109"/>
      <c r="F21" s="19">
        <v>-56276.28</v>
      </c>
      <c r="G21" s="109"/>
      <c r="H21" s="19">
        <v>872830.15</v>
      </c>
      <c r="I21" s="109"/>
      <c r="J21" s="19">
        <f t="shared" si="1"/>
        <v>844708.34</v>
      </c>
      <c r="K21" s="109"/>
      <c r="L21" s="19">
        <f t="shared" si="0"/>
        <v>844708.34</v>
      </c>
      <c r="M21" s="109"/>
    </row>
    <row r="22" spans="1:13" x14ac:dyDescent="0.2">
      <c r="A22" s="3" t="s">
        <v>3672</v>
      </c>
      <c r="B22" s="26">
        <v>0</v>
      </c>
      <c r="C22" s="118"/>
      <c r="D22" s="19">
        <v>0</v>
      </c>
      <c r="E22" s="109"/>
      <c r="F22" s="19">
        <v>0</v>
      </c>
      <c r="G22" s="109"/>
      <c r="H22" s="19">
        <v>0</v>
      </c>
      <c r="I22" s="118"/>
      <c r="J22" s="19">
        <f t="shared" si="1"/>
        <v>0</v>
      </c>
      <c r="K22" s="118"/>
      <c r="L22" s="19">
        <f t="shared" si="0"/>
        <v>0</v>
      </c>
      <c r="M22" s="109"/>
    </row>
    <row r="23" spans="1:13" x14ac:dyDescent="0.2">
      <c r="A23" s="3" t="s">
        <v>3673</v>
      </c>
      <c r="B23" s="27">
        <v>3449898.81</v>
      </c>
      <c r="C23" s="118"/>
      <c r="D23" s="19">
        <v>146715.20000000001</v>
      </c>
      <c r="E23" s="109"/>
      <c r="F23" s="19">
        <v>-5779.46</v>
      </c>
      <c r="G23" s="109"/>
      <c r="H23" s="19">
        <v>0</v>
      </c>
      <c r="I23" s="118"/>
      <c r="J23" s="19">
        <f t="shared" si="1"/>
        <v>140935.74000000002</v>
      </c>
      <c r="K23" s="118"/>
      <c r="L23" s="19">
        <f t="shared" si="0"/>
        <v>3590834.5500000003</v>
      </c>
      <c r="M23" s="109"/>
    </row>
    <row r="24" spans="1:13" x14ac:dyDescent="0.2">
      <c r="B24" s="26">
        <f>SUM(B11:B23)</f>
        <v>89595488.620000005</v>
      </c>
      <c r="C24" s="118"/>
      <c r="D24" s="32">
        <f>SUM(D11:D23)</f>
        <v>4580358.12</v>
      </c>
      <c r="E24" s="118"/>
      <c r="F24" s="32">
        <f>SUM(F11:F23)</f>
        <v>-2976397.19</v>
      </c>
      <c r="G24" s="118"/>
      <c r="H24" s="32">
        <f>SUM(H11:H23)</f>
        <v>-240853.28999999992</v>
      </c>
      <c r="I24" s="118"/>
      <c r="J24" s="32">
        <f>SUM(J11:J23)</f>
        <v>1363107.6400000004</v>
      </c>
      <c r="K24" s="118"/>
      <c r="L24" s="32">
        <f>SUM(L11:L23)</f>
        <v>90958596.260000005</v>
      </c>
      <c r="M24" s="109"/>
    </row>
    <row r="25" spans="1:13" x14ac:dyDescent="0.2">
      <c r="B25" s="26"/>
      <c r="C25" s="118"/>
      <c r="D25" s="26"/>
      <c r="E25" s="118"/>
      <c r="F25" s="26"/>
      <c r="G25" s="118"/>
      <c r="H25" s="26"/>
      <c r="I25" s="118"/>
      <c r="J25" s="26"/>
      <c r="K25" s="118"/>
      <c r="L25" s="26"/>
      <c r="M25" s="109"/>
    </row>
    <row r="26" spans="1:13" x14ac:dyDescent="0.2">
      <c r="A26" s="12" t="s">
        <v>13</v>
      </c>
      <c r="B26" s="26"/>
      <c r="C26" s="118"/>
      <c r="D26" s="26"/>
      <c r="E26" s="118"/>
      <c r="F26" s="26"/>
      <c r="G26" s="118"/>
      <c r="H26" s="26"/>
      <c r="I26" s="118"/>
      <c r="J26" s="26"/>
      <c r="K26" s="118"/>
      <c r="L26" s="26"/>
      <c r="M26" s="109"/>
    </row>
    <row r="27" spans="1:13" x14ac:dyDescent="0.2">
      <c r="A27" s="3" t="s">
        <v>3676</v>
      </c>
      <c r="B27" s="26">
        <v>380629.44</v>
      </c>
      <c r="C27" s="118"/>
      <c r="D27" s="19">
        <v>0</v>
      </c>
      <c r="E27" s="118"/>
      <c r="F27" s="19">
        <v>0</v>
      </c>
      <c r="G27" s="118"/>
      <c r="H27" s="19">
        <v>0</v>
      </c>
      <c r="I27" s="118"/>
      <c r="J27" s="26">
        <f t="shared" ref="J27:J39" si="2">H27+F27+D27</f>
        <v>0</v>
      </c>
      <c r="K27" s="118"/>
      <c r="L27" s="26">
        <f t="shared" ref="L27:L39" si="3">J27+B27</f>
        <v>380629.44</v>
      </c>
      <c r="M27" s="109"/>
    </row>
    <row r="28" spans="1:13" x14ac:dyDescent="0.2">
      <c r="A28" s="3" t="s">
        <v>3677</v>
      </c>
      <c r="B28" s="26">
        <v>1035372.05</v>
      </c>
      <c r="C28" s="118"/>
      <c r="D28" s="19">
        <v>0</v>
      </c>
      <c r="E28" s="118"/>
      <c r="F28" s="19">
        <v>0</v>
      </c>
      <c r="G28" s="118"/>
      <c r="H28" s="19">
        <v>0</v>
      </c>
      <c r="I28" s="118"/>
      <c r="J28" s="26">
        <f t="shared" si="2"/>
        <v>0</v>
      </c>
      <c r="K28" s="118"/>
      <c r="L28" s="26">
        <f t="shared" si="3"/>
        <v>1035372.05</v>
      </c>
      <c r="M28" s="109"/>
    </row>
    <row r="29" spans="1:13" x14ac:dyDescent="0.2">
      <c r="A29" s="3" t="s">
        <v>3805</v>
      </c>
      <c r="B29" s="26">
        <v>40883.599999999999</v>
      </c>
      <c r="C29" s="118"/>
      <c r="D29" s="19">
        <v>0</v>
      </c>
      <c r="E29" s="118"/>
      <c r="F29" s="19">
        <v>0</v>
      </c>
      <c r="G29" s="118"/>
      <c r="H29" s="19">
        <v>0</v>
      </c>
      <c r="I29" s="118"/>
      <c r="J29" s="26">
        <v>0</v>
      </c>
      <c r="K29" s="118"/>
      <c r="L29" s="26">
        <f t="shared" si="3"/>
        <v>40883.599999999999</v>
      </c>
      <c r="M29" s="109"/>
    </row>
    <row r="30" spans="1:13" x14ac:dyDescent="0.2">
      <c r="A30" s="3" t="s">
        <v>3679</v>
      </c>
      <c r="B30" s="26">
        <v>0</v>
      </c>
      <c r="C30" s="118"/>
      <c r="D30" s="19">
        <v>0</v>
      </c>
      <c r="E30" s="118"/>
      <c r="F30" s="19">
        <v>0</v>
      </c>
      <c r="G30" s="118"/>
      <c r="H30" s="19">
        <v>0</v>
      </c>
      <c r="I30" s="118"/>
      <c r="J30" s="26">
        <f t="shared" si="2"/>
        <v>0</v>
      </c>
      <c r="K30" s="118"/>
      <c r="L30" s="26">
        <f t="shared" si="3"/>
        <v>0</v>
      </c>
      <c r="M30" s="109"/>
    </row>
    <row r="31" spans="1:13" x14ac:dyDescent="0.2">
      <c r="A31" s="3" t="s">
        <v>3680</v>
      </c>
      <c r="B31" s="26">
        <v>0</v>
      </c>
      <c r="C31" s="118"/>
      <c r="D31" s="19">
        <v>0</v>
      </c>
      <c r="E31" s="118"/>
      <c r="F31" s="19">
        <v>0</v>
      </c>
      <c r="G31" s="118"/>
      <c r="H31" s="19">
        <v>0</v>
      </c>
      <c r="I31" s="118"/>
      <c r="J31" s="26">
        <f>H31+F31+D31</f>
        <v>0</v>
      </c>
      <c r="K31" s="118"/>
      <c r="L31" s="26">
        <f>J31+B31</f>
        <v>0</v>
      </c>
      <c r="M31" s="109"/>
    </row>
    <row r="32" spans="1:13" x14ac:dyDescent="0.2">
      <c r="A32" s="3" t="s">
        <v>3683</v>
      </c>
      <c r="B32" s="26">
        <v>0</v>
      </c>
      <c r="C32" s="118"/>
      <c r="D32" s="19">
        <v>0</v>
      </c>
      <c r="E32" s="118"/>
      <c r="F32" s="19">
        <v>0</v>
      </c>
      <c r="G32" s="118"/>
      <c r="H32" s="19">
        <v>0</v>
      </c>
      <c r="I32" s="118"/>
      <c r="J32" s="26">
        <f t="shared" si="2"/>
        <v>0</v>
      </c>
      <c r="K32" s="118"/>
      <c r="L32" s="26">
        <f>J32+B32</f>
        <v>0</v>
      </c>
      <c r="M32" s="109"/>
    </row>
    <row r="33" spans="1:13" x14ac:dyDescent="0.2">
      <c r="A33" s="3" t="s">
        <v>3685</v>
      </c>
      <c r="B33" s="26">
        <v>4526.22</v>
      </c>
      <c r="C33" s="118"/>
      <c r="D33" s="19">
        <v>0</v>
      </c>
      <c r="E33" s="118"/>
      <c r="F33" s="19">
        <v>0</v>
      </c>
      <c r="G33" s="118"/>
      <c r="H33" s="19">
        <v>0</v>
      </c>
      <c r="I33" s="118"/>
      <c r="J33" s="26">
        <f t="shared" si="2"/>
        <v>0</v>
      </c>
      <c r="K33" s="118"/>
      <c r="L33" s="26">
        <f>J33+B33</f>
        <v>4526.22</v>
      </c>
      <c r="M33" s="109"/>
    </row>
    <row r="34" spans="1:13" x14ac:dyDescent="0.2">
      <c r="A34" s="3" t="s">
        <v>3686</v>
      </c>
      <c r="B34" s="26">
        <v>473472.47000000009</v>
      </c>
      <c r="C34" s="118"/>
      <c r="D34" s="19">
        <v>4207.38</v>
      </c>
      <c r="E34" s="118"/>
      <c r="F34" s="19">
        <v>-662.68</v>
      </c>
      <c r="G34" s="118"/>
      <c r="H34" s="19">
        <v>0</v>
      </c>
      <c r="I34" s="118"/>
      <c r="J34" s="26">
        <f t="shared" si="2"/>
        <v>3544.7000000000003</v>
      </c>
      <c r="K34" s="118"/>
      <c r="L34" s="26">
        <f t="shared" si="3"/>
        <v>477017.1700000001</v>
      </c>
      <c r="M34" s="109"/>
    </row>
    <row r="35" spans="1:13" x14ac:dyDescent="0.2">
      <c r="A35" s="3" t="s">
        <v>3687</v>
      </c>
      <c r="B35" s="26">
        <v>0</v>
      </c>
      <c r="C35" s="118"/>
      <c r="D35" s="19">
        <v>0</v>
      </c>
      <c r="E35" s="118"/>
      <c r="F35" s="19">
        <v>0</v>
      </c>
      <c r="G35" s="118"/>
      <c r="H35" s="19">
        <v>0</v>
      </c>
      <c r="I35" s="118"/>
      <c r="J35" s="26">
        <f t="shared" si="2"/>
        <v>0</v>
      </c>
      <c r="K35" s="118"/>
      <c r="L35" s="26">
        <f t="shared" si="3"/>
        <v>0</v>
      </c>
      <c r="M35" s="109"/>
    </row>
    <row r="36" spans="1:13" x14ac:dyDescent="0.2">
      <c r="A36" s="3" t="s">
        <v>3688</v>
      </c>
      <c r="B36" s="26">
        <v>282277.26</v>
      </c>
      <c r="C36" s="118"/>
      <c r="D36" s="19">
        <v>0</v>
      </c>
      <c r="E36" s="118"/>
      <c r="F36" s="19">
        <v>0</v>
      </c>
      <c r="G36" s="118"/>
      <c r="H36" s="19">
        <v>0</v>
      </c>
      <c r="I36" s="118"/>
      <c r="J36" s="26">
        <f>H36+F36+D36</f>
        <v>0</v>
      </c>
      <c r="K36" s="118"/>
      <c r="L36" s="26">
        <f>J36+B36</f>
        <v>282277.26</v>
      </c>
      <c r="M36" s="109"/>
    </row>
    <row r="37" spans="1:13" x14ac:dyDescent="0.2">
      <c r="A37" s="3" t="s">
        <v>3689</v>
      </c>
      <c r="B37" s="26">
        <v>597614.32999999996</v>
      </c>
      <c r="C37" s="118"/>
      <c r="D37" s="19">
        <v>0</v>
      </c>
      <c r="E37" s="118"/>
      <c r="F37" s="19">
        <v>0</v>
      </c>
      <c r="G37" s="118"/>
      <c r="H37" s="19">
        <v>0</v>
      </c>
      <c r="I37" s="118"/>
      <c r="J37" s="26">
        <f t="shared" si="2"/>
        <v>0</v>
      </c>
      <c r="K37" s="118"/>
      <c r="L37" s="26">
        <f t="shared" si="3"/>
        <v>597614.32999999996</v>
      </c>
      <c r="M37" s="109"/>
    </row>
    <row r="38" spans="1:13" x14ac:dyDescent="0.2">
      <c r="A38" s="3" t="s">
        <v>3690</v>
      </c>
      <c r="B38" s="26">
        <v>382484.28</v>
      </c>
      <c r="C38" s="118"/>
      <c r="D38" s="19">
        <v>0</v>
      </c>
      <c r="E38" s="118"/>
      <c r="F38" s="19">
        <v>0</v>
      </c>
      <c r="G38" s="118"/>
      <c r="H38" s="19">
        <v>0</v>
      </c>
      <c r="I38" s="118"/>
      <c r="J38" s="26">
        <f t="shared" si="2"/>
        <v>0</v>
      </c>
      <c r="K38" s="118"/>
      <c r="L38" s="26">
        <f t="shared" si="3"/>
        <v>382484.28</v>
      </c>
      <c r="M38" s="109"/>
    </row>
    <row r="39" spans="1:13" x14ac:dyDescent="0.2">
      <c r="A39" s="3" t="s">
        <v>3692</v>
      </c>
      <c r="B39" s="27">
        <v>0</v>
      </c>
      <c r="C39" s="118"/>
      <c r="D39" s="19">
        <v>0</v>
      </c>
      <c r="E39" s="118"/>
      <c r="F39" s="19">
        <v>0</v>
      </c>
      <c r="G39" s="118"/>
      <c r="H39" s="19">
        <v>0</v>
      </c>
      <c r="I39" s="118"/>
      <c r="J39" s="27">
        <f t="shared" si="2"/>
        <v>0</v>
      </c>
      <c r="K39" s="118"/>
      <c r="L39" s="27">
        <f t="shared" si="3"/>
        <v>0</v>
      </c>
      <c r="M39" s="109"/>
    </row>
    <row r="40" spans="1:13" x14ac:dyDescent="0.2">
      <c r="B40" s="26">
        <f>SUM(B27:B39)</f>
        <v>3197259.6500000004</v>
      </c>
      <c r="C40" s="118"/>
      <c r="D40" s="32">
        <f>SUM(D27:D39)</f>
        <v>4207.38</v>
      </c>
      <c r="E40" s="118"/>
      <c r="F40" s="32">
        <f>SUM(F27:F39)</f>
        <v>-662.68</v>
      </c>
      <c r="G40" s="118"/>
      <c r="H40" s="32">
        <f>SUM(H27:H39)</f>
        <v>0</v>
      </c>
      <c r="I40" s="118"/>
      <c r="J40" s="26">
        <f>SUM(J27:J39)</f>
        <v>3544.7000000000003</v>
      </c>
      <c r="K40" s="118"/>
      <c r="L40" s="26">
        <f>SUM(L27:L39)</f>
        <v>3200804.3500000006</v>
      </c>
      <c r="M40" s="109"/>
    </row>
    <row r="41" spans="1:13" x14ac:dyDescent="0.2">
      <c r="B41" s="26"/>
      <c r="C41" s="118"/>
      <c r="D41" s="26"/>
      <c r="E41" s="118"/>
      <c r="F41" s="26"/>
      <c r="G41" s="118"/>
      <c r="H41" s="26"/>
      <c r="I41" s="118"/>
      <c r="J41" s="26"/>
      <c r="K41" s="118"/>
      <c r="L41" s="26"/>
      <c r="M41" s="109"/>
    </row>
    <row r="42" spans="1:13" x14ac:dyDescent="0.2">
      <c r="A42" s="12" t="s">
        <v>15</v>
      </c>
      <c r="B42" s="26"/>
      <c r="C42" s="118"/>
      <c r="D42" s="26"/>
      <c r="E42" s="118"/>
      <c r="F42" s="26"/>
      <c r="G42" s="118"/>
      <c r="H42" s="26"/>
      <c r="I42" s="118"/>
      <c r="J42" s="26"/>
      <c r="K42" s="118"/>
      <c r="L42" s="26"/>
      <c r="M42" s="109"/>
    </row>
    <row r="43" spans="1:13" x14ac:dyDescent="0.2">
      <c r="A43" s="3" t="s">
        <v>3701</v>
      </c>
      <c r="B43" s="27">
        <v>5338.69</v>
      </c>
      <c r="C43" s="118"/>
      <c r="D43" s="19">
        <v>0</v>
      </c>
      <c r="E43" s="118"/>
      <c r="F43" s="19">
        <v>0</v>
      </c>
      <c r="G43" s="118"/>
      <c r="H43" s="19">
        <v>0</v>
      </c>
      <c r="I43" s="118"/>
      <c r="J43" s="27">
        <f>H43+F43+D43</f>
        <v>0</v>
      </c>
      <c r="K43" s="118"/>
      <c r="L43" s="27">
        <f>J43+B43</f>
        <v>5338.69</v>
      </c>
      <c r="M43" s="109"/>
    </row>
    <row r="44" spans="1:13" x14ac:dyDescent="0.2">
      <c r="B44" s="26">
        <f>SUM(B43)</f>
        <v>5338.69</v>
      </c>
      <c r="C44" s="118"/>
      <c r="D44" s="32">
        <f>SUM(D43)</f>
        <v>0</v>
      </c>
      <c r="E44" s="118"/>
      <c r="F44" s="32">
        <f>SUM(F43)</f>
        <v>0</v>
      </c>
      <c r="G44" s="118"/>
      <c r="H44" s="32">
        <f>SUM(H43)</f>
        <v>0</v>
      </c>
      <c r="I44" s="118"/>
      <c r="J44" s="26">
        <f>SUM(J43)</f>
        <v>0</v>
      </c>
      <c r="K44" s="118"/>
      <c r="L44" s="26">
        <f>SUM(L43)</f>
        <v>5338.69</v>
      </c>
      <c r="M44" s="109"/>
    </row>
    <row r="45" spans="1:13" x14ac:dyDescent="0.2">
      <c r="B45" s="26"/>
      <c r="C45" s="118"/>
      <c r="D45" s="26"/>
      <c r="E45" s="118"/>
      <c r="F45" s="26"/>
      <c r="G45" s="118"/>
      <c r="H45" s="26"/>
      <c r="I45" s="118"/>
      <c r="J45" s="26"/>
      <c r="K45" s="118"/>
      <c r="L45" s="26"/>
      <c r="M45" s="109"/>
    </row>
    <row r="46" spans="1:13" x14ac:dyDescent="0.2">
      <c r="A46" s="12" t="s">
        <v>18</v>
      </c>
      <c r="B46" s="26"/>
      <c r="C46" s="118"/>
      <c r="D46" s="26"/>
      <c r="E46" s="118"/>
      <c r="F46" s="26"/>
      <c r="G46" s="118"/>
      <c r="H46" s="26"/>
      <c r="I46" s="118"/>
      <c r="J46" s="26"/>
      <c r="K46" s="118"/>
      <c r="L46" s="26"/>
      <c r="M46" s="109"/>
    </row>
    <row r="47" spans="1:13" x14ac:dyDescent="0.2">
      <c r="A47" s="3" t="s">
        <v>3728</v>
      </c>
      <c r="B47" s="26">
        <v>2219475.6</v>
      </c>
      <c r="C47" s="118"/>
      <c r="D47" s="19">
        <v>0</v>
      </c>
      <c r="E47" s="118"/>
      <c r="F47" s="19">
        <v>0</v>
      </c>
      <c r="G47" s="118"/>
      <c r="H47" s="19">
        <v>0</v>
      </c>
      <c r="I47" s="118"/>
      <c r="J47" s="26">
        <f t="shared" ref="J47:J53" si="4">H47+F47+D47</f>
        <v>0</v>
      </c>
      <c r="K47" s="118"/>
      <c r="L47" s="26">
        <f t="shared" ref="L47:L53" si="5">J47+B47</f>
        <v>2219475.6</v>
      </c>
      <c r="M47" s="109"/>
    </row>
    <row r="48" spans="1:13" x14ac:dyDescent="0.2">
      <c r="A48" s="3" t="s">
        <v>3729</v>
      </c>
      <c r="B48" s="26">
        <v>45700.5</v>
      </c>
      <c r="C48" s="118"/>
      <c r="D48" s="19">
        <v>0</v>
      </c>
      <c r="E48" s="118"/>
      <c r="F48" s="19">
        <v>0</v>
      </c>
      <c r="G48" s="118"/>
      <c r="H48" s="19">
        <v>0</v>
      </c>
      <c r="I48" s="118"/>
      <c r="J48" s="26">
        <f t="shared" si="4"/>
        <v>0</v>
      </c>
      <c r="K48" s="118"/>
      <c r="L48" s="26">
        <f t="shared" si="5"/>
        <v>45700.5</v>
      </c>
      <c r="M48" s="109"/>
    </row>
    <row r="49" spans="1:13" x14ac:dyDescent="0.2">
      <c r="A49" s="3" t="s">
        <v>3730</v>
      </c>
      <c r="B49" s="26">
        <v>1617561.19</v>
      </c>
      <c r="C49" s="118"/>
      <c r="D49" s="19">
        <v>136954.17000000001</v>
      </c>
      <c r="E49" s="118"/>
      <c r="F49" s="19">
        <v>-11316.48</v>
      </c>
      <c r="G49" s="118"/>
      <c r="H49" s="19">
        <v>0</v>
      </c>
      <c r="I49" s="118"/>
      <c r="J49" s="26">
        <f t="shared" si="4"/>
        <v>125637.69000000002</v>
      </c>
      <c r="K49" s="118"/>
      <c r="L49" s="26">
        <f t="shared" si="5"/>
        <v>1743198.88</v>
      </c>
      <c r="M49" s="109"/>
    </row>
    <row r="50" spans="1:13" x14ac:dyDescent="0.2">
      <c r="A50" s="3" t="s">
        <v>3732</v>
      </c>
      <c r="B50" s="26">
        <v>22321888.719999999</v>
      </c>
      <c r="C50" s="118"/>
      <c r="D50" s="19">
        <v>588084.06999999995</v>
      </c>
      <c r="E50" s="118"/>
      <c r="F50" s="19">
        <v>-168359.82</v>
      </c>
      <c r="G50" s="118"/>
      <c r="H50" s="19">
        <v>59393.04</v>
      </c>
      <c r="I50" s="118"/>
      <c r="J50" s="26">
        <f t="shared" si="4"/>
        <v>479117.28999999992</v>
      </c>
      <c r="K50" s="118"/>
      <c r="L50" s="26">
        <f t="shared" si="5"/>
        <v>22801006.009999998</v>
      </c>
      <c r="M50" s="109"/>
    </row>
    <row r="51" spans="1:13" x14ac:dyDescent="0.2">
      <c r="A51" s="3" t="s">
        <v>3735</v>
      </c>
      <c r="B51" s="26">
        <v>7181081.3000000007</v>
      </c>
      <c r="C51" s="118"/>
      <c r="D51" s="19">
        <v>0</v>
      </c>
      <c r="E51" s="118"/>
      <c r="F51" s="19">
        <v>0</v>
      </c>
      <c r="G51" s="118"/>
      <c r="H51" s="19">
        <v>0</v>
      </c>
      <c r="I51" s="118"/>
      <c r="J51" s="26">
        <f t="shared" si="4"/>
        <v>0</v>
      </c>
      <c r="K51" s="118"/>
      <c r="L51" s="26">
        <f t="shared" si="5"/>
        <v>7181081.3000000007</v>
      </c>
      <c r="M51" s="109"/>
    </row>
    <row r="52" spans="1:13" x14ac:dyDescent="0.2">
      <c r="A52" s="3" t="s">
        <v>3736</v>
      </c>
      <c r="B52" s="26">
        <v>11237593.5</v>
      </c>
      <c r="C52" s="118"/>
      <c r="D52" s="19">
        <v>240151.28</v>
      </c>
      <c r="E52" s="118"/>
      <c r="F52" s="19">
        <v>-32431.8</v>
      </c>
      <c r="G52" s="118"/>
      <c r="H52" s="19">
        <v>0</v>
      </c>
      <c r="I52" s="118"/>
      <c r="J52" s="26">
        <f t="shared" si="4"/>
        <v>207719.48</v>
      </c>
      <c r="K52" s="118"/>
      <c r="L52" s="26">
        <f t="shared" si="5"/>
        <v>11445312.98</v>
      </c>
      <c r="M52" s="109"/>
    </row>
    <row r="53" spans="1:13" x14ac:dyDescent="0.2">
      <c r="A53" s="3" t="s">
        <v>3737</v>
      </c>
      <c r="B53" s="27">
        <v>16780292.120000001</v>
      </c>
      <c r="C53" s="118"/>
      <c r="D53" s="19">
        <v>147247.75</v>
      </c>
      <c r="E53" s="118"/>
      <c r="F53" s="19">
        <v>-72079.460000000006</v>
      </c>
      <c r="G53" s="118"/>
      <c r="H53" s="19">
        <v>0</v>
      </c>
      <c r="I53" s="118"/>
      <c r="J53" s="27">
        <f t="shared" si="4"/>
        <v>75168.289999999994</v>
      </c>
      <c r="K53" s="118"/>
      <c r="L53" s="27">
        <f t="shared" si="5"/>
        <v>16855460.41</v>
      </c>
      <c r="M53" s="109"/>
    </row>
    <row r="54" spans="1:13" x14ac:dyDescent="0.2">
      <c r="B54" s="26">
        <f>SUM(B47:B53)</f>
        <v>61403592.930000007</v>
      </c>
      <c r="C54" s="118"/>
      <c r="D54" s="32">
        <f>SUM(D47:D53)</f>
        <v>1112437.27</v>
      </c>
      <c r="E54" s="118"/>
      <c r="F54" s="32">
        <f>SUM(F47:F53)</f>
        <v>-284187.56</v>
      </c>
      <c r="G54" s="118"/>
      <c r="H54" s="32">
        <f>SUM(H47:H53)</f>
        <v>59393.04</v>
      </c>
      <c r="I54" s="118"/>
      <c r="J54" s="26">
        <f>SUM(J47:J53)</f>
        <v>887642.75</v>
      </c>
      <c r="K54" s="118"/>
      <c r="L54" s="26">
        <f>SUM(L47:L53)</f>
        <v>62291235.679999992</v>
      </c>
      <c r="M54" s="109"/>
    </row>
    <row r="55" spans="1:13" x14ac:dyDescent="0.2">
      <c r="B55" s="26"/>
      <c r="C55" s="109"/>
      <c r="D55" s="26"/>
      <c r="E55" s="109"/>
      <c r="F55" s="26"/>
      <c r="G55" s="109"/>
      <c r="H55" s="26"/>
      <c r="I55" s="109"/>
      <c r="J55" s="26"/>
      <c r="K55" s="109"/>
      <c r="L55" s="26"/>
      <c r="M55" s="109"/>
    </row>
    <row r="56" spans="1:13" x14ac:dyDescent="0.2">
      <c r="C56" s="109"/>
      <c r="E56" s="109"/>
      <c r="G56" s="109"/>
      <c r="I56" s="109"/>
      <c r="K56" s="109"/>
      <c r="M56" s="109"/>
    </row>
    <row r="57" spans="1:13" x14ac:dyDescent="0.2">
      <c r="A57" s="12" t="s">
        <v>3806</v>
      </c>
      <c r="B57" s="31">
        <f>B54+B44+B40+B24</f>
        <v>154201679.89000002</v>
      </c>
      <c r="C57" s="118"/>
      <c r="D57" s="31">
        <f>D54+D44+D40+D24</f>
        <v>5697002.7699999996</v>
      </c>
      <c r="E57" s="118"/>
      <c r="F57" s="31">
        <f>F54+F44+F40+F24</f>
        <v>-3261247.4299999997</v>
      </c>
      <c r="G57" s="118"/>
      <c r="H57" s="31">
        <f>H54+H44+H40+H24</f>
        <v>-181460.24999999991</v>
      </c>
      <c r="I57" s="118"/>
      <c r="J57" s="31">
        <f>J54+J44+J40+J24</f>
        <v>2254295.0900000003</v>
      </c>
      <c r="K57" s="118"/>
      <c r="L57" s="31">
        <f>L54+L44+L40+L24</f>
        <v>156455974.97999999</v>
      </c>
      <c r="M57" s="118"/>
    </row>
    <row r="58" spans="1:13" x14ac:dyDescent="0.2">
      <c r="C58" s="109"/>
      <c r="E58" s="109"/>
      <c r="G58" s="109"/>
      <c r="I58" s="109"/>
      <c r="K58" s="109"/>
      <c r="M58" s="109"/>
    </row>
    <row r="59" spans="1:13" x14ac:dyDescent="0.2">
      <c r="C59" s="109"/>
      <c r="E59" s="109"/>
      <c r="G59" s="109"/>
      <c r="I59" s="109"/>
      <c r="K59" s="109"/>
      <c r="M59" s="109"/>
    </row>
    <row r="60" spans="1:13" x14ac:dyDescent="0.2">
      <c r="A60" s="12" t="s">
        <v>3646</v>
      </c>
      <c r="C60" s="109"/>
      <c r="E60" s="109"/>
      <c r="G60" s="109"/>
      <c r="I60" s="109"/>
      <c r="K60" s="109"/>
      <c r="M60" s="109"/>
    </row>
    <row r="61" spans="1:13" x14ac:dyDescent="0.2">
      <c r="A61" s="12" t="s">
        <v>12</v>
      </c>
      <c r="C61" s="109"/>
      <c r="E61" s="109"/>
      <c r="G61" s="109"/>
      <c r="I61" s="109"/>
      <c r="K61" s="109"/>
      <c r="M61" s="109"/>
    </row>
    <row r="62" spans="1:13" x14ac:dyDescent="0.2">
      <c r="A62" s="3" t="s">
        <v>3744</v>
      </c>
      <c r="B62" s="19">
        <v>0</v>
      </c>
      <c r="C62" s="109"/>
      <c r="D62" s="19">
        <v>0</v>
      </c>
      <c r="E62" s="109"/>
      <c r="F62" s="19">
        <v>0</v>
      </c>
      <c r="G62" s="109"/>
      <c r="H62" s="19">
        <v>0</v>
      </c>
      <c r="I62" s="109"/>
      <c r="J62" s="19">
        <f t="shared" ref="J62:J71" si="6">H62+F62+D62</f>
        <v>0</v>
      </c>
      <c r="K62" s="109"/>
      <c r="L62" s="19">
        <f t="shared" ref="L62:L71" si="7">J62+B62</f>
        <v>0</v>
      </c>
      <c r="M62" s="109"/>
    </row>
    <row r="63" spans="1:13" x14ac:dyDescent="0.2">
      <c r="A63" s="3" t="s">
        <v>3745</v>
      </c>
      <c r="B63" s="19">
        <v>0</v>
      </c>
      <c r="C63" s="109"/>
      <c r="D63" s="19">
        <v>0</v>
      </c>
      <c r="E63" s="109"/>
      <c r="F63" s="19">
        <v>0</v>
      </c>
      <c r="G63" s="109"/>
      <c r="H63" s="19">
        <v>0</v>
      </c>
      <c r="I63" s="109"/>
      <c r="J63" s="19">
        <f t="shared" si="6"/>
        <v>0</v>
      </c>
      <c r="K63" s="109"/>
      <c r="L63" s="19">
        <f t="shared" si="7"/>
        <v>0</v>
      </c>
      <c r="M63" s="109"/>
    </row>
    <row r="64" spans="1:13" x14ac:dyDescent="0.2">
      <c r="A64" s="3" t="s">
        <v>3746</v>
      </c>
      <c r="B64" s="19">
        <v>741959.52999999968</v>
      </c>
      <c r="C64" s="109"/>
      <c r="D64" s="19">
        <v>-299991.86</v>
      </c>
      <c r="E64" s="109"/>
      <c r="F64" s="19">
        <v>0</v>
      </c>
      <c r="G64" s="109"/>
      <c r="H64" s="19">
        <v>0</v>
      </c>
      <c r="I64" s="109"/>
      <c r="J64" s="19">
        <f>H64+F64+D64</f>
        <v>-299991.86</v>
      </c>
      <c r="K64" s="109"/>
      <c r="L64" s="19">
        <f>J64+B64</f>
        <v>441967.66999999969</v>
      </c>
      <c r="M64" s="109"/>
    </row>
    <row r="65" spans="1:13" x14ac:dyDescent="0.2">
      <c r="A65" s="3" t="s">
        <v>3747</v>
      </c>
      <c r="B65" s="19">
        <v>823328.56999999983</v>
      </c>
      <c r="C65" s="109"/>
      <c r="D65" s="19">
        <v>-309668.5</v>
      </c>
      <c r="E65" s="109"/>
      <c r="F65" s="19">
        <v>0</v>
      </c>
      <c r="G65" s="109"/>
      <c r="H65" s="19">
        <v>0</v>
      </c>
      <c r="I65" s="109"/>
      <c r="J65" s="19">
        <f t="shared" si="6"/>
        <v>-309668.5</v>
      </c>
      <c r="K65" s="109"/>
      <c r="L65" s="19">
        <f t="shared" si="7"/>
        <v>513660.06999999983</v>
      </c>
      <c r="M65" s="109"/>
    </row>
    <row r="66" spans="1:13" x14ac:dyDescent="0.2">
      <c r="A66" s="3" t="s">
        <v>3748</v>
      </c>
      <c r="B66" s="19">
        <v>0</v>
      </c>
      <c r="C66" s="109"/>
      <c r="D66" s="19">
        <v>0</v>
      </c>
      <c r="E66" s="109"/>
      <c r="F66" s="19">
        <v>0</v>
      </c>
      <c r="G66" s="109"/>
      <c r="H66" s="19">
        <v>0</v>
      </c>
      <c r="I66" s="109"/>
      <c r="J66" s="19">
        <f t="shared" si="6"/>
        <v>0</v>
      </c>
      <c r="K66" s="109"/>
      <c r="L66" s="19">
        <f t="shared" si="7"/>
        <v>0</v>
      </c>
      <c r="M66" s="109"/>
    </row>
    <row r="67" spans="1:13" x14ac:dyDescent="0.2">
      <c r="A67" s="3" t="s">
        <v>3749</v>
      </c>
      <c r="B67" s="19">
        <v>207117.05999999997</v>
      </c>
      <c r="C67" s="109"/>
      <c r="D67" s="19">
        <v>479686.21</v>
      </c>
      <c r="E67" s="109"/>
      <c r="F67" s="19">
        <v>0</v>
      </c>
      <c r="G67" s="109"/>
      <c r="H67" s="19">
        <v>0</v>
      </c>
      <c r="I67" s="109"/>
      <c r="J67" s="19">
        <f t="shared" si="6"/>
        <v>479686.21</v>
      </c>
      <c r="K67" s="109"/>
      <c r="L67" s="19">
        <f t="shared" si="7"/>
        <v>686803.27</v>
      </c>
      <c r="M67" s="109"/>
    </row>
    <row r="68" spans="1:13" x14ac:dyDescent="0.2">
      <c r="A68" s="3" t="s">
        <v>3750</v>
      </c>
      <c r="B68" s="19">
        <v>0</v>
      </c>
      <c r="C68" s="109"/>
      <c r="D68" s="19">
        <v>2473.33</v>
      </c>
      <c r="E68" s="109"/>
      <c r="F68" s="19">
        <v>0</v>
      </c>
      <c r="G68" s="109"/>
      <c r="H68" s="19">
        <v>0</v>
      </c>
      <c r="I68" s="109"/>
      <c r="J68" s="19">
        <f t="shared" si="6"/>
        <v>2473.33</v>
      </c>
      <c r="K68" s="109"/>
      <c r="L68" s="19">
        <f t="shared" si="7"/>
        <v>2473.33</v>
      </c>
      <c r="M68" s="109"/>
    </row>
    <row r="69" spans="1:13" x14ac:dyDescent="0.2">
      <c r="A69" s="3" t="s">
        <v>3751</v>
      </c>
      <c r="B69" s="26">
        <v>7.1622707764618099E-12</v>
      </c>
      <c r="C69" s="118"/>
      <c r="D69" s="19">
        <v>0</v>
      </c>
      <c r="E69" s="118"/>
      <c r="F69" s="19">
        <v>0</v>
      </c>
      <c r="G69" s="118"/>
      <c r="H69" s="19">
        <v>0</v>
      </c>
      <c r="I69" s="118"/>
      <c r="J69" s="26">
        <f t="shared" si="6"/>
        <v>0</v>
      </c>
      <c r="K69" s="118"/>
      <c r="L69" s="26">
        <f t="shared" si="7"/>
        <v>7.1622707764618099E-12</v>
      </c>
      <c r="M69" s="118"/>
    </row>
    <row r="70" spans="1:13" x14ac:dyDescent="0.2">
      <c r="A70" s="3" t="s">
        <v>3752</v>
      </c>
      <c r="B70" s="26">
        <v>213502.34</v>
      </c>
      <c r="C70" s="118"/>
      <c r="D70" s="19">
        <v>35743.17</v>
      </c>
      <c r="E70" s="118"/>
      <c r="F70" s="19">
        <v>0</v>
      </c>
      <c r="G70" s="118"/>
      <c r="H70" s="19">
        <v>0</v>
      </c>
      <c r="I70" s="118"/>
      <c r="J70" s="26">
        <f t="shared" si="6"/>
        <v>35743.17</v>
      </c>
      <c r="K70" s="118"/>
      <c r="L70" s="26">
        <f t="shared" si="7"/>
        <v>249245.51</v>
      </c>
      <c r="M70" s="118"/>
    </row>
    <row r="71" spans="1:13" x14ac:dyDescent="0.2">
      <c r="A71" s="3" t="s">
        <v>3755</v>
      </c>
      <c r="B71" s="27">
        <v>228359.26999999996</v>
      </c>
      <c r="C71" s="118"/>
      <c r="D71" s="19">
        <v>-147895.76999999999</v>
      </c>
      <c r="E71" s="118"/>
      <c r="F71" s="19">
        <v>0</v>
      </c>
      <c r="G71" s="118"/>
      <c r="H71" s="19">
        <v>0</v>
      </c>
      <c r="I71" s="118"/>
      <c r="J71" s="27">
        <f t="shared" si="6"/>
        <v>-147895.76999999999</v>
      </c>
      <c r="K71" s="118"/>
      <c r="L71" s="27">
        <f t="shared" si="7"/>
        <v>80463.499999999971</v>
      </c>
      <c r="M71" s="118"/>
    </row>
    <row r="72" spans="1:13" x14ac:dyDescent="0.2">
      <c r="B72" s="26">
        <f>SUM(B62:B71)</f>
        <v>2214266.7699999996</v>
      </c>
      <c r="C72" s="118"/>
      <c r="D72" s="32">
        <f>SUM(D62:D71)</f>
        <v>-239653.41999999995</v>
      </c>
      <c r="E72" s="118"/>
      <c r="F72" s="32">
        <f>SUM(F62:F71)</f>
        <v>0</v>
      </c>
      <c r="G72" s="118"/>
      <c r="H72" s="32">
        <f>SUM(H62:H71)</f>
        <v>0</v>
      </c>
      <c r="I72" s="118"/>
      <c r="J72" s="26">
        <f>SUM(J62:J71)</f>
        <v>-239653.41999999995</v>
      </c>
      <c r="K72" s="118"/>
      <c r="L72" s="26">
        <f>SUM(L62:L71)</f>
        <v>1974613.3499999996</v>
      </c>
      <c r="M72" s="118"/>
    </row>
    <row r="73" spans="1:13" x14ac:dyDescent="0.2">
      <c r="B73" s="26"/>
      <c r="C73" s="118"/>
      <c r="D73" s="26"/>
      <c r="E73" s="118"/>
      <c r="F73" s="26"/>
      <c r="G73" s="118"/>
      <c r="H73" s="26"/>
      <c r="I73" s="118"/>
      <c r="J73" s="26"/>
      <c r="K73" s="118"/>
      <c r="L73" s="26"/>
      <c r="M73" s="118"/>
    </row>
    <row r="74" spans="1:13" x14ac:dyDescent="0.2">
      <c r="A74" s="12" t="s">
        <v>13</v>
      </c>
      <c r="B74" s="26"/>
      <c r="C74" s="118"/>
      <c r="D74" s="26"/>
      <c r="E74" s="118"/>
      <c r="F74" s="26"/>
      <c r="G74" s="118"/>
      <c r="H74" s="26"/>
      <c r="I74" s="118"/>
      <c r="J74" s="26"/>
      <c r="K74" s="118"/>
      <c r="L74" s="26"/>
      <c r="M74" s="109"/>
    </row>
    <row r="75" spans="1:13" x14ac:dyDescent="0.2">
      <c r="A75" s="3" t="s">
        <v>3756</v>
      </c>
      <c r="B75" s="26">
        <v>0</v>
      </c>
      <c r="C75" s="118"/>
      <c r="D75" s="19">
        <v>8200</v>
      </c>
      <c r="E75" s="118"/>
      <c r="F75" s="19">
        <v>0</v>
      </c>
      <c r="G75" s="118"/>
      <c r="H75" s="19">
        <v>0</v>
      </c>
      <c r="I75" s="118"/>
      <c r="J75" s="26">
        <f>H75+F75+D75</f>
        <v>8200</v>
      </c>
      <c r="K75" s="118"/>
      <c r="L75" s="26">
        <f>J75+B75</f>
        <v>8200</v>
      </c>
      <c r="M75" s="109"/>
    </row>
    <row r="76" spans="1:13" x14ac:dyDescent="0.2">
      <c r="A76" s="3" t="s">
        <v>3762</v>
      </c>
      <c r="B76" s="26">
        <v>0</v>
      </c>
      <c r="C76" s="118"/>
      <c r="D76" s="19">
        <v>0</v>
      </c>
      <c r="E76" s="118"/>
      <c r="F76" s="19">
        <v>0</v>
      </c>
      <c r="G76" s="118"/>
      <c r="H76" s="19">
        <v>0</v>
      </c>
      <c r="I76" s="118"/>
      <c r="J76" s="26">
        <f>H76+F76+D76</f>
        <v>0</v>
      </c>
      <c r="K76" s="118"/>
      <c r="L76" s="26">
        <f>J76+B76</f>
        <v>0</v>
      </c>
      <c r="M76" s="109"/>
    </row>
    <row r="77" spans="1:13" x14ac:dyDescent="0.2">
      <c r="A77" s="3" t="s">
        <v>3763</v>
      </c>
      <c r="B77" s="26">
        <v>0</v>
      </c>
      <c r="C77" s="118"/>
      <c r="D77" s="19">
        <v>0</v>
      </c>
      <c r="E77" s="118"/>
      <c r="F77" s="19">
        <v>0</v>
      </c>
      <c r="G77" s="118"/>
      <c r="H77" s="19">
        <v>0</v>
      </c>
      <c r="I77" s="118"/>
      <c r="J77" s="26">
        <f>H77+F77+D77</f>
        <v>0</v>
      </c>
      <c r="K77" s="118"/>
      <c r="L77" s="26">
        <f>J77+B77</f>
        <v>0</v>
      </c>
      <c r="M77" s="109"/>
    </row>
    <row r="78" spans="1:13" x14ac:dyDescent="0.2">
      <c r="A78" s="3" t="s">
        <v>3764</v>
      </c>
      <c r="B78" s="26">
        <v>0</v>
      </c>
      <c r="C78" s="118"/>
      <c r="D78" s="19">
        <v>0</v>
      </c>
      <c r="E78" s="118"/>
      <c r="F78" s="19">
        <v>0</v>
      </c>
      <c r="G78" s="118"/>
      <c r="H78" s="19">
        <v>0</v>
      </c>
      <c r="I78" s="118"/>
      <c r="J78" s="26">
        <f>H78+F78+D78</f>
        <v>0</v>
      </c>
      <c r="K78" s="118"/>
      <c r="L78" s="26">
        <f>J78+B78</f>
        <v>0</v>
      </c>
      <c r="M78" s="109"/>
    </row>
    <row r="79" spans="1:13" x14ac:dyDescent="0.2">
      <c r="A79" s="3" t="s">
        <v>3765</v>
      </c>
      <c r="B79" s="26">
        <v>0</v>
      </c>
      <c r="C79" s="118"/>
      <c r="D79" s="19">
        <v>0</v>
      </c>
      <c r="E79" s="118"/>
      <c r="F79" s="19">
        <v>0</v>
      </c>
      <c r="G79" s="118"/>
      <c r="H79" s="19">
        <v>0</v>
      </c>
      <c r="I79" s="118"/>
      <c r="J79" s="26">
        <f>H79+F79+D79</f>
        <v>0</v>
      </c>
      <c r="K79" s="118"/>
      <c r="L79" s="26">
        <f>J79+B79</f>
        <v>0</v>
      </c>
      <c r="M79" s="109"/>
    </row>
    <row r="80" spans="1:13" x14ac:dyDescent="0.2">
      <c r="B80" s="32">
        <f>SUM(B75:B79)</f>
        <v>0</v>
      </c>
      <c r="C80" s="118"/>
      <c r="D80" s="32">
        <f>SUM(D75:D79)</f>
        <v>8200</v>
      </c>
      <c r="E80" s="118"/>
      <c r="F80" s="32">
        <f>SUM(F75:F79)</f>
        <v>0</v>
      </c>
      <c r="G80" s="118"/>
      <c r="H80" s="32">
        <f>SUM(H75:H79)</f>
        <v>0</v>
      </c>
      <c r="I80" s="32"/>
      <c r="J80" s="32">
        <f>SUM(J75:J79)</f>
        <v>8200</v>
      </c>
      <c r="K80" s="118"/>
      <c r="L80" s="32">
        <f>SUM(L75:L79)</f>
        <v>8200</v>
      </c>
      <c r="M80" s="109"/>
    </row>
    <row r="81" spans="1:13" x14ac:dyDescent="0.2">
      <c r="A81" s="12" t="s">
        <v>18</v>
      </c>
      <c r="C81" s="109"/>
      <c r="E81" s="109"/>
      <c r="G81" s="109"/>
      <c r="I81" s="109"/>
      <c r="K81" s="109"/>
      <c r="M81" s="109"/>
    </row>
    <row r="82" spans="1:13" x14ac:dyDescent="0.2">
      <c r="A82" s="3" t="s">
        <v>3790</v>
      </c>
      <c r="B82" s="19">
        <v>0</v>
      </c>
      <c r="C82" s="109"/>
      <c r="D82" s="19">
        <v>0</v>
      </c>
      <c r="E82" s="109"/>
      <c r="F82" s="19">
        <v>0</v>
      </c>
      <c r="G82" s="109"/>
      <c r="H82" s="19">
        <v>0</v>
      </c>
      <c r="I82" s="109"/>
      <c r="J82" s="26">
        <f>H82+F82+D82</f>
        <v>0</v>
      </c>
      <c r="K82" s="109"/>
      <c r="L82" s="26">
        <f>J82+B82</f>
        <v>0</v>
      </c>
      <c r="M82" s="109"/>
    </row>
    <row r="83" spans="1:13" x14ac:dyDescent="0.2">
      <c r="A83" s="3" t="s">
        <v>3791</v>
      </c>
      <c r="B83" s="26">
        <v>97243.639999999839</v>
      </c>
      <c r="C83" s="118"/>
      <c r="D83" s="19">
        <v>-64365.38</v>
      </c>
      <c r="E83" s="118"/>
      <c r="F83" s="19">
        <v>0</v>
      </c>
      <c r="G83" s="118"/>
      <c r="H83" s="19">
        <v>0</v>
      </c>
      <c r="I83" s="118"/>
      <c r="J83" s="26">
        <f>H83+F83+D83</f>
        <v>-64365.38</v>
      </c>
      <c r="K83" s="118"/>
      <c r="L83" s="26">
        <f>J83+B83</f>
        <v>32878.259999999842</v>
      </c>
      <c r="M83" s="118"/>
    </row>
    <row r="84" spans="1:13" x14ac:dyDescent="0.2">
      <c r="A84" s="3" t="s">
        <v>3794</v>
      </c>
      <c r="B84" s="26">
        <v>0</v>
      </c>
      <c r="C84" s="118"/>
      <c r="D84" s="19">
        <v>1890184.03</v>
      </c>
      <c r="E84" s="118"/>
      <c r="F84" s="19">
        <v>0</v>
      </c>
      <c r="G84" s="118"/>
      <c r="H84" s="19">
        <v>0</v>
      </c>
      <c r="I84" s="118"/>
      <c r="J84" s="26">
        <f>H84+F84+D84</f>
        <v>1890184.03</v>
      </c>
      <c r="K84" s="118"/>
      <c r="L84" s="26">
        <f>J84+B84</f>
        <v>1890184.03</v>
      </c>
      <c r="M84" s="118"/>
    </row>
    <row r="85" spans="1:13" x14ac:dyDescent="0.2">
      <c r="A85" s="3" t="s">
        <v>3795</v>
      </c>
      <c r="B85" s="27">
        <v>0</v>
      </c>
      <c r="C85" s="118"/>
      <c r="D85" s="19">
        <v>1070893.77</v>
      </c>
      <c r="E85" s="118"/>
      <c r="F85" s="19">
        <v>0</v>
      </c>
      <c r="G85" s="118"/>
      <c r="H85" s="19">
        <v>0</v>
      </c>
      <c r="I85" s="118"/>
      <c r="J85" s="27">
        <f>H85+F85+D85</f>
        <v>1070893.77</v>
      </c>
      <c r="K85" s="118"/>
      <c r="L85" s="27">
        <f>J85+B85</f>
        <v>1070893.77</v>
      </c>
      <c r="M85" s="118"/>
    </row>
    <row r="86" spans="1:13" x14ac:dyDescent="0.2">
      <c r="B86" s="26">
        <f>SUM(B82:B85)</f>
        <v>97243.639999999839</v>
      </c>
      <c r="C86" s="118"/>
      <c r="D86" s="32">
        <f>SUM(D82:D85)</f>
        <v>2896712.42</v>
      </c>
      <c r="E86" s="118"/>
      <c r="F86" s="32">
        <f>SUM(F82:F85)</f>
        <v>0</v>
      </c>
      <c r="G86" s="118"/>
      <c r="H86" s="32">
        <f>SUM(H82:H85)</f>
        <v>0</v>
      </c>
      <c r="I86" s="118"/>
      <c r="J86" s="26">
        <f>SUM(J82:J85)</f>
        <v>2896712.42</v>
      </c>
      <c r="K86" s="118"/>
      <c r="L86" s="26">
        <f>SUM(L82:L85)</f>
        <v>2993956.0599999996</v>
      </c>
      <c r="M86" s="118"/>
    </row>
    <row r="87" spans="1:13" x14ac:dyDescent="0.2">
      <c r="B87" s="26"/>
      <c r="C87" s="118"/>
      <c r="D87" s="26"/>
      <c r="E87" s="118"/>
      <c r="F87" s="26"/>
      <c r="G87" s="118"/>
      <c r="H87" s="26"/>
      <c r="I87" s="118"/>
      <c r="J87" s="26"/>
      <c r="K87" s="118"/>
      <c r="L87" s="26"/>
      <c r="M87" s="118"/>
    </row>
    <row r="88" spans="1:13" x14ac:dyDescent="0.2">
      <c r="C88" s="109"/>
      <c r="E88" s="109"/>
      <c r="G88" s="109"/>
      <c r="I88" s="109"/>
      <c r="K88" s="109"/>
      <c r="M88" s="109"/>
    </row>
    <row r="89" spans="1:13" x14ac:dyDescent="0.2">
      <c r="A89" s="12" t="s">
        <v>3807</v>
      </c>
      <c r="B89" s="31">
        <f>B72+B86+B80</f>
        <v>2311510.4099999992</v>
      </c>
      <c r="C89" s="118"/>
      <c r="D89" s="31">
        <f>D72+D86+D80</f>
        <v>2665259</v>
      </c>
      <c r="E89" s="118"/>
      <c r="F89" s="31">
        <f>F72+F86+F80</f>
        <v>0</v>
      </c>
      <c r="G89" s="118"/>
      <c r="H89" s="31">
        <f>H72+H86+H80</f>
        <v>0</v>
      </c>
      <c r="I89" s="118"/>
      <c r="J89" s="31">
        <f>J72+J86+J80</f>
        <v>2665259</v>
      </c>
      <c r="K89" s="118"/>
      <c r="L89" s="31">
        <f>L72+L86+L80</f>
        <v>4976769.4099999992</v>
      </c>
      <c r="M89" s="109"/>
    </row>
    <row r="90" spans="1:13" x14ac:dyDescent="0.2">
      <c r="A90" s="12"/>
      <c r="B90" s="26"/>
      <c r="C90" s="109"/>
      <c r="D90" s="26"/>
      <c r="E90" s="109"/>
      <c r="F90" s="26"/>
      <c r="G90" s="109"/>
      <c r="H90" s="26"/>
      <c r="I90" s="109"/>
      <c r="J90" s="26"/>
      <c r="K90" s="109"/>
      <c r="L90" s="26"/>
      <c r="M90" s="109"/>
    </row>
    <row r="91" spans="1:13" x14ac:dyDescent="0.2">
      <c r="C91" s="109"/>
      <c r="E91" s="109"/>
      <c r="G91" s="109"/>
      <c r="I91" s="109"/>
      <c r="K91" s="109"/>
      <c r="M91" s="109"/>
    </row>
    <row r="92" spans="1:13" ht="13.5" thickBot="1" x14ac:dyDescent="0.25">
      <c r="A92" s="12" t="s">
        <v>3802</v>
      </c>
      <c r="B92" s="33">
        <f>B89+B57</f>
        <v>156513190.30000001</v>
      </c>
      <c r="C92" s="109"/>
      <c r="D92" s="33">
        <f>D89+D57</f>
        <v>8362261.7699999996</v>
      </c>
      <c r="E92" s="109"/>
      <c r="F92" s="33">
        <f>F89+F57</f>
        <v>-3261247.4299999997</v>
      </c>
      <c r="G92" s="109"/>
      <c r="H92" s="33">
        <f>H89+H57</f>
        <v>-181460.24999999991</v>
      </c>
      <c r="I92" s="109"/>
      <c r="J92" s="33">
        <f>J89+J57</f>
        <v>4919554.09</v>
      </c>
      <c r="K92" s="109"/>
      <c r="L92" s="33">
        <f>L89+L57</f>
        <v>161432744.38999999</v>
      </c>
      <c r="M92" s="109"/>
    </row>
    <row r="93" spans="1:13" ht="13.5" thickTop="1" x14ac:dyDescent="0.2">
      <c r="C93" s="109"/>
      <c r="E93" s="109"/>
      <c r="G93" s="109"/>
      <c r="I93" s="109"/>
      <c r="K93" s="109"/>
      <c r="M93" s="109"/>
    </row>
    <row r="94" spans="1:13" x14ac:dyDescent="0.2">
      <c r="C94" s="109"/>
      <c r="E94" s="109"/>
      <c r="G94" s="109"/>
      <c r="I94" s="109"/>
      <c r="K94" s="109"/>
      <c r="M94" s="109"/>
    </row>
    <row r="95" spans="1:13" x14ac:dyDescent="0.2">
      <c r="C95" s="109"/>
      <c r="E95" s="109"/>
      <c r="G95" s="109"/>
      <c r="I95" s="109"/>
      <c r="K95" s="109"/>
      <c r="M95" s="109"/>
    </row>
    <row r="96" spans="1:13" x14ac:dyDescent="0.2">
      <c r="C96" s="109"/>
      <c r="E96" s="109"/>
      <c r="G96" s="109"/>
      <c r="I96" s="109"/>
      <c r="K96" s="109"/>
      <c r="M96" s="109"/>
    </row>
    <row r="97" spans="3:13" x14ac:dyDescent="0.2">
      <c r="C97" s="109"/>
      <c r="E97" s="109"/>
      <c r="G97" s="109"/>
      <c r="I97" s="109"/>
      <c r="K97" s="109"/>
      <c r="M97" s="109"/>
    </row>
    <row r="98" spans="3:13" x14ac:dyDescent="0.2">
      <c r="C98" s="109"/>
      <c r="E98" s="109"/>
      <c r="G98" s="109"/>
      <c r="I98" s="109"/>
      <c r="K98" s="109"/>
      <c r="M98" s="109"/>
    </row>
    <row r="99" spans="3:13" x14ac:dyDescent="0.2">
      <c r="C99" s="109"/>
      <c r="E99" s="109"/>
      <c r="G99" s="109"/>
      <c r="I99" s="109"/>
      <c r="K99" s="109"/>
      <c r="M99" s="109"/>
    </row>
    <row r="100" spans="3:13" x14ac:dyDescent="0.2">
      <c r="C100" s="109"/>
      <c r="E100" s="109"/>
      <c r="G100" s="109"/>
      <c r="I100" s="109"/>
      <c r="K100" s="109"/>
      <c r="M100" s="109"/>
    </row>
    <row r="101" spans="3:13" x14ac:dyDescent="0.2">
      <c r="C101" s="109"/>
      <c r="E101" s="109"/>
      <c r="G101" s="109"/>
      <c r="I101" s="109"/>
      <c r="K101" s="109"/>
      <c r="M101" s="109"/>
    </row>
    <row r="102" spans="3:13" x14ac:dyDescent="0.2">
      <c r="C102" s="109"/>
      <c r="E102" s="109"/>
      <c r="G102" s="109"/>
      <c r="I102" s="109"/>
      <c r="K102" s="109"/>
      <c r="M102" s="109"/>
    </row>
    <row r="103" spans="3:13" x14ac:dyDescent="0.2">
      <c r="C103" s="109"/>
      <c r="E103" s="109"/>
      <c r="G103" s="109"/>
      <c r="I103" s="109"/>
      <c r="K103" s="109"/>
      <c r="M103" s="109"/>
    </row>
    <row r="104" spans="3:13" x14ac:dyDescent="0.2">
      <c r="C104" s="109"/>
      <c r="E104" s="109"/>
      <c r="G104" s="109"/>
      <c r="I104" s="109"/>
      <c r="K104" s="109"/>
      <c r="M104" s="109"/>
    </row>
    <row r="105" spans="3:13" x14ac:dyDescent="0.2">
      <c r="C105" s="109"/>
      <c r="E105" s="109"/>
      <c r="G105" s="109"/>
      <c r="I105" s="109"/>
      <c r="K105" s="109"/>
      <c r="M105" s="109"/>
    </row>
    <row r="106" spans="3:13" x14ac:dyDescent="0.2">
      <c r="C106" s="109"/>
      <c r="E106" s="109"/>
      <c r="G106" s="109"/>
      <c r="I106" s="109"/>
      <c r="K106" s="109"/>
      <c r="M106" s="109"/>
    </row>
    <row r="107" spans="3:13" x14ac:dyDescent="0.2">
      <c r="C107" s="109"/>
      <c r="E107" s="109"/>
      <c r="G107" s="109"/>
      <c r="I107" s="109"/>
      <c r="K107" s="109"/>
      <c r="M107" s="109"/>
    </row>
    <row r="108" spans="3:13" x14ac:dyDescent="0.2">
      <c r="C108" s="109"/>
      <c r="E108" s="109"/>
      <c r="G108" s="109"/>
      <c r="I108" s="109"/>
      <c r="K108" s="109"/>
      <c r="M108" s="109"/>
    </row>
    <row r="109" spans="3:13" x14ac:dyDescent="0.2">
      <c r="C109" s="109"/>
      <c r="E109" s="109"/>
      <c r="G109" s="109"/>
      <c r="I109" s="109"/>
      <c r="K109" s="109"/>
      <c r="M109" s="109"/>
    </row>
    <row r="110" spans="3:13" x14ac:dyDescent="0.2">
      <c r="C110" s="109"/>
      <c r="E110" s="109"/>
      <c r="G110" s="109"/>
      <c r="I110" s="109"/>
      <c r="K110" s="109"/>
      <c r="M110" s="109"/>
    </row>
    <row r="111" spans="3:13" x14ac:dyDescent="0.2">
      <c r="C111" s="109"/>
      <c r="E111" s="109"/>
      <c r="G111" s="109"/>
      <c r="I111" s="109"/>
      <c r="K111" s="109"/>
      <c r="M111" s="109"/>
    </row>
    <row r="112" spans="3:13" x14ac:dyDescent="0.2">
      <c r="C112" s="109"/>
      <c r="E112" s="109"/>
      <c r="G112" s="109"/>
      <c r="I112" s="109"/>
      <c r="K112" s="109"/>
      <c r="M112" s="109"/>
    </row>
    <row r="113" spans="3:13" x14ac:dyDescent="0.2">
      <c r="C113" s="109"/>
      <c r="E113" s="109"/>
      <c r="G113" s="109"/>
      <c r="I113" s="109"/>
      <c r="K113" s="109"/>
      <c r="M113" s="109"/>
    </row>
    <row r="114" spans="3:13" x14ac:dyDescent="0.2">
      <c r="C114" s="109"/>
      <c r="E114" s="109"/>
      <c r="G114" s="109"/>
      <c r="I114" s="109"/>
      <c r="K114" s="109"/>
      <c r="M114" s="109"/>
    </row>
    <row r="115" spans="3:13" x14ac:dyDescent="0.2">
      <c r="C115" s="109"/>
      <c r="E115" s="109"/>
      <c r="G115" s="109"/>
      <c r="I115" s="109"/>
      <c r="K115" s="109"/>
      <c r="M115" s="109"/>
    </row>
    <row r="116" spans="3:13" x14ac:dyDescent="0.2">
      <c r="C116" s="109"/>
      <c r="E116" s="109"/>
      <c r="G116" s="109"/>
      <c r="I116" s="109"/>
      <c r="K116" s="109"/>
      <c r="M116" s="109"/>
    </row>
    <row r="117" spans="3:13" x14ac:dyDescent="0.2">
      <c r="C117" s="109"/>
      <c r="E117" s="109"/>
      <c r="G117" s="109"/>
      <c r="I117" s="109"/>
      <c r="K117" s="109"/>
      <c r="M117" s="109"/>
    </row>
    <row r="118" spans="3:13" x14ac:dyDescent="0.2">
      <c r="C118" s="109"/>
      <c r="E118" s="109"/>
      <c r="G118" s="109"/>
      <c r="I118" s="109"/>
      <c r="K118" s="109"/>
      <c r="M118" s="109"/>
    </row>
    <row r="119" spans="3:13" x14ac:dyDescent="0.2">
      <c r="C119" s="109"/>
      <c r="E119" s="109"/>
      <c r="G119" s="109"/>
      <c r="I119" s="109"/>
      <c r="K119" s="109"/>
      <c r="M119" s="109"/>
    </row>
    <row r="120" spans="3:13" x14ac:dyDescent="0.2">
      <c r="C120" s="109"/>
      <c r="E120" s="109"/>
      <c r="G120" s="109"/>
      <c r="I120" s="109"/>
      <c r="K120" s="109"/>
      <c r="M120" s="109"/>
    </row>
    <row r="121" spans="3:13" x14ac:dyDescent="0.2">
      <c r="C121" s="109"/>
      <c r="E121" s="109"/>
      <c r="G121" s="109"/>
      <c r="I121" s="109"/>
      <c r="K121" s="109"/>
      <c r="M121" s="109"/>
    </row>
    <row r="122" spans="3:13" x14ac:dyDescent="0.2">
      <c r="C122" s="109"/>
      <c r="E122" s="109"/>
      <c r="G122" s="109"/>
      <c r="I122" s="109"/>
      <c r="K122" s="109"/>
      <c r="M122" s="109"/>
    </row>
    <row r="123" spans="3:13" x14ac:dyDescent="0.2">
      <c r="C123" s="109"/>
      <c r="E123" s="109"/>
      <c r="G123" s="109"/>
      <c r="I123" s="109"/>
      <c r="K123" s="109"/>
      <c r="M123" s="109"/>
    </row>
    <row r="124" spans="3:13" x14ac:dyDescent="0.2">
      <c r="C124" s="109"/>
      <c r="E124" s="109"/>
      <c r="G124" s="109"/>
      <c r="I124" s="109"/>
      <c r="K124" s="109"/>
      <c r="M124" s="109"/>
    </row>
    <row r="125" spans="3:13" x14ac:dyDescent="0.2">
      <c r="C125" s="109"/>
      <c r="E125" s="109"/>
      <c r="G125" s="109"/>
      <c r="I125" s="109"/>
      <c r="K125" s="109"/>
      <c r="M125" s="109"/>
    </row>
    <row r="126" spans="3:13" x14ac:dyDescent="0.2">
      <c r="C126" s="109"/>
      <c r="E126" s="109"/>
      <c r="G126" s="109"/>
      <c r="I126" s="109"/>
      <c r="K126" s="109"/>
      <c r="M126" s="109"/>
    </row>
    <row r="127" spans="3:13" x14ac:dyDescent="0.2">
      <c r="C127" s="109"/>
      <c r="E127" s="109"/>
      <c r="G127" s="109"/>
      <c r="I127" s="109"/>
      <c r="K127" s="109"/>
      <c r="M127" s="109"/>
    </row>
    <row r="128" spans="3:13" x14ac:dyDescent="0.2">
      <c r="C128" s="109"/>
      <c r="E128" s="109"/>
      <c r="G128" s="109"/>
      <c r="I128" s="109"/>
      <c r="K128" s="109"/>
      <c r="M128" s="109"/>
    </row>
    <row r="129" spans="3:13" x14ac:dyDescent="0.2">
      <c r="C129" s="109"/>
      <c r="E129" s="109"/>
      <c r="G129" s="109"/>
      <c r="I129" s="109"/>
      <c r="K129" s="109"/>
      <c r="M129" s="109"/>
    </row>
    <row r="130" spans="3:13" x14ac:dyDescent="0.2">
      <c r="C130" s="109"/>
      <c r="E130" s="109"/>
      <c r="G130" s="109"/>
      <c r="I130" s="109"/>
      <c r="K130" s="109"/>
      <c r="M130" s="109"/>
    </row>
    <row r="131" spans="3:13" x14ac:dyDescent="0.2">
      <c r="C131" s="109"/>
      <c r="E131" s="109"/>
      <c r="G131" s="109"/>
      <c r="I131" s="109"/>
      <c r="K131" s="109"/>
      <c r="M131" s="109"/>
    </row>
    <row r="132" spans="3:13" x14ac:dyDescent="0.2">
      <c r="C132" s="109"/>
      <c r="E132" s="109"/>
      <c r="G132" s="109"/>
      <c r="I132" s="109"/>
      <c r="K132" s="109"/>
      <c r="M132" s="109"/>
    </row>
    <row r="133" spans="3:13" x14ac:dyDescent="0.2">
      <c r="C133" s="109"/>
      <c r="E133" s="109"/>
      <c r="G133" s="109"/>
      <c r="I133" s="109"/>
      <c r="K133" s="109"/>
      <c r="M133" s="109"/>
    </row>
    <row r="134" spans="3:13" x14ac:dyDescent="0.2">
      <c r="C134" s="109"/>
      <c r="E134" s="109"/>
      <c r="G134" s="109"/>
      <c r="I134" s="109"/>
      <c r="K134" s="109"/>
      <c r="M134" s="109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1" manualBreakCount="1">
    <brk id="4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N1"/>
    </sheetView>
  </sheetViews>
  <sheetFormatPr defaultRowHeight="12.75" x14ac:dyDescent="0.2"/>
  <cols>
    <col min="1" max="1" width="38.1406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2.7109375" style="3" customWidth="1"/>
    <col min="14" max="14" width="14" style="3" customWidth="1"/>
    <col min="15" max="15" width="2.140625" style="3" customWidth="1"/>
    <col min="16" max="16" width="23.140625" style="3" bestFit="1" customWidth="1"/>
    <col min="17" max="16384" width="9.140625" style="3"/>
  </cols>
  <sheetData>
    <row r="1" spans="1:16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87" customFormat="1" ht="15.75" x14ac:dyDescent="0.25">
      <c r="A2" s="103" t="s">
        <v>3808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x14ac:dyDescent="0.2">
      <c r="A4" s="88"/>
      <c r="B4" s="72"/>
      <c r="C4" s="88"/>
      <c r="D4" s="72"/>
      <c r="E4" s="88"/>
      <c r="F4" s="72"/>
      <c r="G4" s="88"/>
      <c r="H4" s="72"/>
      <c r="I4" s="88"/>
      <c r="J4" s="72"/>
      <c r="K4" s="88"/>
      <c r="L4" s="72"/>
    </row>
    <row r="5" spans="1:16" x14ac:dyDescent="0.2">
      <c r="A5" s="88"/>
      <c r="B5" s="72"/>
      <c r="C5" s="88"/>
      <c r="D5" s="72"/>
      <c r="E5" s="88"/>
      <c r="F5" s="72"/>
      <c r="G5" s="88"/>
      <c r="H5" s="72"/>
      <c r="I5" s="88"/>
      <c r="J5" s="72"/>
      <c r="K5" s="88"/>
      <c r="L5" s="72"/>
    </row>
    <row r="7" spans="1:16" x14ac:dyDescent="0.2">
      <c r="B7" s="25" t="s">
        <v>2</v>
      </c>
      <c r="H7" s="25" t="s">
        <v>3</v>
      </c>
      <c r="L7" s="25" t="s">
        <v>4</v>
      </c>
      <c r="P7" s="12" t="s">
        <v>3633</v>
      </c>
    </row>
    <row r="8" spans="1:16" x14ac:dyDescent="0.2">
      <c r="B8" s="10" t="s">
        <v>5</v>
      </c>
      <c r="D8" s="10" t="s">
        <v>6</v>
      </c>
      <c r="F8" s="10" t="s">
        <v>7</v>
      </c>
      <c r="H8" s="10" t="s">
        <v>8</v>
      </c>
      <c r="J8" s="10" t="s">
        <v>9</v>
      </c>
      <c r="L8" s="10" t="s">
        <v>5</v>
      </c>
      <c r="N8" s="10" t="s">
        <v>3635</v>
      </c>
      <c r="P8" s="10" t="s">
        <v>3636</v>
      </c>
    </row>
    <row r="9" spans="1:16" x14ac:dyDescent="0.2">
      <c r="A9" s="12" t="s">
        <v>3637</v>
      </c>
      <c r="B9" s="11"/>
      <c r="D9" s="11"/>
      <c r="F9" s="11"/>
      <c r="H9" s="11"/>
      <c r="J9" s="11"/>
      <c r="L9" s="11"/>
    </row>
    <row r="10" spans="1:16" x14ac:dyDescent="0.2">
      <c r="A10" s="12" t="s">
        <v>3638</v>
      </c>
    </row>
    <row r="11" spans="1:16" x14ac:dyDescent="0.2">
      <c r="A11" s="12" t="s">
        <v>12</v>
      </c>
    </row>
    <row r="12" spans="1:16" x14ac:dyDescent="0.2">
      <c r="A12" s="3" t="s">
        <v>146</v>
      </c>
      <c r="B12" s="14">
        <f>'TN_Cost by Plant Acct P12 (REG)'!B11</f>
        <v>2627.41</v>
      </c>
      <c r="C12" s="13"/>
      <c r="D12" s="14">
        <f>'TN_Cost by Plant Acct P12 (REG)'!D11</f>
        <v>0</v>
      </c>
      <c r="E12" s="13"/>
      <c r="F12" s="14">
        <f>'TN_Cost by Plant Acct P12 (REG)'!F11</f>
        <v>0</v>
      </c>
      <c r="G12" s="13"/>
      <c r="H12" s="14">
        <f>'TN_Cost by Plant Acct P12 (REG)'!H11</f>
        <v>0</v>
      </c>
      <c r="I12" s="13"/>
      <c r="J12" s="14">
        <f t="shared" ref="J12:J24" si="0">D12+F12+H12</f>
        <v>0</v>
      </c>
      <c r="K12" s="13"/>
      <c r="L12" s="14">
        <f t="shared" ref="L12:L24" si="1">J12+B12</f>
        <v>2627.41</v>
      </c>
      <c r="N12" s="15">
        <f>'TN_Res by Plant Acct P18(REG)'!R10</f>
        <v>-2469.1499999999992</v>
      </c>
      <c r="P12" s="15">
        <f>L12+N12</f>
        <v>158.26000000000067</v>
      </c>
    </row>
    <row r="13" spans="1:16" x14ac:dyDescent="0.2">
      <c r="A13" s="3" t="s">
        <v>147</v>
      </c>
      <c r="B13" s="14">
        <f>'TN_Cost by Plant Acct P12 (REG)'!B12</f>
        <v>2412.8200000000002</v>
      </c>
      <c r="C13" s="13"/>
      <c r="D13" s="14">
        <f>'TN_Cost by Plant Acct P12 (REG)'!D12</f>
        <v>0</v>
      </c>
      <c r="E13" s="13"/>
      <c r="F13" s="14">
        <f>'TN_Cost by Plant Acct P12 (REG)'!F12</f>
        <v>0</v>
      </c>
      <c r="G13" s="13"/>
      <c r="H13" s="14">
        <f>'TN_Cost by Plant Acct P12 (REG)'!H12</f>
        <v>0</v>
      </c>
      <c r="I13" s="13"/>
      <c r="J13" s="14">
        <f t="shared" si="0"/>
        <v>0</v>
      </c>
      <c r="K13" s="13"/>
      <c r="L13" s="14">
        <f t="shared" si="1"/>
        <v>2412.8200000000002</v>
      </c>
      <c r="N13" s="15">
        <v>0</v>
      </c>
      <c r="P13" s="15">
        <f t="shared" ref="P13:P24" si="2">L13+N13</f>
        <v>2412.8200000000002</v>
      </c>
    </row>
    <row r="14" spans="1:16" x14ac:dyDescent="0.2">
      <c r="A14" s="3" t="s">
        <v>148</v>
      </c>
      <c r="B14" s="14">
        <f>'TN_Cost by Plant Acct P12 (REG)'!B13</f>
        <v>2575.89</v>
      </c>
      <c r="C14" s="13"/>
      <c r="D14" s="14">
        <f>'TN_Cost by Plant Acct P12 (REG)'!D13</f>
        <v>0</v>
      </c>
      <c r="E14" s="13"/>
      <c r="F14" s="14">
        <f>'TN_Cost by Plant Acct P12 (REG)'!F13</f>
        <v>-30.76</v>
      </c>
      <c r="G14" s="13"/>
      <c r="H14" s="14">
        <f>'TN_Cost by Plant Acct P12 (REG)'!H13</f>
        <v>0</v>
      </c>
      <c r="I14" s="13"/>
      <c r="J14" s="14">
        <f t="shared" si="0"/>
        <v>-30.76</v>
      </c>
      <c r="K14" s="13"/>
      <c r="L14" s="14">
        <f t="shared" si="1"/>
        <v>2545.1299999999997</v>
      </c>
      <c r="N14" s="15">
        <f>'TN_Res by Plant Acct P18(REG)'!R11</f>
        <v>-2457.86</v>
      </c>
      <c r="P14" s="15">
        <f t="shared" si="2"/>
        <v>87.269999999999527</v>
      </c>
    </row>
    <row r="15" spans="1:16" x14ac:dyDescent="0.2">
      <c r="A15" s="3" t="s">
        <v>149</v>
      </c>
      <c r="B15" s="14">
        <f>'TN_Cost by Plant Acct P12 (REG)'!B14+'TN_Cost by Plant Acct P12 (REG)'!B38</f>
        <v>66887.25</v>
      </c>
      <c r="C15" s="13"/>
      <c r="D15" s="14">
        <f>'TN_Cost by Plant Acct P12 (REG)'!D14+'TN_Cost by Plant Acct P12 (REG)'!D38</f>
        <v>0</v>
      </c>
      <c r="E15" s="13"/>
      <c r="F15" s="14">
        <f>'TN_Cost by Plant Acct P12 (REG)'!F14+'TN_Cost by Plant Acct P12 (REG)'!F38</f>
        <v>-7.1</v>
      </c>
      <c r="G15" s="13"/>
      <c r="H15" s="14">
        <f>'TN_Cost by Plant Acct P12 (REG)'!H14+'TN_Cost by Plant Acct P12 (REG)'!H38</f>
        <v>0</v>
      </c>
      <c r="I15" s="13"/>
      <c r="J15" s="14">
        <f t="shared" si="0"/>
        <v>-7.1</v>
      </c>
      <c r="K15" s="13"/>
      <c r="L15" s="14">
        <f t="shared" si="1"/>
        <v>66880.149999999994</v>
      </c>
      <c r="N15" s="15">
        <f>'TN_Res by Plant Acct P18(REG)'!R12</f>
        <v>-34447.21</v>
      </c>
      <c r="P15" s="15">
        <f t="shared" si="2"/>
        <v>32432.939999999995</v>
      </c>
    </row>
    <row r="16" spans="1:16" x14ac:dyDescent="0.2">
      <c r="A16" s="3" t="s">
        <v>150</v>
      </c>
      <c r="B16" s="14">
        <f>'TN_Cost by Plant Acct P12 (REG)'!B15</f>
        <v>47785.56</v>
      </c>
      <c r="C16" s="13"/>
      <c r="D16" s="14">
        <f>'TN_Cost by Plant Acct P12 (REG)'!D15</f>
        <v>0</v>
      </c>
      <c r="E16" s="13"/>
      <c r="F16" s="14">
        <f>'TN_Cost by Plant Acct P12 (REG)'!F15</f>
        <v>0</v>
      </c>
      <c r="G16" s="13"/>
      <c r="H16" s="14">
        <f>'TN_Cost by Plant Acct P12 (REG)'!H15</f>
        <v>0</v>
      </c>
      <c r="I16" s="13"/>
      <c r="J16" s="14">
        <f t="shared" si="0"/>
        <v>0</v>
      </c>
      <c r="K16" s="13"/>
      <c r="L16" s="14">
        <f t="shared" si="1"/>
        <v>47785.56</v>
      </c>
      <c r="N16" s="15">
        <f>'TN_Res by Plant Acct P18(REG)'!R13</f>
        <v>-47643.489999999991</v>
      </c>
      <c r="P16" s="15">
        <f t="shared" si="2"/>
        <v>142.07000000000698</v>
      </c>
    </row>
    <row r="17" spans="1:16" x14ac:dyDescent="0.2">
      <c r="A17" s="3" t="s">
        <v>151</v>
      </c>
      <c r="B17" s="14">
        <f>'TN_Cost by Plant Acct P12 (REG)'!B16</f>
        <v>46763.22</v>
      </c>
      <c r="C17" s="13"/>
      <c r="D17" s="14">
        <f>'TN_Cost by Plant Acct P12 (REG)'!D16</f>
        <v>0</v>
      </c>
      <c r="E17" s="13"/>
      <c r="F17" s="14">
        <f>'TN_Cost by Plant Acct P12 (REG)'!F16</f>
        <v>0</v>
      </c>
      <c r="G17" s="13"/>
      <c r="H17" s="14">
        <f>'TN_Cost by Plant Acct P12 (REG)'!H16</f>
        <v>0</v>
      </c>
      <c r="I17" s="13"/>
      <c r="J17" s="14">
        <f t="shared" si="0"/>
        <v>0</v>
      </c>
      <c r="K17" s="13"/>
      <c r="L17" s="14">
        <f t="shared" si="1"/>
        <v>46763.22</v>
      </c>
      <c r="N17" s="15">
        <f>'TN_Res by Plant Acct P18(REG)'!R14</f>
        <v>-52663.220000000016</v>
      </c>
      <c r="P17" s="15">
        <f t="shared" si="2"/>
        <v>-5900.0000000000146</v>
      </c>
    </row>
    <row r="18" spans="1:16" x14ac:dyDescent="0.2">
      <c r="A18" s="3" t="s">
        <v>152</v>
      </c>
      <c r="B18" s="14">
        <f>'TN_Cost by Plant Acct P12 (REG)'!B17</f>
        <v>0</v>
      </c>
      <c r="C18" s="13"/>
      <c r="D18" s="14">
        <f>'TN_Cost by Plant Acct P12 (REG)'!D17</f>
        <v>0</v>
      </c>
      <c r="E18" s="13"/>
      <c r="F18" s="14">
        <f>'TN_Cost by Plant Acct P12 (REG)'!F17</f>
        <v>0</v>
      </c>
      <c r="G18" s="13"/>
      <c r="H18" s="14">
        <f>'TN_Cost by Plant Acct P12 (REG)'!H17</f>
        <v>0</v>
      </c>
      <c r="I18" s="13"/>
      <c r="J18" s="14">
        <f t="shared" si="0"/>
        <v>0</v>
      </c>
      <c r="K18" s="13"/>
      <c r="L18" s="14">
        <f t="shared" si="1"/>
        <v>0</v>
      </c>
      <c r="N18" s="15">
        <v>0</v>
      </c>
      <c r="P18" s="15">
        <f t="shared" si="2"/>
        <v>0</v>
      </c>
    </row>
    <row r="19" spans="1:16" x14ac:dyDescent="0.2">
      <c r="A19" s="3" t="s">
        <v>3809</v>
      </c>
      <c r="B19" s="14">
        <f>'TN_Cost by Plant Acct P12 (REG)'!B18</f>
        <v>0</v>
      </c>
      <c r="C19" s="13"/>
      <c r="D19" s="14">
        <f>'TN_Cost by Plant Acct P12 (REG)'!D18</f>
        <v>0</v>
      </c>
      <c r="E19" s="13"/>
      <c r="F19" s="14">
        <f>'TN_Cost by Plant Acct P12 (REG)'!F18</f>
        <v>0</v>
      </c>
      <c r="G19" s="13"/>
      <c r="H19" s="14">
        <f>'TN_Cost by Plant Acct P12 (REG)'!H18</f>
        <v>0</v>
      </c>
      <c r="I19" s="13"/>
      <c r="J19" s="14">
        <f t="shared" si="0"/>
        <v>0</v>
      </c>
      <c r="K19" s="13"/>
      <c r="L19" s="14">
        <f t="shared" si="1"/>
        <v>0</v>
      </c>
      <c r="N19" s="15">
        <v>0</v>
      </c>
      <c r="P19" s="15">
        <f t="shared" si="2"/>
        <v>0</v>
      </c>
    </row>
    <row r="20" spans="1:16" x14ac:dyDescent="0.2">
      <c r="A20" s="3" t="s">
        <v>154</v>
      </c>
      <c r="B20" s="14">
        <f>'TN_Cost by Plant Acct P12 (REG)'!B19</f>
        <v>3118.28</v>
      </c>
      <c r="C20" s="13"/>
      <c r="D20" s="14">
        <f>'TN_Cost by Plant Acct P12 (REG)'!D19</f>
        <v>0</v>
      </c>
      <c r="E20" s="13"/>
      <c r="F20" s="14">
        <f>'TN_Cost by Plant Acct P12 (REG)'!F19</f>
        <v>0</v>
      </c>
      <c r="G20" s="13"/>
      <c r="H20" s="14">
        <f>'TN_Cost by Plant Acct P12 (REG)'!H19</f>
        <v>0</v>
      </c>
      <c r="I20" s="13"/>
      <c r="J20" s="14">
        <f t="shared" si="0"/>
        <v>0</v>
      </c>
      <c r="K20" s="13"/>
      <c r="L20" s="14">
        <f t="shared" si="1"/>
        <v>3118.28</v>
      </c>
      <c r="N20" s="15">
        <f>'TN_Res by Plant Acct P18(REG)'!R17</f>
        <v>-5199.1099999999988</v>
      </c>
      <c r="P20" s="15">
        <f t="shared" si="2"/>
        <v>-2080.8299999999986</v>
      </c>
    </row>
    <row r="21" spans="1:16" x14ac:dyDescent="0.2">
      <c r="A21" s="3" t="s">
        <v>155</v>
      </c>
      <c r="B21" s="14">
        <f>'TN_Cost by Plant Acct P12 (REG)'!B20</f>
        <v>254.62</v>
      </c>
      <c r="C21" s="13"/>
      <c r="D21" s="14">
        <f>'TN_Cost by Plant Acct P12 (REG)'!D20</f>
        <v>0</v>
      </c>
      <c r="E21" s="13"/>
      <c r="F21" s="14">
        <f>'TN_Cost by Plant Acct P12 (REG)'!F20</f>
        <v>0</v>
      </c>
      <c r="G21" s="13"/>
      <c r="H21" s="14">
        <f>'TN_Cost by Plant Acct P12 (REG)'!H20</f>
        <v>0</v>
      </c>
      <c r="I21" s="13"/>
      <c r="J21" s="14">
        <f t="shared" si="0"/>
        <v>0</v>
      </c>
      <c r="K21" s="13"/>
      <c r="L21" s="14">
        <f t="shared" si="1"/>
        <v>254.62</v>
      </c>
      <c r="N21" s="15">
        <f>'TN_Res by Plant Acct P18(REG)'!R18</f>
        <v>-1149.1500000000003</v>
      </c>
      <c r="P21" s="15">
        <f t="shared" si="2"/>
        <v>-894.53000000000031</v>
      </c>
    </row>
    <row r="22" spans="1:16" x14ac:dyDescent="0.2">
      <c r="A22" s="3" t="s">
        <v>156</v>
      </c>
      <c r="B22" s="14">
        <f>'TN_Cost by Plant Acct P12 (REG)'!B21</f>
        <v>4199.21</v>
      </c>
      <c r="C22" s="13"/>
      <c r="D22" s="14">
        <f>'TN_Cost by Plant Acct P12 (REG)'!D21</f>
        <v>0</v>
      </c>
      <c r="E22" s="13"/>
      <c r="F22" s="14">
        <f>'TN_Cost by Plant Acct P12 (REG)'!F21</f>
        <v>0</v>
      </c>
      <c r="G22" s="13"/>
      <c r="H22" s="14">
        <f>'TN_Cost by Plant Acct P12 (REG)'!H21</f>
        <v>-3898.61</v>
      </c>
      <c r="I22" s="13"/>
      <c r="J22" s="14">
        <f t="shared" si="0"/>
        <v>-3898.61</v>
      </c>
      <c r="K22" s="13"/>
      <c r="L22" s="14">
        <f t="shared" si="1"/>
        <v>300.59999999999991</v>
      </c>
      <c r="N22" s="15">
        <f>'TN_Res by Plant Acct P18(REG)'!R19</f>
        <v>-82.419999999999732</v>
      </c>
      <c r="P22" s="15">
        <f t="shared" si="2"/>
        <v>218.18000000000018</v>
      </c>
    </row>
    <row r="23" spans="1:16" x14ac:dyDescent="0.2">
      <c r="A23" s="43" t="s">
        <v>158</v>
      </c>
      <c r="B23" s="14">
        <f>'TN_Cost by Plant Acct P12 (REG)'!B22</f>
        <v>0</v>
      </c>
      <c r="C23" s="13"/>
      <c r="D23" s="14">
        <f>'TN_Cost by Plant Acct P12 (REG)'!D22</f>
        <v>0</v>
      </c>
      <c r="E23" s="13"/>
      <c r="F23" s="14">
        <f>'TN_Cost by Plant Acct P12 (REG)'!F22</f>
        <v>0</v>
      </c>
      <c r="G23" s="13"/>
      <c r="H23" s="14">
        <f>'TN_Cost by Plant Acct P12 (REG)'!H22</f>
        <v>3898.61</v>
      </c>
      <c r="I23" s="13"/>
      <c r="J23" s="14">
        <f t="shared" si="0"/>
        <v>3898.61</v>
      </c>
      <c r="K23" s="13"/>
      <c r="L23" s="14">
        <f t="shared" si="1"/>
        <v>3898.61</v>
      </c>
      <c r="N23" s="15">
        <f>'TN_Res by Plant Acct P18(REG)'!R20</f>
        <v>-346.58000000000004</v>
      </c>
      <c r="P23" s="15">
        <f t="shared" si="2"/>
        <v>3552.03</v>
      </c>
    </row>
    <row r="24" spans="1:16" x14ac:dyDescent="0.2">
      <c r="A24" s="3" t="s">
        <v>159</v>
      </c>
      <c r="B24" s="16">
        <f>'TN_Cost by Plant Acct P12 (REG)'!B23</f>
        <v>0</v>
      </c>
      <c r="C24" s="94"/>
      <c r="D24" s="16">
        <f>'TN_Cost by Plant Acct P12 (REG)'!D23</f>
        <v>0</v>
      </c>
      <c r="E24" s="94"/>
      <c r="F24" s="16">
        <f>'TN_Cost by Plant Acct P12 (REG)'!F23</f>
        <v>0</v>
      </c>
      <c r="G24" s="94"/>
      <c r="H24" s="16">
        <f>'TN_Cost by Plant Acct P12 (REG)'!H23</f>
        <v>0</v>
      </c>
      <c r="I24" s="94"/>
      <c r="J24" s="16">
        <f t="shared" si="0"/>
        <v>0</v>
      </c>
      <c r="K24" s="94"/>
      <c r="L24" s="16">
        <f t="shared" si="1"/>
        <v>0</v>
      </c>
      <c r="M24" s="59"/>
      <c r="N24" s="91">
        <f>'TN_Res by Plant Acct P18(REG)'!R21</f>
        <v>0</v>
      </c>
      <c r="P24" s="91">
        <f t="shared" si="2"/>
        <v>0</v>
      </c>
    </row>
    <row r="25" spans="1:16" x14ac:dyDescent="0.2">
      <c r="B25" s="17">
        <f>SUM(B12:B24)</f>
        <v>176624.25999999998</v>
      </c>
      <c r="C25" s="94"/>
      <c r="D25" s="17">
        <f>SUM(D12:D24)</f>
        <v>0</v>
      </c>
      <c r="E25" s="94"/>
      <c r="F25" s="17">
        <f>SUM(F12:F24)</f>
        <v>-37.86</v>
      </c>
      <c r="G25" s="94"/>
      <c r="H25" s="17">
        <f>SUM(H12:H24)</f>
        <v>0</v>
      </c>
      <c r="I25" s="94"/>
      <c r="J25" s="17">
        <f>SUM(J12:J24)</f>
        <v>-37.860000000000127</v>
      </c>
      <c r="K25" s="94"/>
      <c r="L25" s="17">
        <f>SUM(L12:L24)</f>
        <v>176586.39999999997</v>
      </c>
      <c r="M25" s="59"/>
      <c r="N25" s="17">
        <f>SUM(N12:N24)</f>
        <v>-146458.18999999997</v>
      </c>
      <c r="P25" s="17">
        <f>SUM(P12:P24)</f>
        <v>30128.209999999988</v>
      </c>
    </row>
    <row r="26" spans="1:16" x14ac:dyDescent="0.2">
      <c r="B26" s="17"/>
      <c r="C26" s="94"/>
      <c r="D26" s="17"/>
      <c r="E26" s="94"/>
      <c r="F26" s="17"/>
      <c r="G26" s="94"/>
      <c r="H26" s="17"/>
      <c r="I26" s="94"/>
      <c r="J26" s="17"/>
      <c r="K26" s="94"/>
      <c r="L26" s="17"/>
      <c r="M26" s="59"/>
    </row>
    <row r="27" spans="1:16" x14ac:dyDescent="0.2">
      <c r="A27" s="12" t="s">
        <v>18</v>
      </c>
      <c r="B27" s="17"/>
      <c r="C27" s="94"/>
      <c r="D27" s="17"/>
      <c r="E27" s="94"/>
      <c r="F27" s="17"/>
      <c r="G27" s="94"/>
      <c r="H27" s="17"/>
      <c r="I27" s="94"/>
      <c r="J27" s="17"/>
      <c r="K27" s="94"/>
      <c r="L27" s="17"/>
      <c r="M27" s="59"/>
    </row>
    <row r="28" spans="1:16" x14ac:dyDescent="0.2">
      <c r="A28" s="3" t="s">
        <v>221</v>
      </c>
      <c r="B28" s="17">
        <f>'TN_Cost by Plant Acct P12 (REG)'!B27</f>
        <v>439.53</v>
      </c>
      <c r="C28" s="94"/>
      <c r="D28" s="17">
        <f>'TN_Cost by Plant Acct P12 (REG)'!D27</f>
        <v>0</v>
      </c>
      <c r="E28" s="94"/>
      <c r="F28" s="17">
        <f>'TN_Cost by Plant Acct P12 (REG)'!F27</f>
        <v>0</v>
      </c>
      <c r="G28" s="94"/>
      <c r="H28" s="17">
        <f>'TN_Cost by Plant Acct P12 (REG)'!H27</f>
        <v>0</v>
      </c>
      <c r="I28" s="94"/>
      <c r="J28" s="17">
        <f>D28+F28+H28</f>
        <v>0</v>
      </c>
      <c r="K28" s="94"/>
      <c r="L28" s="17">
        <f>J28+B28</f>
        <v>439.53</v>
      </c>
      <c r="M28" s="59"/>
      <c r="N28" s="15">
        <f>'TN_Res by Plant Acct P18(REG)'!R25</f>
        <v>-369.21999999999991</v>
      </c>
      <c r="P28" s="15">
        <f>L28+N28</f>
        <v>70.310000000000059</v>
      </c>
    </row>
    <row r="29" spans="1:16" x14ac:dyDescent="0.2">
      <c r="A29" s="3" t="s">
        <v>229</v>
      </c>
      <c r="B29" s="17">
        <f>'TN_Cost by Plant Acct P12 (REG)'!B28</f>
        <v>125979</v>
      </c>
      <c r="C29" s="94"/>
      <c r="D29" s="17">
        <f>'TN_Cost by Plant Acct P12 (REG)'!D28</f>
        <v>0</v>
      </c>
      <c r="E29" s="94"/>
      <c r="F29" s="17">
        <f>'TN_Cost by Plant Acct P12 (REG)'!F28</f>
        <v>0</v>
      </c>
      <c r="G29" s="94"/>
      <c r="H29" s="17">
        <f>'TN_Cost by Plant Acct P12 (REG)'!H28</f>
        <v>0</v>
      </c>
      <c r="I29" s="94"/>
      <c r="J29" s="17">
        <f>D29+F29+H29</f>
        <v>0</v>
      </c>
      <c r="K29" s="94"/>
      <c r="L29" s="17">
        <f>J29+B29</f>
        <v>125979</v>
      </c>
      <c r="M29" s="59"/>
      <c r="N29" s="15">
        <f>'TN_Res by Plant Acct P18(REG)'!R26</f>
        <v>-89515.050000000017</v>
      </c>
      <c r="P29" s="15">
        <f>L29+N29</f>
        <v>36463.949999999983</v>
      </c>
    </row>
    <row r="30" spans="1:16" x14ac:dyDescent="0.2">
      <c r="A30" s="3" t="s">
        <v>230</v>
      </c>
      <c r="B30" s="16">
        <f>'TN_Cost by Plant Acct P12 (REG)'!B29</f>
        <v>78061.73</v>
      </c>
      <c r="C30" s="94"/>
      <c r="D30" s="16">
        <f>'TN_Cost by Plant Acct P12 (REG)'!D29</f>
        <v>0</v>
      </c>
      <c r="E30" s="94"/>
      <c r="F30" s="16">
        <f>'TN_Cost by Plant Acct P12 (REG)'!F29</f>
        <v>0</v>
      </c>
      <c r="G30" s="94"/>
      <c r="H30" s="16">
        <f>'TN_Cost by Plant Acct P12 (REG)'!H29</f>
        <v>0</v>
      </c>
      <c r="I30" s="94"/>
      <c r="J30" s="16">
        <f>D30+F30+H30</f>
        <v>0</v>
      </c>
      <c r="K30" s="94"/>
      <c r="L30" s="16">
        <f>J30+B30</f>
        <v>78061.73</v>
      </c>
      <c r="M30" s="59"/>
      <c r="N30" s="91">
        <f>'TN_Res by Plant Acct P18(REG)'!R27</f>
        <v>-53818.349999999991</v>
      </c>
      <c r="P30" s="91">
        <f>L30+N30</f>
        <v>24243.380000000005</v>
      </c>
    </row>
    <row r="31" spans="1:16" x14ac:dyDescent="0.2">
      <c r="B31" s="17">
        <f>SUM(B28:B30)</f>
        <v>204480.26</v>
      </c>
      <c r="C31" s="94"/>
      <c r="D31" s="17">
        <f>SUM(D28:D30)</f>
        <v>0</v>
      </c>
      <c r="E31" s="94"/>
      <c r="F31" s="17">
        <f>SUM(F28:F30)</f>
        <v>0</v>
      </c>
      <c r="G31" s="94"/>
      <c r="H31" s="17">
        <f>SUM(H28:H30)</f>
        <v>0</v>
      </c>
      <c r="I31" s="94"/>
      <c r="J31" s="17">
        <f>SUM(J28:J30)</f>
        <v>0</v>
      </c>
      <c r="K31" s="94"/>
      <c r="L31" s="17">
        <f>SUM(L28:L30)</f>
        <v>204480.26</v>
      </c>
      <c r="M31" s="59"/>
      <c r="N31" s="17">
        <f>SUM(N28:N30)</f>
        <v>-143702.62</v>
      </c>
      <c r="P31" s="17">
        <f>SUM(P28:P30)</f>
        <v>60777.639999999985</v>
      </c>
    </row>
    <row r="32" spans="1:16" x14ac:dyDescent="0.2">
      <c r="B32" s="17"/>
      <c r="C32" s="94"/>
      <c r="D32" s="17"/>
      <c r="E32" s="94"/>
      <c r="F32" s="17"/>
      <c r="G32" s="94"/>
      <c r="H32" s="17"/>
      <c r="I32" s="94"/>
      <c r="J32" s="17"/>
      <c r="K32" s="94"/>
      <c r="L32" s="17"/>
      <c r="M32" s="59"/>
    </row>
    <row r="33" spans="1:16" x14ac:dyDescent="0.2">
      <c r="C33" s="13"/>
      <c r="E33" s="13"/>
      <c r="G33" s="13"/>
      <c r="I33" s="13"/>
      <c r="K33" s="13"/>
    </row>
    <row r="34" spans="1:16" ht="13.5" thickBot="1" x14ac:dyDescent="0.25">
      <c r="A34" s="12" t="s">
        <v>3810</v>
      </c>
      <c r="B34" s="78">
        <f>B31+B25</f>
        <v>381104.52</v>
      </c>
      <c r="C34" s="13"/>
      <c r="D34" s="78">
        <f>D31+D25</f>
        <v>0</v>
      </c>
      <c r="E34" s="13"/>
      <c r="F34" s="78">
        <f>F31+F25</f>
        <v>-37.86</v>
      </c>
      <c r="G34" s="13"/>
      <c r="H34" s="78">
        <f>H31+H25</f>
        <v>0</v>
      </c>
      <c r="I34" s="13"/>
      <c r="J34" s="78">
        <f>J31+J25</f>
        <v>-37.860000000000127</v>
      </c>
      <c r="K34" s="13"/>
      <c r="L34" s="78">
        <f>L31+L25</f>
        <v>381066.66</v>
      </c>
      <c r="N34" s="78">
        <f>N31+N25</f>
        <v>-290160.80999999994</v>
      </c>
      <c r="P34" s="78">
        <f>P31+P25</f>
        <v>90905.849999999977</v>
      </c>
    </row>
    <row r="35" spans="1:16" ht="13.5" thickTop="1" x14ac:dyDescent="0.2">
      <c r="C35" s="13"/>
      <c r="E35" s="13"/>
      <c r="G35" s="13"/>
      <c r="I35" s="13"/>
      <c r="K35" s="13"/>
    </row>
    <row r="36" spans="1:16" x14ac:dyDescent="0.2">
      <c r="C36" s="13"/>
      <c r="E36" s="13"/>
      <c r="G36" s="13"/>
      <c r="I36" s="13"/>
      <c r="K36" s="13"/>
    </row>
    <row r="37" spans="1:16" x14ac:dyDescent="0.2">
      <c r="C37" s="13"/>
      <c r="E37" s="13"/>
      <c r="G37" s="13"/>
      <c r="I37" s="13"/>
      <c r="K37" s="13"/>
    </row>
    <row r="38" spans="1:16" x14ac:dyDescent="0.2">
      <c r="C38" s="13"/>
      <c r="E38" s="13"/>
      <c r="G38" s="13"/>
      <c r="I38" s="13"/>
      <c r="K38" s="13"/>
    </row>
    <row r="39" spans="1:16" x14ac:dyDescent="0.2">
      <c r="C39" s="13"/>
      <c r="E39" s="13"/>
      <c r="G39" s="13"/>
      <c r="I39" s="13"/>
      <c r="K39" s="13"/>
    </row>
    <row r="40" spans="1:16" x14ac:dyDescent="0.2">
      <c r="C40" s="13"/>
      <c r="E40" s="13"/>
      <c r="G40" s="13"/>
      <c r="I40" s="13"/>
      <c r="K40" s="13"/>
    </row>
  </sheetData>
  <mergeCells count="3">
    <mergeCell ref="A1:P1"/>
    <mergeCell ref="A2:P2"/>
    <mergeCell ref="A3:P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M46"/>
  <sheetViews>
    <sheetView workbookViewId="0">
      <pane xSplit="1" ySplit="8" topLeftCell="B9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41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2" s="87" customFormat="1" ht="15.75" x14ac:dyDescent="0.25">
      <c r="A1" s="103" t="s">
        <v>36</v>
      </c>
      <c r="B1" s="104"/>
      <c r="C1" s="103"/>
      <c r="D1" s="104"/>
      <c r="E1" s="103"/>
      <c r="F1" s="104"/>
      <c r="G1" s="103"/>
      <c r="H1" s="104"/>
      <c r="I1" s="103"/>
      <c r="J1" s="104"/>
      <c r="K1" s="103"/>
      <c r="L1" s="104"/>
    </row>
    <row r="2" spans="1:12" s="87" customFormat="1" ht="15.75" x14ac:dyDescent="0.25">
      <c r="A2" s="103" t="s">
        <v>3811</v>
      </c>
      <c r="B2" s="104"/>
      <c r="C2" s="103"/>
      <c r="D2" s="104"/>
      <c r="E2" s="103"/>
      <c r="F2" s="104"/>
      <c r="G2" s="103"/>
      <c r="H2" s="104"/>
      <c r="I2" s="103"/>
      <c r="J2" s="104"/>
      <c r="K2" s="103"/>
      <c r="L2" s="104"/>
    </row>
    <row r="3" spans="1:12" x14ac:dyDescent="0.2">
      <c r="A3" s="97" t="str">
        <f>'KU_Summary - Cost - P1 (REG)'!A3:N3</f>
        <v>DECEMBER 2017</v>
      </c>
      <c r="B3" s="117"/>
      <c r="C3" s="97"/>
      <c r="D3" s="117"/>
      <c r="E3" s="97"/>
      <c r="F3" s="117"/>
      <c r="G3" s="97"/>
      <c r="H3" s="117"/>
      <c r="I3" s="97"/>
      <c r="J3" s="117"/>
      <c r="K3" s="97"/>
      <c r="L3" s="117"/>
    </row>
    <row r="4" spans="1:12" x14ac:dyDescent="0.2">
      <c r="A4" s="88"/>
      <c r="B4" s="72"/>
      <c r="C4" s="88"/>
      <c r="D4" s="72"/>
      <c r="E4" s="88"/>
      <c r="F4" s="72"/>
      <c r="G4" s="88"/>
      <c r="H4" s="72"/>
      <c r="I4" s="88"/>
      <c r="J4" s="72"/>
      <c r="K4" s="88"/>
      <c r="L4" s="72"/>
    </row>
    <row r="6" spans="1:12" x14ac:dyDescent="0.2">
      <c r="B6" s="25" t="s">
        <v>2</v>
      </c>
      <c r="H6" s="25" t="s">
        <v>3</v>
      </c>
      <c r="L6" s="25" t="s">
        <v>4</v>
      </c>
    </row>
    <row r="7" spans="1:12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x14ac:dyDescent="0.2">
      <c r="B8" s="11"/>
      <c r="D8" s="11"/>
      <c r="F8" s="11"/>
      <c r="H8" s="11"/>
      <c r="J8" s="11"/>
      <c r="L8" s="11"/>
    </row>
    <row r="9" spans="1:12" x14ac:dyDescent="0.2">
      <c r="A9" s="12" t="s">
        <v>3804</v>
      </c>
    </row>
    <row r="10" spans="1:12" x14ac:dyDescent="0.2">
      <c r="A10" s="12" t="s">
        <v>12</v>
      </c>
    </row>
    <row r="11" spans="1:12" x14ac:dyDescent="0.2">
      <c r="A11" s="3" t="s">
        <v>3659</v>
      </c>
      <c r="B11" s="19">
        <v>2627.41</v>
      </c>
      <c r="C11" s="109"/>
      <c r="D11" s="19">
        <v>0</v>
      </c>
      <c r="E11" s="109"/>
      <c r="F11" s="19">
        <v>0</v>
      </c>
      <c r="G11" s="109"/>
      <c r="H11" s="19">
        <v>0</v>
      </c>
      <c r="I11" s="109"/>
      <c r="J11" s="19">
        <f t="shared" ref="J11:J23" si="0">+D11+F11+H11</f>
        <v>0</v>
      </c>
      <c r="K11" s="109"/>
      <c r="L11" s="19">
        <f>J11+B11</f>
        <v>2627.41</v>
      </c>
    </row>
    <row r="12" spans="1:12" x14ac:dyDescent="0.2">
      <c r="A12" s="3" t="s">
        <v>3660</v>
      </c>
      <c r="B12" s="19">
        <v>2412.8200000000002</v>
      </c>
      <c r="C12" s="109"/>
      <c r="D12" s="19">
        <v>0</v>
      </c>
      <c r="E12" s="109"/>
      <c r="F12" s="19">
        <v>0</v>
      </c>
      <c r="G12" s="109"/>
      <c r="H12" s="19">
        <v>0</v>
      </c>
      <c r="I12" s="109"/>
      <c r="J12" s="19">
        <f t="shared" si="0"/>
        <v>0</v>
      </c>
      <c r="K12" s="109"/>
      <c r="L12" s="19">
        <f t="shared" ref="L12:L23" si="1">J12+B12</f>
        <v>2412.8200000000002</v>
      </c>
    </row>
    <row r="13" spans="1:12" x14ac:dyDescent="0.2">
      <c r="A13" s="3" t="s">
        <v>3661</v>
      </c>
      <c r="B13" s="19">
        <v>2575.89</v>
      </c>
      <c r="C13" s="109"/>
      <c r="D13" s="19">
        <v>0</v>
      </c>
      <c r="E13" s="109"/>
      <c r="F13" s="19">
        <v>-30.76</v>
      </c>
      <c r="G13" s="109"/>
      <c r="H13" s="19">
        <v>0</v>
      </c>
      <c r="I13" s="109"/>
      <c r="J13" s="19">
        <f t="shared" si="0"/>
        <v>-30.76</v>
      </c>
      <c r="K13" s="109"/>
      <c r="L13" s="19">
        <f t="shared" si="1"/>
        <v>2545.1299999999997</v>
      </c>
    </row>
    <row r="14" spans="1:12" x14ac:dyDescent="0.2">
      <c r="A14" s="3" t="s">
        <v>3662</v>
      </c>
      <c r="B14" s="19">
        <v>66887.25</v>
      </c>
      <c r="C14" s="109"/>
      <c r="D14" s="19">
        <v>0</v>
      </c>
      <c r="E14" s="109"/>
      <c r="F14" s="19">
        <v>-7.1</v>
      </c>
      <c r="G14" s="109"/>
      <c r="H14" s="19">
        <v>0</v>
      </c>
      <c r="I14" s="109"/>
      <c r="J14" s="19">
        <f t="shared" si="0"/>
        <v>-7.1</v>
      </c>
      <c r="K14" s="109"/>
      <c r="L14" s="19">
        <f t="shared" si="1"/>
        <v>66880.149999999994</v>
      </c>
    </row>
    <row r="15" spans="1:12" x14ac:dyDescent="0.2">
      <c r="A15" s="3" t="s">
        <v>3663</v>
      </c>
      <c r="B15" s="19">
        <v>47785.56</v>
      </c>
      <c r="C15" s="109"/>
      <c r="D15" s="19">
        <v>0</v>
      </c>
      <c r="E15" s="109"/>
      <c r="F15" s="19">
        <v>0</v>
      </c>
      <c r="G15" s="109"/>
      <c r="H15" s="19">
        <v>0</v>
      </c>
      <c r="I15" s="109"/>
      <c r="J15" s="19">
        <f t="shared" si="0"/>
        <v>0</v>
      </c>
      <c r="K15" s="109"/>
      <c r="L15" s="19">
        <f t="shared" si="1"/>
        <v>47785.56</v>
      </c>
    </row>
    <row r="16" spans="1:12" x14ac:dyDescent="0.2">
      <c r="A16" s="3" t="s">
        <v>3664</v>
      </c>
      <c r="B16" s="19">
        <v>46763.22</v>
      </c>
      <c r="C16" s="109"/>
      <c r="D16" s="19">
        <v>0</v>
      </c>
      <c r="E16" s="109"/>
      <c r="F16" s="19">
        <v>0</v>
      </c>
      <c r="G16" s="109"/>
      <c r="H16" s="19">
        <v>0</v>
      </c>
      <c r="I16" s="109"/>
      <c r="J16" s="19">
        <f t="shared" si="0"/>
        <v>0</v>
      </c>
      <c r="K16" s="109"/>
      <c r="L16" s="19">
        <f t="shared" si="1"/>
        <v>46763.22</v>
      </c>
    </row>
    <row r="17" spans="1:13" x14ac:dyDescent="0.2">
      <c r="A17" s="3" t="s">
        <v>152</v>
      </c>
      <c r="B17" s="19">
        <v>0</v>
      </c>
      <c r="C17" s="109"/>
      <c r="D17" s="19">
        <v>0</v>
      </c>
      <c r="E17" s="109"/>
      <c r="F17" s="19">
        <v>0</v>
      </c>
      <c r="G17" s="109"/>
      <c r="H17" s="19">
        <v>0</v>
      </c>
      <c r="I17" s="109"/>
      <c r="J17" s="19">
        <f t="shared" si="0"/>
        <v>0</v>
      </c>
      <c r="K17" s="109"/>
      <c r="L17" s="19">
        <f t="shared" si="1"/>
        <v>0</v>
      </c>
    </row>
    <row r="18" spans="1:13" x14ac:dyDescent="0.2">
      <c r="A18" s="3" t="s">
        <v>3809</v>
      </c>
      <c r="B18" s="19">
        <v>0</v>
      </c>
      <c r="C18" s="109"/>
      <c r="D18" s="19">
        <v>0</v>
      </c>
      <c r="E18" s="109"/>
      <c r="F18" s="19">
        <v>0</v>
      </c>
      <c r="G18" s="109"/>
      <c r="H18" s="19">
        <v>0</v>
      </c>
      <c r="I18" s="109"/>
      <c r="J18" s="19">
        <f t="shared" si="0"/>
        <v>0</v>
      </c>
      <c r="K18" s="109"/>
      <c r="L18" s="19">
        <f t="shared" si="1"/>
        <v>0</v>
      </c>
    </row>
    <row r="19" spans="1:13" x14ac:dyDescent="0.2">
      <c r="A19" s="3" t="s">
        <v>3667</v>
      </c>
      <c r="B19" s="19">
        <v>3118.28</v>
      </c>
      <c r="C19" s="109"/>
      <c r="D19" s="19">
        <v>0</v>
      </c>
      <c r="E19" s="109"/>
      <c r="F19" s="19">
        <v>0</v>
      </c>
      <c r="G19" s="109"/>
      <c r="H19" s="19">
        <v>0</v>
      </c>
      <c r="I19" s="109"/>
      <c r="J19" s="19">
        <f t="shared" si="0"/>
        <v>0</v>
      </c>
      <c r="K19" s="109"/>
      <c r="L19" s="19">
        <f t="shared" si="1"/>
        <v>3118.28</v>
      </c>
    </row>
    <row r="20" spans="1:13" x14ac:dyDescent="0.2">
      <c r="A20" s="3" t="s">
        <v>3668</v>
      </c>
      <c r="B20" s="19">
        <v>254.62</v>
      </c>
      <c r="C20" s="109"/>
      <c r="D20" s="19">
        <v>0</v>
      </c>
      <c r="E20" s="109"/>
      <c r="F20" s="19">
        <v>0</v>
      </c>
      <c r="G20" s="109"/>
      <c r="H20" s="19">
        <v>0</v>
      </c>
      <c r="I20" s="109"/>
      <c r="J20" s="19">
        <f t="shared" si="0"/>
        <v>0</v>
      </c>
      <c r="K20" s="109"/>
      <c r="L20" s="19">
        <f t="shared" si="1"/>
        <v>254.62</v>
      </c>
    </row>
    <row r="21" spans="1:13" x14ac:dyDescent="0.2">
      <c r="A21" s="3" t="s">
        <v>3669</v>
      </c>
      <c r="B21" s="19">
        <v>4199.21</v>
      </c>
      <c r="C21" s="109"/>
      <c r="D21" s="19">
        <v>0</v>
      </c>
      <c r="E21" s="109"/>
      <c r="F21" s="19">
        <v>0</v>
      </c>
      <c r="G21" s="109"/>
      <c r="H21" s="19">
        <v>-3898.61</v>
      </c>
      <c r="I21" s="109"/>
      <c r="J21" s="19">
        <f t="shared" si="0"/>
        <v>-3898.61</v>
      </c>
      <c r="K21" s="109"/>
      <c r="L21" s="19">
        <f t="shared" si="1"/>
        <v>300.59999999999991</v>
      </c>
    </row>
    <row r="22" spans="1:13" x14ac:dyDescent="0.2">
      <c r="A22" s="43" t="s">
        <v>3671</v>
      </c>
      <c r="B22" s="19">
        <v>0</v>
      </c>
      <c r="C22" s="109"/>
      <c r="D22" s="19">
        <v>0</v>
      </c>
      <c r="E22" s="109"/>
      <c r="F22" s="19">
        <v>0</v>
      </c>
      <c r="G22" s="109"/>
      <c r="H22" s="19">
        <v>3898.61</v>
      </c>
      <c r="I22" s="109"/>
      <c r="J22" s="19">
        <f t="shared" si="0"/>
        <v>3898.61</v>
      </c>
      <c r="K22" s="109"/>
      <c r="L22" s="19">
        <f t="shared" si="1"/>
        <v>3898.61</v>
      </c>
    </row>
    <row r="23" spans="1:13" x14ac:dyDescent="0.2">
      <c r="A23" s="3" t="s">
        <v>3672</v>
      </c>
      <c r="B23" s="27">
        <v>0</v>
      </c>
      <c r="C23" s="118"/>
      <c r="D23" s="19">
        <v>0</v>
      </c>
      <c r="E23" s="118"/>
      <c r="F23" s="19">
        <v>0</v>
      </c>
      <c r="G23" s="118"/>
      <c r="H23" s="19">
        <v>0</v>
      </c>
      <c r="I23" s="118"/>
      <c r="J23" s="27">
        <f t="shared" si="0"/>
        <v>0</v>
      </c>
      <c r="K23" s="118"/>
      <c r="L23" s="27">
        <f t="shared" si="1"/>
        <v>0</v>
      </c>
    </row>
    <row r="24" spans="1:13" x14ac:dyDescent="0.2">
      <c r="B24" s="26">
        <f>SUM(B11:B23)</f>
        <v>176624.25999999998</v>
      </c>
      <c r="C24" s="118"/>
      <c r="D24" s="32">
        <f>SUM(D11:D23)</f>
        <v>0</v>
      </c>
      <c r="E24" s="118"/>
      <c r="F24" s="32">
        <f>SUM(F11:F23)</f>
        <v>-37.86</v>
      </c>
      <c r="G24" s="118"/>
      <c r="H24" s="32">
        <f>SUM(H11:H23)</f>
        <v>0</v>
      </c>
      <c r="I24" s="118"/>
      <c r="J24" s="26">
        <f>SUM(J11:J23)</f>
        <v>-37.860000000000127</v>
      </c>
      <c r="K24" s="118"/>
      <c r="L24" s="26">
        <f>SUM(L11:L23)</f>
        <v>176586.39999999997</v>
      </c>
      <c r="M24" s="59"/>
    </row>
    <row r="25" spans="1:13" x14ac:dyDescent="0.2">
      <c r="B25" s="26"/>
      <c r="C25" s="118"/>
      <c r="D25" s="26"/>
      <c r="E25" s="118"/>
      <c r="F25" s="26"/>
      <c r="G25" s="118"/>
      <c r="H25" s="26"/>
      <c r="I25" s="118"/>
      <c r="J25" s="26"/>
      <c r="K25" s="118"/>
      <c r="L25" s="26"/>
      <c r="M25" s="59"/>
    </row>
    <row r="26" spans="1:13" x14ac:dyDescent="0.2">
      <c r="A26" s="12" t="s">
        <v>18</v>
      </c>
      <c r="B26" s="26"/>
      <c r="C26" s="118"/>
      <c r="D26" s="26"/>
      <c r="E26" s="118"/>
      <c r="F26" s="26"/>
      <c r="G26" s="118"/>
      <c r="H26" s="26"/>
      <c r="I26" s="118"/>
      <c r="J26" s="26"/>
      <c r="K26" s="118"/>
      <c r="L26" s="26"/>
      <c r="M26" s="59"/>
    </row>
    <row r="27" spans="1:13" x14ac:dyDescent="0.2">
      <c r="A27" s="3" t="s">
        <v>3728</v>
      </c>
      <c r="B27" s="26">
        <v>439.53</v>
      </c>
      <c r="C27" s="118"/>
      <c r="D27" s="19">
        <v>0</v>
      </c>
      <c r="E27" s="118"/>
      <c r="F27" s="19">
        <v>0</v>
      </c>
      <c r="G27" s="118"/>
      <c r="H27" s="19">
        <v>0</v>
      </c>
      <c r="I27" s="118"/>
      <c r="J27" s="26">
        <f>D27+F27+H27</f>
        <v>0</v>
      </c>
      <c r="K27" s="118"/>
      <c r="L27" s="26">
        <f>J27+B27</f>
        <v>439.53</v>
      </c>
      <c r="M27" s="59"/>
    </row>
    <row r="28" spans="1:13" x14ac:dyDescent="0.2">
      <c r="A28" s="3" t="s">
        <v>3736</v>
      </c>
      <c r="B28" s="26">
        <v>125979</v>
      </c>
      <c r="C28" s="118"/>
      <c r="D28" s="19">
        <v>0</v>
      </c>
      <c r="E28" s="118"/>
      <c r="F28" s="19">
        <v>0</v>
      </c>
      <c r="G28" s="118"/>
      <c r="H28" s="19">
        <v>0</v>
      </c>
      <c r="I28" s="118"/>
      <c r="J28" s="26">
        <f>D28+F28+H28</f>
        <v>0</v>
      </c>
      <c r="K28" s="118"/>
      <c r="L28" s="26">
        <f>J28+B28</f>
        <v>125979</v>
      </c>
      <c r="M28" s="59"/>
    </row>
    <row r="29" spans="1:13" x14ac:dyDescent="0.2">
      <c r="A29" s="3" t="s">
        <v>3737</v>
      </c>
      <c r="B29" s="27">
        <v>78061.73</v>
      </c>
      <c r="C29" s="118"/>
      <c r="D29" s="19">
        <v>0</v>
      </c>
      <c r="E29" s="118"/>
      <c r="F29" s="19">
        <v>0</v>
      </c>
      <c r="G29" s="118"/>
      <c r="H29" s="19">
        <v>0</v>
      </c>
      <c r="I29" s="118"/>
      <c r="J29" s="27">
        <f>D29+F29+H29</f>
        <v>0</v>
      </c>
      <c r="K29" s="118"/>
      <c r="L29" s="27">
        <f>J29+B29</f>
        <v>78061.73</v>
      </c>
      <c r="M29" s="59"/>
    </row>
    <row r="30" spans="1:13" x14ac:dyDescent="0.2">
      <c r="B30" s="26">
        <f>SUM(B27:B29)</f>
        <v>204480.26</v>
      </c>
      <c r="C30" s="118"/>
      <c r="D30" s="32">
        <f>SUM(D27:D29)</f>
        <v>0</v>
      </c>
      <c r="E30" s="118"/>
      <c r="F30" s="32">
        <f>SUM(F27:F29)</f>
        <v>0</v>
      </c>
      <c r="G30" s="118"/>
      <c r="H30" s="32">
        <f>SUM(H27:H29)</f>
        <v>0</v>
      </c>
      <c r="I30" s="118"/>
      <c r="J30" s="26">
        <f>SUM(J27:J29)</f>
        <v>0</v>
      </c>
      <c r="K30" s="118"/>
      <c r="L30" s="26">
        <f>SUM(L27:L29)</f>
        <v>204480.26</v>
      </c>
      <c r="M30" s="59"/>
    </row>
    <row r="31" spans="1:13" x14ac:dyDescent="0.2">
      <c r="B31" s="26"/>
      <c r="C31" s="118"/>
      <c r="D31" s="26"/>
      <c r="E31" s="118"/>
      <c r="F31" s="26"/>
      <c r="G31" s="118"/>
      <c r="H31" s="26"/>
      <c r="I31" s="118"/>
      <c r="J31" s="26"/>
      <c r="K31" s="118"/>
      <c r="L31" s="26"/>
      <c r="M31" s="59"/>
    </row>
    <row r="32" spans="1:13" x14ac:dyDescent="0.2">
      <c r="C32" s="109"/>
      <c r="E32" s="109"/>
      <c r="G32" s="109"/>
      <c r="I32" s="109"/>
      <c r="K32" s="109"/>
    </row>
    <row r="33" spans="1:12" ht="13.5" thickBot="1" x14ac:dyDescent="0.25">
      <c r="A33" s="12" t="s">
        <v>3812</v>
      </c>
      <c r="B33" s="33">
        <f>B30+B24</f>
        <v>381104.52</v>
      </c>
      <c r="C33" s="109"/>
      <c r="D33" s="33">
        <f>D30+D24</f>
        <v>0</v>
      </c>
      <c r="E33" s="109"/>
      <c r="F33" s="33">
        <f>F30+F24</f>
        <v>-37.86</v>
      </c>
      <c r="G33" s="109"/>
      <c r="H33" s="33">
        <f>H30+H24</f>
        <v>0</v>
      </c>
      <c r="I33" s="109"/>
      <c r="J33" s="33">
        <f>J30+J24</f>
        <v>-37.860000000000127</v>
      </c>
      <c r="K33" s="109"/>
      <c r="L33" s="33">
        <f>L30+L24</f>
        <v>381066.66</v>
      </c>
    </row>
    <row r="34" spans="1:12" ht="13.5" thickTop="1" x14ac:dyDescent="0.2">
      <c r="C34" s="109"/>
      <c r="E34" s="109"/>
      <c r="G34" s="109"/>
      <c r="I34" s="109"/>
      <c r="K34" s="109"/>
    </row>
    <row r="35" spans="1:12" x14ac:dyDescent="0.2">
      <c r="C35" s="109"/>
      <c r="E35" s="109"/>
      <c r="G35" s="109"/>
      <c r="I35" s="109"/>
      <c r="K35" s="109"/>
    </row>
    <row r="36" spans="1:12" x14ac:dyDescent="0.2">
      <c r="A36" s="12" t="s">
        <v>3646</v>
      </c>
      <c r="C36" s="109"/>
      <c r="E36" s="109"/>
      <c r="G36" s="109"/>
      <c r="I36" s="109"/>
      <c r="K36" s="109"/>
    </row>
    <row r="37" spans="1:12" x14ac:dyDescent="0.2">
      <c r="A37" s="12" t="s">
        <v>12</v>
      </c>
      <c r="C37" s="109"/>
      <c r="E37" s="109"/>
      <c r="G37" s="109"/>
      <c r="I37" s="109"/>
      <c r="K37" s="109"/>
    </row>
    <row r="38" spans="1:12" x14ac:dyDescent="0.2">
      <c r="A38" s="3" t="s">
        <v>3745</v>
      </c>
      <c r="B38" s="27">
        <v>0</v>
      </c>
      <c r="C38" s="118"/>
      <c r="D38" s="19">
        <v>0</v>
      </c>
      <c r="E38" s="118"/>
      <c r="F38" s="19">
        <v>0</v>
      </c>
      <c r="G38" s="118"/>
      <c r="H38" s="19">
        <v>0</v>
      </c>
      <c r="I38" s="118"/>
      <c r="J38" s="27">
        <f>+D38+F38+H38</f>
        <v>0</v>
      </c>
      <c r="K38" s="118"/>
      <c r="L38" s="27">
        <f>J38+B38</f>
        <v>0</v>
      </c>
    </row>
    <row r="39" spans="1:12" x14ac:dyDescent="0.2">
      <c r="B39" s="26">
        <f>SUM(B38)</f>
        <v>0</v>
      </c>
      <c r="C39" s="118"/>
      <c r="D39" s="32">
        <f>SUM(D38)</f>
        <v>0</v>
      </c>
      <c r="E39" s="118"/>
      <c r="F39" s="32">
        <f>SUM(F38)</f>
        <v>0</v>
      </c>
      <c r="G39" s="118"/>
      <c r="H39" s="32">
        <f>SUM(H38)</f>
        <v>0</v>
      </c>
      <c r="I39" s="118"/>
      <c r="J39" s="26">
        <f>SUM(J38)</f>
        <v>0</v>
      </c>
      <c r="K39" s="118"/>
      <c r="L39" s="26">
        <f>SUM(L38)</f>
        <v>0</v>
      </c>
    </row>
    <row r="42" spans="1:12" ht="13.5" thickBot="1" x14ac:dyDescent="0.25">
      <c r="A42" s="12" t="s">
        <v>3653</v>
      </c>
      <c r="B42" s="33">
        <f>+B39</f>
        <v>0</v>
      </c>
      <c r="C42" s="109"/>
      <c r="D42" s="33">
        <f>+D39</f>
        <v>0</v>
      </c>
      <c r="E42" s="109"/>
      <c r="F42" s="33">
        <f>+F39</f>
        <v>0</v>
      </c>
      <c r="G42" s="109"/>
      <c r="H42" s="33">
        <f>+H39</f>
        <v>0</v>
      </c>
      <c r="I42" s="109"/>
      <c r="J42" s="33">
        <f>+J39</f>
        <v>0</v>
      </c>
      <c r="K42" s="109"/>
      <c r="L42" s="33">
        <f>+L39</f>
        <v>0</v>
      </c>
    </row>
    <row r="43" spans="1:12" ht="13.5" thickTop="1" x14ac:dyDescent="0.2"/>
    <row r="45" spans="1:12" ht="13.5" thickBot="1" x14ac:dyDescent="0.25">
      <c r="A45" s="12" t="s">
        <v>3810</v>
      </c>
      <c r="B45" s="33">
        <f>+B33+B42</f>
        <v>381104.52</v>
      </c>
      <c r="C45" s="116"/>
      <c r="D45" s="33">
        <f>+D33+D42</f>
        <v>0</v>
      </c>
      <c r="E45" s="116"/>
      <c r="F45" s="33">
        <f>+F33+F42</f>
        <v>-37.86</v>
      </c>
      <c r="G45" s="116"/>
      <c r="H45" s="33">
        <f>+H33+H42</f>
        <v>0</v>
      </c>
      <c r="I45" s="116"/>
      <c r="J45" s="33">
        <f>+J33+J42</f>
        <v>-37.860000000000127</v>
      </c>
      <c r="K45" s="116"/>
      <c r="L45" s="33">
        <f>+L33+L42</f>
        <v>381066.66</v>
      </c>
    </row>
    <row r="46" spans="1:12" ht="13.5" thickTop="1" x14ac:dyDescent="0.2"/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zoomScaleNormal="100" workbookViewId="0">
      <selection sqref="A1:N1"/>
    </sheetView>
  </sheetViews>
  <sheetFormatPr defaultRowHeight="12.75" x14ac:dyDescent="0.2"/>
  <cols>
    <col min="1" max="1" width="40.5703125" style="3" bestFit="1" customWidth="1"/>
    <col min="2" max="2" width="16.7109375" style="3" bestFit="1" customWidth="1"/>
    <col min="3" max="3" width="1.7109375" style="3" customWidth="1"/>
    <col min="4" max="4" width="14" style="3" bestFit="1" customWidth="1"/>
    <col min="5" max="5" width="2.140625" style="3" customWidth="1"/>
    <col min="6" max="6" width="13.140625" style="3" bestFit="1" customWidth="1"/>
    <col min="7" max="7" width="2" style="3" customWidth="1"/>
    <col min="8" max="8" width="16.140625" style="3" customWidth="1"/>
    <col min="9" max="9" width="2" style="3" customWidth="1"/>
    <col min="10" max="10" width="15.5703125" style="3" bestFit="1" customWidth="1"/>
    <col min="11" max="11" width="1.85546875" style="3" customWidth="1"/>
    <col min="12" max="12" width="16" style="3" bestFit="1" customWidth="1"/>
    <col min="13" max="16384" width="9.140625" style="3"/>
  </cols>
  <sheetData>
    <row r="1" spans="1:14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4" s="87" customFormat="1" ht="15.75" x14ac:dyDescent="0.25">
      <c r="A2" s="103" t="s">
        <v>3813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4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4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4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4" x14ac:dyDescent="0.2">
      <c r="B8" s="11"/>
      <c r="D8" s="11"/>
      <c r="F8" s="11"/>
      <c r="H8" s="11"/>
      <c r="J8" s="11"/>
      <c r="L8" s="11"/>
    </row>
    <row r="9" spans="1:14" x14ac:dyDescent="0.2">
      <c r="A9" s="12" t="s">
        <v>3814</v>
      </c>
    </row>
    <row r="10" spans="1:14" x14ac:dyDescent="0.2">
      <c r="A10" s="12" t="s">
        <v>12</v>
      </c>
    </row>
    <row r="11" spans="1:14" x14ac:dyDescent="0.2">
      <c r="A11" s="3" t="s">
        <v>147</v>
      </c>
      <c r="B11" s="17">
        <v>113882.25</v>
      </c>
      <c r="D11" s="17">
        <v>0</v>
      </c>
      <c r="F11" s="17">
        <v>0</v>
      </c>
      <c r="H11" s="17">
        <f>792599.21</f>
        <v>792599.21</v>
      </c>
      <c r="J11" s="26">
        <f>D11+F11+H11</f>
        <v>792599.21</v>
      </c>
      <c r="L11" s="26">
        <f>J11+B11</f>
        <v>906481.46</v>
      </c>
    </row>
    <row r="12" spans="1:14" x14ac:dyDescent="0.2">
      <c r="A12" s="3" t="s">
        <v>3815</v>
      </c>
      <c r="B12" s="17">
        <v>324087.84000000003</v>
      </c>
      <c r="D12" s="17">
        <v>240853.29</v>
      </c>
      <c r="F12" s="17">
        <v>0</v>
      </c>
      <c r="H12" s="17">
        <v>0</v>
      </c>
      <c r="J12" s="26">
        <f>D12+F12+H12</f>
        <v>240853.29</v>
      </c>
      <c r="L12" s="27">
        <f>J12+B12</f>
        <v>564941.13</v>
      </c>
    </row>
    <row r="13" spans="1:14" x14ac:dyDescent="0.2">
      <c r="B13" s="18">
        <f>SUM(B11:B12)</f>
        <v>437970.09</v>
      </c>
      <c r="C13" s="17"/>
      <c r="D13" s="18">
        <f>SUM(D11:D12)</f>
        <v>240853.29</v>
      </c>
      <c r="E13" s="17"/>
      <c r="F13" s="18">
        <f>SUM(F11:F12)</f>
        <v>0</v>
      </c>
      <c r="G13" s="17"/>
      <c r="H13" s="18">
        <f>SUM(H11:H12)</f>
        <v>792599.21</v>
      </c>
      <c r="I13" s="17"/>
      <c r="J13" s="18">
        <f>SUM(J11:J12)</f>
        <v>1033452.5</v>
      </c>
      <c r="K13" s="17"/>
      <c r="L13" s="18">
        <f>SUM(L11:L12)</f>
        <v>1471422.5899999999</v>
      </c>
      <c r="M13" s="94"/>
      <c r="N13" s="13"/>
    </row>
    <row r="14" spans="1:14" x14ac:dyDescent="0.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94"/>
      <c r="N14" s="13"/>
    </row>
    <row r="15" spans="1:14" x14ac:dyDescent="0.2">
      <c r="A15" s="12" t="s">
        <v>3816</v>
      </c>
      <c r="M15" s="94"/>
      <c r="N15" s="13"/>
    </row>
    <row r="16" spans="1:14" x14ac:dyDescent="0.2">
      <c r="A16" s="43" t="s">
        <v>197</v>
      </c>
      <c r="B16" s="19">
        <v>309540.84999999998</v>
      </c>
      <c r="C16" s="19"/>
      <c r="D16" s="19">
        <v>0</v>
      </c>
      <c r="E16" s="19"/>
      <c r="F16" s="19">
        <v>0</v>
      </c>
      <c r="G16" s="19"/>
      <c r="H16" s="19">
        <f>309540.85-309540.85</f>
        <v>0</v>
      </c>
      <c r="I16" s="19"/>
      <c r="J16" s="27">
        <f>D16+F16+H16</f>
        <v>0</v>
      </c>
      <c r="K16" s="19"/>
      <c r="L16" s="27">
        <f>J16+B16</f>
        <v>309540.84999999998</v>
      </c>
      <c r="M16" s="94"/>
      <c r="N16" s="13"/>
    </row>
    <row r="17" spans="1:14" x14ac:dyDescent="0.2">
      <c r="A17" s="12"/>
      <c r="B17" s="32">
        <f>SUM(B16)</f>
        <v>309540.84999999998</v>
      </c>
      <c r="D17" s="32">
        <f>SUM(D16)</f>
        <v>0</v>
      </c>
      <c r="F17" s="32">
        <f>SUM(F16)</f>
        <v>0</v>
      </c>
      <c r="H17" s="32">
        <f>SUM(H16)</f>
        <v>0</v>
      </c>
      <c r="J17" s="32">
        <f>SUM(J16)</f>
        <v>0</v>
      </c>
      <c r="L17" s="32">
        <f>SUM(L16)</f>
        <v>309540.84999999998</v>
      </c>
      <c r="M17" s="94"/>
      <c r="N17" s="13"/>
    </row>
    <row r="18" spans="1:14" x14ac:dyDescent="0.2">
      <c r="A18" s="12"/>
    </row>
    <row r="19" spans="1:14" x14ac:dyDescent="0.2">
      <c r="A19" s="12"/>
    </row>
    <row r="20" spans="1:14" x14ac:dyDescent="0.2">
      <c r="A20" s="12" t="s">
        <v>3817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94"/>
      <c r="N20" s="13"/>
    </row>
    <row r="21" spans="1:14" x14ac:dyDescent="0.2">
      <c r="A21" s="3" t="s">
        <v>208</v>
      </c>
      <c r="B21" s="17">
        <v>0</v>
      </c>
      <c r="C21" s="17"/>
      <c r="D21" s="17">
        <v>0</v>
      </c>
      <c r="E21" s="17"/>
      <c r="F21" s="17">
        <v>0</v>
      </c>
      <c r="G21" s="17"/>
      <c r="H21" s="17">
        <v>0</v>
      </c>
      <c r="I21" s="17"/>
      <c r="J21" s="26">
        <f t="shared" ref="J21:J26" si="0">D21+F21+H21</f>
        <v>0</v>
      </c>
      <c r="K21" s="17"/>
      <c r="L21" s="26">
        <f t="shared" ref="L21:L26" si="1">J21+B21</f>
        <v>0</v>
      </c>
      <c r="M21" s="94"/>
      <c r="N21" s="13"/>
    </row>
    <row r="22" spans="1:14" x14ac:dyDescent="0.2">
      <c r="A22" s="3" t="s">
        <v>209</v>
      </c>
      <c r="B22" s="17">
        <v>0</v>
      </c>
      <c r="C22" s="17"/>
      <c r="D22" s="17">
        <v>0</v>
      </c>
      <c r="E22" s="17"/>
      <c r="F22" s="17">
        <v>0</v>
      </c>
      <c r="G22" s="17"/>
      <c r="H22" s="17">
        <v>0</v>
      </c>
      <c r="I22" s="17"/>
      <c r="J22" s="26">
        <f t="shared" si="0"/>
        <v>0</v>
      </c>
      <c r="K22" s="17"/>
      <c r="L22" s="26">
        <f t="shared" si="1"/>
        <v>0</v>
      </c>
      <c r="M22" s="94"/>
      <c r="N22" s="13"/>
    </row>
    <row r="23" spans="1:14" x14ac:dyDescent="0.2">
      <c r="A23" s="3" t="s">
        <v>211</v>
      </c>
      <c r="B23" s="17">
        <v>0</v>
      </c>
      <c r="C23" s="17"/>
      <c r="D23" s="17">
        <v>0</v>
      </c>
      <c r="E23" s="17"/>
      <c r="F23" s="17">
        <v>0</v>
      </c>
      <c r="G23" s="17"/>
      <c r="H23" s="17">
        <v>0</v>
      </c>
      <c r="I23" s="17"/>
      <c r="J23" s="26">
        <f t="shared" si="0"/>
        <v>0</v>
      </c>
      <c r="K23" s="17"/>
      <c r="L23" s="26">
        <f t="shared" si="1"/>
        <v>0</v>
      </c>
      <c r="M23" s="94"/>
      <c r="N23" s="13"/>
    </row>
    <row r="24" spans="1:14" x14ac:dyDescent="0.2">
      <c r="A24" s="3" t="s">
        <v>213</v>
      </c>
      <c r="B24" s="17">
        <v>0</v>
      </c>
      <c r="C24" s="17"/>
      <c r="D24" s="17">
        <v>0</v>
      </c>
      <c r="E24" s="17"/>
      <c r="F24" s="17">
        <v>0</v>
      </c>
      <c r="G24" s="17"/>
      <c r="H24" s="17">
        <v>0</v>
      </c>
      <c r="I24" s="17"/>
      <c r="J24" s="26">
        <f t="shared" si="0"/>
        <v>0</v>
      </c>
      <c r="K24" s="17"/>
      <c r="L24" s="26">
        <f t="shared" si="1"/>
        <v>0</v>
      </c>
      <c r="M24" s="94"/>
      <c r="N24" s="13"/>
    </row>
    <row r="25" spans="1:14" x14ac:dyDescent="0.2">
      <c r="A25" s="3" t="s">
        <v>3818</v>
      </c>
      <c r="B25" s="17">
        <v>0</v>
      </c>
      <c r="C25" s="17"/>
      <c r="D25" s="17">
        <v>0</v>
      </c>
      <c r="E25" s="17"/>
      <c r="F25" s="17">
        <v>0</v>
      </c>
      <c r="G25" s="17"/>
      <c r="H25" s="17">
        <v>0</v>
      </c>
      <c r="I25" s="17"/>
      <c r="J25" s="26">
        <f t="shared" si="0"/>
        <v>0</v>
      </c>
      <c r="K25" s="17"/>
      <c r="L25" s="26">
        <f t="shared" si="1"/>
        <v>0</v>
      </c>
      <c r="M25" s="94"/>
      <c r="N25" s="13"/>
    </row>
    <row r="26" spans="1:14" x14ac:dyDescent="0.2">
      <c r="A26" s="3" t="s">
        <v>217</v>
      </c>
      <c r="B26" s="16">
        <v>0</v>
      </c>
      <c r="C26" s="17"/>
      <c r="D26" s="16">
        <v>0</v>
      </c>
      <c r="E26" s="17"/>
      <c r="F26" s="16">
        <v>0</v>
      </c>
      <c r="G26" s="17"/>
      <c r="H26" s="16">
        <v>0</v>
      </c>
      <c r="I26" s="17"/>
      <c r="J26" s="27">
        <f t="shared" si="0"/>
        <v>0</v>
      </c>
      <c r="K26" s="17"/>
      <c r="L26" s="27">
        <f t="shared" si="1"/>
        <v>0</v>
      </c>
    </row>
    <row r="27" spans="1:14" x14ac:dyDescent="0.2">
      <c r="B27" s="17">
        <f>SUM(B21:B26)</f>
        <v>0</v>
      </c>
      <c r="C27" s="17"/>
      <c r="D27" s="17">
        <f>SUM(D21:D26)</f>
        <v>0</v>
      </c>
      <c r="E27" s="17"/>
      <c r="F27" s="17">
        <f>SUM(F21:F26)</f>
        <v>0</v>
      </c>
      <c r="G27" s="17"/>
      <c r="H27" s="17">
        <f>SUM(H21:H26)</f>
        <v>0</v>
      </c>
      <c r="I27" s="17"/>
      <c r="J27" s="17">
        <f>SUM(J21:J26)</f>
        <v>0</v>
      </c>
      <c r="K27" s="17"/>
      <c r="L27" s="17">
        <f>SUM(L21:L26)</f>
        <v>0</v>
      </c>
      <c r="M27" s="94"/>
      <c r="N27" s="13"/>
    </row>
    <row r="28" spans="1:14" x14ac:dyDescent="0.2">
      <c r="B28" s="17"/>
      <c r="C28" s="14"/>
      <c r="D28" s="17"/>
      <c r="E28" s="14"/>
      <c r="F28" s="17"/>
      <c r="G28" s="14"/>
      <c r="H28" s="17"/>
      <c r="I28" s="14"/>
      <c r="J28" s="17"/>
      <c r="K28" s="14"/>
      <c r="L28" s="17"/>
      <c r="M28" s="13"/>
      <c r="N28" s="13"/>
    </row>
    <row r="29" spans="1:14" x14ac:dyDescent="0.2">
      <c r="A29" s="12" t="s">
        <v>13</v>
      </c>
      <c r="B29" s="17"/>
      <c r="C29" s="14"/>
      <c r="D29" s="17"/>
      <c r="E29" s="14"/>
      <c r="F29" s="17"/>
      <c r="G29" s="14"/>
      <c r="H29" s="17"/>
      <c r="I29" s="14"/>
      <c r="J29" s="17"/>
      <c r="K29" s="14"/>
      <c r="L29" s="17"/>
      <c r="M29" s="13"/>
      <c r="N29" s="13"/>
    </row>
    <row r="30" spans="1:14" x14ac:dyDescent="0.2">
      <c r="A30" s="43" t="s">
        <v>164</v>
      </c>
      <c r="B30" s="17">
        <v>0</v>
      </c>
      <c r="C30" s="14"/>
      <c r="D30" s="17">
        <v>0</v>
      </c>
      <c r="E30" s="14"/>
      <c r="F30" s="17">
        <v>0</v>
      </c>
      <c r="G30" s="14"/>
      <c r="H30" s="17">
        <v>131956.31</v>
      </c>
      <c r="I30" s="14"/>
      <c r="J30" s="27">
        <f t="shared" ref="J30" si="2">D30+F30+H30</f>
        <v>131956.31</v>
      </c>
      <c r="K30" s="14"/>
      <c r="L30" s="27">
        <f t="shared" ref="L30" si="3">J30+B30</f>
        <v>131956.31</v>
      </c>
      <c r="M30" s="13"/>
      <c r="N30" s="13"/>
    </row>
    <row r="31" spans="1:14" x14ac:dyDescent="0.2">
      <c r="A31" s="43"/>
      <c r="B31" s="18">
        <f>SUM(B30)</f>
        <v>0</v>
      </c>
      <c r="C31" s="14"/>
      <c r="D31" s="18">
        <f>SUM(D30)</f>
        <v>0</v>
      </c>
      <c r="E31" s="14"/>
      <c r="F31" s="18">
        <f>SUM(F30)</f>
        <v>0</v>
      </c>
      <c r="G31" s="14"/>
      <c r="H31" s="18">
        <f>SUM(H30)</f>
        <v>131956.31</v>
      </c>
      <c r="I31" s="14"/>
      <c r="J31" s="18">
        <f>SUM(J30)</f>
        <v>131956.31</v>
      </c>
      <c r="K31" s="14"/>
      <c r="L31" s="18">
        <f>SUM(L30)</f>
        <v>131956.31</v>
      </c>
      <c r="M31" s="13"/>
      <c r="N31" s="13"/>
    </row>
    <row r="32" spans="1:14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3"/>
    </row>
    <row r="33" spans="1:14" ht="13.5" thickBot="1" x14ac:dyDescent="0.25">
      <c r="A33" s="12" t="s">
        <v>3819</v>
      </c>
      <c r="B33" s="78">
        <f>B27+B13+B17+B31</f>
        <v>747510.94</v>
      </c>
      <c r="C33" s="14"/>
      <c r="D33" s="78">
        <f>D27+D13+D17+D31</f>
        <v>240853.29</v>
      </c>
      <c r="E33" s="14"/>
      <c r="F33" s="78">
        <f>F27+F13+F17+F31</f>
        <v>0</v>
      </c>
      <c r="G33" s="14"/>
      <c r="H33" s="78">
        <f>H27+H13+H17+H31</f>
        <v>924555.52</v>
      </c>
      <c r="I33" s="14"/>
      <c r="J33" s="78">
        <f>J27+J13+J17+J31</f>
        <v>1165408.81</v>
      </c>
      <c r="K33" s="14"/>
      <c r="L33" s="78">
        <f>L27+L13+L17+L31</f>
        <v>1912919.75</v>
      </c>
      <c r="M33" s="13"/>
      <c r="N33" s="13"/>
    </row>
    <row r="34" spans="1:14" ht="13.5" thickTop="1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3"/>
    </row>
    <row r="35" spans="1:14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0"/>
  <sheetViews>
    <sheetView zoomScale="80" zoomScaleNormal="8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2.7109375" style="3" customWidth="1"/>
    <col min="23" max="23" width="11.5703125" style="2" customWidth="1"/>
    <col min="24" max="24" width="16.5703125" style="3" bestFit="1" customWidth="1"/>
    <col min="25" max="16384" width="9.140625" style="3"/>
  </cols>
  <sheetData>
    <row r="1" spans="1:23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1"/>
      <c r="W1" s="3"/>
    </row>
    <row r="2" spans="1:23" x14ac:dyDescent="0.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3"/>
    </row>
    <row r="3" spans="1:23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4"/>
      <c r="W3" s="3"/>
    </row>
    <row r="4" spans="1:2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5"/>
      <c r="P4" s="4"/>
      <c r="Q4" s="4"/>
      <c r="R4" s="4"/>
      <c r="S4" s="4"/>
      <c r="T4" s="4"/>
      <c r="U4" s="4"/>
      <c r="V4" s="4"/>
      <c r="W4" s="3"/>
    </row>
    <row r="5" spans="1:2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</row>
    <row r="6" spans="1:23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  <c r="V6" s="25"/>
      <c r="W6" s="3"/>
    </row>
    <row r="7" spans="1:23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  <c r="V7" s="11"/>
      <c r="W7" s="3"/>
    </row>
    <row r="8" spans="1:23" x14ac:dyDescent="0.2">
      <c r="C8" s="11"/>
      <c r="E8" s="11"/>
      <c r="G8" s="11"/>
      <c r="I8" s="11"/>
      <c r="J8" s="11"/>
      <c r="K8" s="11"/>
      <c r="M8" s="11"/>
      <c r="O8" s="11"/>
      <c r="Q8" s="11"/>
      <c r="S8" s="11"/>
      <c r="U8" s="11"/>
      <c r="V8" s="11"/>
      <c r="W8" s="3"/>
    </row>
    <row r="9" spans="1:23" x14ac:dyDescent="0.2">
      <c r="A9" s="12" t="s">
        <v>45</v>
      </c>
      <c r="C9" s="11"/>
      <c r="E9" s="11"/>
      <c r="G9" s="11"/>
      <c r="I9" s="11"/>
      <c r="J9" s="11"/>
      <c r="K9" s="11"/>
      <c r="M9" s="11"/>
      <c r="O9" s="11"/>
      <c r="Q9" s="11"/>
      <c r="S9" s="11"/>
      <c r="U9" s="11"/>
      <c r="V9" s="11"/>
      <c r="W9" s="3"/>
    </row>
    <row r="10" spans="1:23" x14ac:dyDescent="0.2">
      <c r="B10" s="3" t="s">
        <v>12</v>
      </c>
      <c r="C10" s="14">
        <v>-490672507.89999998</v>
      </c>
      <c r="D10" s="14"/>
      <c r="E10" s="14">
        <v>-35749150.469999999</v>
      </c>
      <c r="F10" s="14"/>
      <c r="G10" s="14">
        <v>25441207.449999999</v>
      </c>
      <c r="H10" s="14"/>
      <c r="I10" s="14">
        <v>109068.5</v>
      </c>
      <c r="J10" s="14"/>
      <c r="K10" s="14">
        <v>0</v>
      </c>
      <c r="L10" s="14"/>
      <c r="M10" s="14">
        <v>0</v>
      </c>
      <c r="N10" s="14"/>
      <c r="O10" s="14">
        <v>0</v>
      </c>
      <c r="P10" s="14"/>
      <c r="Q10" s="14">
        <v>0</v>
      </c>
      <c r="R10" s="19"/>
      <c r="S10" s="14">
        <v>0</v>
      </c>
      <c r="T10" s="19"/>
      <c r="U10" s="19">
        <f>S10+Q10+O10+M10+I10+G10+E10+C10</f>
        <v>-500871382.41999996</v>
      </c>
      <c r="V10" s="19"/>
      <c r="W10" s="3"/>
    </row>
    <row r="11" spans="1:23" x14ac:dyDescent="0.2">
      <c r="B11" s="3" t="s">
        <v>46</v>
      </c>
      <c r="C11" s="14">
        <v>-124497.79999999996</v>
      </c>
      <c r="D11" s="14"/>
      <c r="E11" s="14">
        <v>-2559.9499999999998</v>
      </c>
      <c r="F11" s="14"/>
      <c r="G11" s="14">
        <v>1700.75</v>
      </c>
      <c r="H11" s="14"/>
      <c r="I11" s="14">
        <v>0</v>
      </c>
      <c r="J11" s="14"/>
      <c r="K11" s="14">
        <v>0</v>
      </c>
      <c r="L11" s="14"/>
      <c r="M11" s="14">
        <v>0</v>
      </c>
      <c r="N11" s="14"/>
      <c r="O11" s="14">
        <v>0</v>
      </c>
      <c r="P11" s="14"/>
      <c r="Q11" s="14">
        <v>0</v>
      </c>
      <c r="R11" s="19"/>
      <c r="S11" s="14">
        <v>0</v>
      </c>
      <c r="T11" s="19"/>
      <c r="U11" s="19">
        <f t="shared" ref="U11:U21" si="0">S11+Q11+O11+M11+I11+G11+E11+C11</f>
        <v>-125356.99999999996</v>
      </c>
      <c r="V11" s="19"/>
      <c r="W11" s="3"/>
    </row>
    <row r="12" spans="1:23" x14ac:dyDescent="0.2">
      <c r="B12" s="3" t="s">
        <v>13</v>
      </c>
      <c r="C12" s="14">
        <v>-60872288.390000001</v>
      </c>
      <c r="D12" s="14"/>
      <c r="E12" s="14">
        <v>-11473992.720000001</v>
      </c>
      <c r="F12" s="14"/>
      <c r="G12" s="14">
        <v>5739015.4199999999</v>
      </c>
      <c r="H12" s="14"/>
      <c r="I12" s="14">
        <v>-13259.090000000022</v>
      </c>
      <c r="J12" s="14"/>
      <c r="K12" s="14">
        <v>0</v>
      </c>
      <c r="L12" s="14"/>
      <c r="M12" s="14">
        <v>0</v>
      </c>
      <c r="N12" s="14"/>
      <c r="O12" s="14">
        <v>0</v>
      </c>
      <c r="P12" s="14"/>
      <c r="Q12" s="14">
        <v>0</v>
      </c>
      <c r="R12" s="19"/>
      <c r="S12" s="14">
        <v>0</v>
      </c>
      <c r="T12" s="19"/>
      <c r="U12" s="19">
        <f t="shared" si="0"/>
        <v>-66620524.780000001</v>
      </c>
      <c r="V12" s="19"/>
      <c r="W12" s="3"/>
    </row>
    <row r="13" spans="1:23" x14ac:dyDescent="0.2">
      <c r="B13" s="3" t="s">
        <v>14</v>
      </c>
      <c r="C13" s="14">
        <v>-12162259.890000001</v>
      </c>
      <c r="D13" s="14"/>
      <c r="E13" s="14">
        <v>-1183261.57</v>
      </c>
      <c r="F13" s="14"/>
      <c r="G13" s="14">
        <v>23675</v>
      </c>
      <c r="H13" s="14"/>
      <c r="I13" s="14">
        <v>0</v>
      </c>
      <c r="J13" s="14"/>
      <c r="K13" s="14">
        <v>0</v>
      </c>
      <c r="L13" s="14"/>
      <c r="M13" s="14">
        <v>0</v>
      </c>
      <c r="N13" s="14"/>
      <c r="O13" s="14">
        <v>0</v>
      </c>
      <c r="P13" s="14"/>
      <c r="Q13" s="14">
        <v>0</v>
      </c>
      <c r="R13" s="19"/>
      <c r="S13" s="14">
        <v>0</v>
      </c>
      <c r="T13" s="19"/>
      <c r="U13" s="19">
        <f t="shared" si="0"/>
        <v>-13321846.460000001</v>
      </c>
      <c r="V13" s="19"/>
      <c r="W13" s="3"/>
    </row>
    <row r="14" spans="1:23" x14ac:dyDescent="0.2">
      <c r="B14" s="3" t="s">
        <v>47</v>
      </c>
      <c r="C14" s="14">
        <v>-19701.79</v>
      </c>
      <c r="D14" s="14"/>
      <c r="E14" s="14">
        <v>-17888.16</v>
      </c>
      <c r="F14" s="14"/>
      <c r="G14" s="14">
        <v>0</v>
      </c>
      <c r="H14" s="14"/>
      <c r="I14" s="14">
        <v>0</v>
      </c>
      <c r="J14" s="14"/>
      <c r="K14" s="14">
        <v>0</v>
      </c>
      <c r="L14" s="14"/>
      <c r="M14" s="14">
        <v>0</v>
      </c>
      <c r="N14" s="14"/>
      <c r="O14" s="14">
        <v>0</v>
      </c>
      <c r="P14" s="14"/>
      <c r="Q14" s="14">
        <v>0</v>
      </c>
      <c r="R14" s="19"/>
      <c r="S14" s="14">
        <v>0</v>
      </c>
      <c r="T14" s="19"/>
      <c r="U14" s="19">
        <f t="shared" si="0"/>
        <v>-37589.949999999997</v>
      </c>
      <c r="V14" s="19"/>
      <c r="W14" s="3"/>
    </row>
    <row r="15" spans="1:23" x14ac:dyDescent="0.2">
      <c r="B15" s="3" t="s">
        <v>16</v>
      </c>
      <c r="C15" s="14">
        <v>-276847290.56</v>
      </c>
      <c r="D15" s="14"/>
      <c r="E15" s="14">
        <v>-35768980.219999999</v>
      </c>
      <c r="F15" s="14"/>
      <c r="G15" s="14">
        <v>3080794.96</v>
      </c>
      <c r="H15" s="14"/>
      <c r="I15" s="14">
        <v>0</v>
      </c>
      <c r="J15" s="14"/>
      <c r="K15" s="14">
        <v>0</v>
      </c>
      <c r="L15" s="14"/>
      <c r="M15" s="14">
        <v>0</v>
      </c>
      <c r="N15" s="14"/>
      <c r="O15" s="14">
        <v>0</v>
      </c>
      <c r="P15" s="14"/>
      <c r="Q15" s="14">
        <v>0</v>
      </c>
      <c r="R15" s="19"/>
      <c r="S15" s="14">
        <v>0</v>
      </c>
      <c r="T15" s="19"/>
      <c r="U15" s="19">
        <f t="shared" si="0"/>
        <v>-309535475.81999999</v>
      </c>
      <c r="V15" s="19"/>
      <c r="W15" s="3"/>
    </row>
    <row r="16" spans="1:23" x14ac:dyDescent="0.2">
      <c r="B16" s="3" t="s">
        <v>48</v>
      </c>
      <c r="C16" s="14">
        <v>-32972.979999999996</v>
      </c>
      <c r="D16" s="14"/>
      <c r="E16" s="14">
        <v>-20404.599999999999</v>
      </c>
      <c r="F16" s="14"/>
      <c r="G16" s="14">
        <v>0</v>
      </c>
      <c r="H16" s="14"/>
      <c r="I16" s="14">
        <v>0</v>
      </c>
      <c r="J16" s="14"/>
      <c r="K16" s="14">
        <v>0</v>
      </c>
      <c r="L16" s="14"/>
      <c r="M16" s="14">
        <v>0</v>
      </c>
      <c r="N16" s="14"/>
      <c r="O16" s="14">
        <v>0</v>
      </c>
      <c r="P16" s="14"/>
      <c r="Q16" s="14">
        <v>0</v>
      </c>
      <c r="R16" s="19"/>
      <c r="S16" s="14">
        <v>0</v>
      </c>
      <c r="T16" s="19"/>
      <c r="U16" s="19">
        <f t="shared" si="0"/>
        <v>-53377.579999999994</v>
      </c>
      <c r="V16" s="19"/>
      <c r="W16" s="3"/>
    </row>
    <row r="17" spans="1:23" x14ac:dyDescent="0.2">
      <c r="B17" s="3" t="s">
        <v>17</v>
      </c>
      <c r="C17" s="14">
        <v>-1433175831.1800001</v>
      </c>
      <c r="D17" s="14"/>
      <c r="E17" s="14">
        <v>-121310270.25</v>
      </c>
      <c r="F17" s="14"/>
      <c r="G17" s="14">
        <v>14353801.390000001</v>
      </c>
      <c r="H17" s="14"/>
      <c r="I17" s="14">
        <v>0</v>
      </c>
      <c r="J17" s="14"/>
      <c r="K17" s="14">
        <v>0</v>
      </c>
      <c r="L17" s="14"/>
      <c r="M17" s="14">
        <v>0</v>
      </c>
      <c r="N17" s="14"/>
      <c r="O17" s="14">
        <v>0</v>
      </c>
      <c r="P17" s="14"/>
      <c r="Q17" s="14">
        <v>0</v>
      </c>
      <c r="R17" s="19"/>
      <c r="S17" s="14">
        <v>0</v>
      </c>
      <c r="T17" s="19"/>
      <c r="U17" s="19">
        <f t="shared" si="0"/>
        <v>-1540132300.04</v>
      </c>
      <c r="V17" s="19"/>
      <c r="W17" s="3"/>
    </row>
    <row r="18" spans="1:23" x14ac:dyDescent="0.2">
      <c r="B18" s="3" t="s">
        <v>49</v>
      </c>
      <c r="C18" s="14">
        <v>-93356858.729999989</v>
      </c>
      <c r="D18" s="14"/>
      <c r="E18" s="14">
        <v>-20831566.579999998</v>
      </c>
      <c r="F18" s="14"/>
      <c r="G18" s="14">
        <v>203134</v>
      </c>
      <c r="H18" s="14"/>
      <c r="I18" s="14">
        <v>0</v>
      </c>
      <c r="J18" s="14"/>
      <c r="K18" s="14">
        <v>0</v>
      </c>
      <c r="L18" s="14"/>
      <c r="M18" s="14">
        <v>0</v>
      </c>
      <c r="N18" s="14"/>
      <c r="O18" s="14">
        <v>0</v>
      </c>
      <c r="P18" s="14"/>
      <c r="Q18" s="14">
        <v>0</v>
      </c>
      <c r="R18" s="19"/>
      <c r="S18" s="14">
        <v>0</v>
      </c>
      <c r="T18" s="19"/>
      <c r="U18" s="19">
        <f t="shared" si="0"/>
        <v>-113985291.30999999</v>
      </c>
      <c r="V18" s="19"/>
      <c r="W18" s="3"/>
    </row>
    <row r="19" spans="1:23" x14ac:dyDescent="0.2">
      <c r="B19" s="3" t="s">
        <v>18</v>
      </c>
      <c r="C19" s="14">
        <v>-239527180.41999999</v>
      </c>
      <c r="D19" s="14"/>
      <c r="E19" s="14">
        <v>-13091705.779999999</v>
      </c>
      <c r="F19" s="14"/>
      <c r="G19" s="14">
        <v>12699756.27</v>
      </c>
      <c r="H19" s="14"/>
      <c r="I19" s="14">
        <v>-123447.27</v>
      </c>
      <c r="J19" s="14"/>
      <c r="K19" s="14">
        <v>0</v>
      </c>
      <c r="L19" s="14"/>
      <c r="M19" s="14">
        <v>0</v>
      </c>
      <c r="N19" s="14"/>
      <c r="O19" s="14">
        <v>0</v>
      </c>
      <c r="P19" s="14"/>
      <c r="Q19" s="14">
        <v>0</v>
      </c>
      <c r="R19" s="19"/>
      <c r="S19" s="14">
        <v>0</v>
      </c>
      <c r="T19" s="19"/>
      <c r="U19" s="19">
        <f t="shared" si="0"/>
        <v>-240042577.19999999</v>
      </c>
      <c r="V19" s="19"/>
      <c r="W19" s="3"/>
    </row>
    <row r="20" spans="1:23" x14ac:dyDescent="0.2">
      <c r="B20" s="3" t="s">
        <v>50</v>
      </c>
      <c r="C20" s="14">
        <v>-53704.109999999993</v>
      </c>
      <c r="D20" s="14"/>
      <c r="E20" s="14">
        <v>-19263.57</v>
      </c>
      <c r="F20" s="14"/>
      <c r="G20" s="14">
        <v>0</v>
      </c>
      <c r="H20" s="14"/>
      <c r="I20" s="14">
        <v>0</v>
      </c>
      <c r="J20" s="14"/>
      <c r="K20" s="14">
        <v>0</v>
      </c>
      <c r="L20" s="14"/>
      <c r="M20" s="14">
        <v>0</v>
      </c>
      <c r="N20" s="14"/>
      <c r="O20" s="14">
        <v>0</v>
      </c>
      <c r="P20" s="14"/>
      <c r="Q20" s="14">
        <v>0</v>
      </c>
      <c r="R20" s="19"/>
      <c r="S20" s="14">
        <v>0</v>
      </c>
      <c r="T20" s="19"/>
      <c r="U20" s="19">
        <f t="shared" si="0"/>
        <v>-72967.679999999993</v>
      </c>
      <c r="V20" s="19"/>
      <c r="W20" s="3"/>
    </row>
    <row r="21" spans="1:23" x14ac:dyDescent="0.2">
      <c r="B21" s="3" t="s">
        <v>29</v>
      </c>
      <c r="C21" s="16">
        <v>0</v>
      </c>
      <c r="D21" s="17"/>
      <c r="E21" s="14">
        <v>0</v>
      </c>
      <c r="F21" s="14"/>
      <c r="G21" s="14">
        <v>0</v>
      </c>
      <c r="H21" s="14"/>
      <c r="I21" s="14">
        <v>0</v>
      </c>
      <c r="J21" s="14"/>
      <c r="K21" s="14">
        <v>0</v>
      </c>
      <c r="L21" s="14"/>
      <c r="M21" s="14">
        <v>0</v>
      </c>
      <c r="N21" s="14"/>
      <c r="O21" s="14">
        <v>0</v>
      </c>
      <c r="P21" s="14"/>
      <c r="Q21" s="14">
        <v>0</v>
      </c>
      <c r="R21" s="19"/>
      <c r="S21" s="14">
        <v>0</v>
      </c>
      <c r="T21" s="26"/>
      <c r="U21" s="27">
        <f t="shared" si="0"/>
        <v>0</v>
      </c>
      <c r="V21" s="26"/>
      <c r="W21" s="3"/>
    </row>
    <row r="22" spans="1:23" x14ac:dyDescent="0.2">
      <c r="B22" s="20"/>
      <c r="C22" s="17">
        <f>SUM(C10:C21)</f>
        <v>-2606845093.75</v>
      </c>
      <c r="D22" s="17"/>
      <c r="E22" s="18">
        <f>SUM(E10:E21)</f>
        <v>-239469043.86999997</v>
      </c>
      <c r="F22" s="17"/>
      <c r="G22" s="18">
        <f>SUM(G10:G21)</f>
        <v>61543085.239999995</v>
      </c>
      <c r="H22" s="17"/>
      <c r="I22" s="18">
        <f>SUM(I10:I21)</f>
        <v>-27637.86000000003</v>
      </c>
      <c r="J22" s="17"/>
      <c r="K22" s="18">
        <f>SUM(K10:K21)</f>
        <v>0</v>
      </c>
      <c r="L22" s="17"/>
      <c r="M22" s="18">
        <f>SUM(M10:M21)</f>
        <v>0</v>
      </c>
      <c r="N22" s="17"/>
      <c r="O22" s="18">
        <f>SUM(O10:O21)</f>
        <v>0</v>
      </c>
      <c r="P22" s="17"/>
      <c r="Q22" s="18">
        <f>SUM(Q10:Q21)</f>
        <v>0</v>
      </c>
      <c r="R22" s="26"/>
      <c r="S22" s="18">
        <f>SUM(S10:S21)</f>
        <v>0</v>
      </c>
      <c r="T22" s="26"/>
      <c r="U22" s="17">
        <f>SUM(U10:U21)</f>
        <v>-2784798690.2399998</v>
      </c>
      <c r="V22" s="17"/>
      <c r="W22" s="15"/>
    </row>
    <row r="23" spans="1:23" x14ac:dyDescent="0.2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  <c r="R23" s="26"/>
      <c r="S23" s="26"/>
      <c r="T23" s="26"/>
      <c r="U23" s="26"/>
      <c r="V23" s="26"/>
      <c r="W23" s="3"/>
    </row>
    <row r="24" spans="1:23" x14ac:dyDescent="0.2">
      <c r="A24" s="12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"/>
    </row>
    <row r="25" spans="1:23" x14ac:dyDescent="0.2">
      <c r="B25" s="3" t="s">
        <v>12</v>
      </c>
      <c r="C25" s="17">
        <v>-223361288.31</v>
      </c>
      <c r="D25" s="17"/>
      <c r="E25" s="14">
        <v>-10618871.59</v>
      </c>
      <c r="F25" s="14"/>
      <c r="G25" s="14">
        <v>0</v>
      </c>
      <c r="H25" s="14"/>
      <c r="I25" s="14">
        <v>44144.83</v>
      </c>
      <c r="J25" s="14"/>
      <c r="K25" s="14">
        <v>0</v>
      </c>
      <c r="L25" s="14"/>
      <c r="M25" s="14">
        <v>0</v>
      </c>
      <c r="N25" s="14"/>
      <c r="O25" s="14">
        <v>7327480.5</v>
      </c>
      <c r="P25" s="14"/>
      <c r="Q25" s="14">
        <v>0</v>
      </c>
      <c r="R25" s="19"/>
      <c r="S25" s="14">
        <v>-469483.01</v>
      </c>
      <c r="T25" s="26"/>
      <c r="U25" s="26">
        <f t="shared" ref="U25:U31" si="1">S25+Q25+O25+M25+I25+G25+E25+C25</f>
        <v>-227078017.58000001</v>
      </c>
      <c r="V25" s="26"/>
      <c r="W25" s="3"/>
    </row>
    <row r="26" spans="1:23" x14ac:dyDescent="0.2">
      <c r="B26" s="3" t="s">
        <v>13</v>
      </c>
      <c r="C26" s="17">
        <v>229453.61999999997</v>
      </c>
      <c r="D26" s="17"/>
      <c r="E26" s="14">
        <v>-151724.42000000001</v>
      </c>
      <c r="F26" s="14"/>
      <c r="G26" s="14">
        <v>0</v>
      </c>
      <c r="H26" s="14"/>
      <c r="I26" s="14">
        <v>0</v>
      </c>
      <c r="J26" s="14"/>
      <c r="K26" s="14">
        <v>0</v>
      </c>
      <c r="L26" s="14"/>
      <c r="M26" s="14">
        <v>0</v>
      </c>
      <c r="N26" s="14"/>
      <c r="O26" s="14">
        <v>29109.11</v>
      </c>
      <c r="P26" s="14"/>
      <c r="Q26" s="14">
        <v>0</v>
      </c>
      <c r="R26" s="19"/>
      <c r="S26" s="14">
        <v>0</v>
      </c>
      <c r="T26" s="26"/>
      <c r="U26" s="19">
        <f t="shared" si="1"/>
        <v>106838.30999999995</v>
      </c>
      <c r="V26" s="19"/>
      <c r="W26" s="3"/>
    </row>
    <row r="27" spans="1:23" x14ac:dyDescent="0.2">
      <c r="B27" s="3" t="s">
        <v>14</v>
      </c>
      <c r="C27" s="17">
        <v>264266.51999999996</v>
      </c>
      <c r="D27" s="17"/>
      <c r="E27" s="14">
        <v>-40652.58</v>
      </c>
      <c r="F27" s="14"/>
      <c r="G27" s="14">
        <v>0</v>
      </c>
      <c r="H27" s="14"/>
      <c r="I27" s="14">
        <v>0</v>
      </c>
      <c r="J27" s="14"/>
      <c r="K27" s="14">
        <v>0</v>
      </c>
      <c r="L27" s="14"/>
      <c r="M27" s="14">
        <v>0</v>
      </c>
      <c r="N27" s="14"/>
      <c r="O27" s="14">
        <v>0</v>
      </c>
      <c r="P27" s="14"/>
      <c r="Q27" s="14">
        <v>0</v>
      </c>
      <c r="R27" s="19"/>
      <c r="S27" s="14">
        <v>0</v>
      </c>
      <c r="T27" s="26"/>
      <c r="U27" s="26">
        <f t="shared" si="1"/>
        <v>223613.93999999994</v>
      </c>
      <c r="V27" s="26"/>
      <c r="W27" s="3"/>
    </row>
    <row r="28" spans="1:23" x14ac:dyDescent="0.2">
      <c r="B28" s="3" t="s">
        <v>16</v>
      </c>
      <c r="C28" s="17">
        <v>-6617473.1799999997</v>
      </c>
      <c r="D28" s="17"/>
      <c r="E28" s="14">
        <v>-2498863.91</v>
      </c>
      <c r="F28" s="14"/>
      <c r="G28" s="14">
        <v>0</v>
      </c>
      <c r="H28" s="14"/>
      <c r="I28" s="14">
        <v>0</v>
      </c>
      <c r="J28" s="14"/>
      <c r="K28" s="14">
        <v>0</v>
      </c>
      <c r="L28" s="14"/>
      <c r="M28" s="14">
        <v>0</v>
      </c>
      <c r="N28" s="14"/>
      <c r="O28" s="14">
        <v>411258.45</v>
      </c>
      <c r="P28" s="14"/>
      <c r="Q28" s="14">
        <v>0</v>
      </c>
      <c r="R28" s="19"/>
      <c r="S28" s="14">
        <v>0</v>
      </c>
      <c r="T28" s="26"/>
      <c r="U28" s="26">
        <f t="shared" si="1"/>
        <v>-8705078.6400000006</v>
      </c>
      <c r="V28" s="26"/>
      <c r="W28" s="3"/>
    </row>
    <row r="29" spans="1:23" x14ac:dyDescent="0.2">
      <c r="B29" s="3" t="s">
        <v>17</v>
      </c>
      <c r="C29" s="29">
        <v>-173900143.88</v>
      </c>
      <c r="D29" s="17"/>
      <c r="E29" s="14">
        <v>-6728948.2599999998</v>
      </c>
      <c r="F29" s="14"/>
      <c r="G29" s="14">
        <v>0</v>
      </c>
      <c r="H29" s="14"/>
      <c r="I29" s="14">
        <v>0</v>
      </c>
      <c r="J29" s="14"/>
      <c r="K29" s="14">
        <v>0</v>
      </c>
      <c r="L29" s="14"/>
      <c r="M29" s="14">
        <v>0</v>
      </c>
      <c r="N29" s="14"/>
      <c r="O29" s="14">
        <v>7763019.1799999997</v>
      </c>
      <c r="P29" s="14"/>
      <c r="Q29" s="14">
        <v>0</v>
      </c>
      <c r="R29" s="19"/>
      <c r="S29" s="14">
        <v>-151771.82999999999</v>
      </c>
      <c r="T29" s="26"/>
      <c r="U29" s="26">
        <f t="shared" si="1"/>
        <v>-173017844.78999999</v>
      </c>
      <c r="V29" s="26"/>
      <c r="W29" s="3"/>
    </row>
    <row r="30" spans="1:23" x14ac:dyDescent="0.2">
      <c r="B30" s="3" t="s">
        <v>18</v>
      </c>
      <c r="C30" s="17">
        <v>-126974304.68000001</v>
      </c>
      <c r="D30" s="17"/>
      <c r="E30" s="14">
        <v>-6229923.0499999998</v>
      </c>
      <c r="F30" s="14"/>
      <c r="G30" s="14">
        <v>0</v>
      </c>
      <c r="H30" s="14"/>
      <c r="I30" s="14">
        <v>-44144.83</v>
      </c>
      <c r="J30" s="14"/>
      <c r="K30" s="14">
        <v>0</v>
      </c>
      <c r="L30" s="14"/>
      <c r="M30" s="14">
        <v>0</v>
      </c>
      <c r="N30" s="14"/>
      <c r="O30" s="14">
        <v>5457492.21</v>
      </c>
      <c r="P30" s="14"/>
      <c r="Q30" s="14">
        <v>0</v>
      </c>
      <c r="R30" s="19"/>
      <c r="S30" s="14">
        <v>-299309.67</v>
      </c>
      <c r="T30" s="26"/>
      <c r="U30" s="26">
        <f t="shared" si="1"/>
        <v>-128090190.02000001</v>
      </c>
      <c r="V30" s="26"/>
      <c r="W30" s="3"/>
    </row>
    <row r="31" spans="1:23" x14ac:dyDescent="0.2">
      <c r="B31" s="3" t="s">
        <v>29</v>
      </c>
      <c r="C31" s="16">
        <v>0</v>
      </c>
      <c r="D31" s="17"/>
      <c r="E31" s="14">
        <v>0</v>
      </c>
      <c r="F31" s="14"/>
      <c r="G31" s="14">
        <v>0</v>
      </c>
      <c r="H31" s="14"/>
      <c r="I31" s="14">
        <v>0</v>
      </c>
      <c r="J31" s="14"/>
      <c r="K31" s="14">
        <v>0</v>
      </c>
      <c r="L31" s="14"/>
      <c r="M31" s="14">
        <v>0</v>
      </c>
      <c r="N31" s="14"/>
      <c r="O31" s="14">
        <v>0</v>
      </c>
      <c r="P31" s="14"/>
      <c r="Q31" s="14">
        <v>0</v>
      </c>
      <c r="R31" s="19"/>
      <c r="S31" s="14">
        <v>0</v>
      </c>
      <c r="T31" s="26"/>
      <c r="U31" s="27">
        <f t="shared" si="1"/>
        <v>0</v>
      </c>
      <c r="V31" s="26"/>
      <c r="W31" s="3"/>
    </row>
    <row r="32" spans="1:23" x14ac:dyDescent="0.2">
      <c r="B32" s="20"/>
      <c r="C32" s="17">
        <f>SUM(C25:C31)</f>
        <v>-530359489.91000003</v>
      </c>
      <c r="D32" s="17"/>
      <c r="E32" s="18">
        <f>SUM(E25:E31)</f>
        <v>-26268983.809999999</v>
      </c>
      <c r="F32" s="17"/>
      <c r="G32" s="18">
        <f>SUM(G25:G31)</f>
        <v>0</v>
      </c>
      <c r="H32" s="17"/>
      <c r="I32" s="18">
        <f>SUM(I25:I31)</f>
        <v>0</v>
      </c>
      <c r="J32" s="17"/>
      <c r="K32" s="18">
        <f>SUM(K25:K31)</f>
        <v>0</v>
      </c>
      <c r="L32" s="17"/>
      <c r="M32" s="18">
        <f>SUM(M25:M31)</f>
        <v>0</v>
      </c>
      <c r="N32" s="17"/>
      <c r="O32" s="18">
        <f>SUM(O25:O31)</f>
        <v>20988359.449999999</v>
      </c>
      <c r="P32" s="17"/>
      <c r="Q32" s="18">
        <f>SUM(Q25:Q31)</f>
        <v>0</v>
      </c>
      <c r="R32" s="26"/>
      <c r="S32" s="18">
        <f>SUM(S25:S31)</f>
        <v>-920564.51</v>
      </c>
      <c r="T32" s="26"/>
      <c r="U32" s="17">
        <f>SUM(U25:U31)</f>
        <v>-536560678.77999997</v>
      </c>
      <c r="V32" s="17"/>
      <c r="W32" s="3"/>
    </row>
    <row r="33" spans="1:23" x14ac:dyDescent="0.2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"/>
    </row>
    <row r="34" spans="1:23" x14ac:dyDescent="0.2">
      <c r="A34" s="12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"/>
    </row>
    <row r="35" spans="1:23" x14ac:dyDescent="0.2">
      <c r="B35" s="3" t="s">
        <v>12</v>
      </c>
      <c r="C35" s="17">
        <v>51879922.400000013</v>
      </c>
      <c r="D35" s="17"/>
      <c r="E35" s="14">
        <v>1441808.22</v>
      </c>
      <c r="F35" s="14"/>
      <c r="G35" s="14">
        <v>0</v>
      </c>
      <c r="H35" s="14"/>
      <c r="I35" s="14">
        <v>0</v>
      </c>
      <c r="J35" s="14"/>
      <c r="K35" s="14">
        <v>0</v>
      </c>
      <c r="L35" s="14"/>
      <c r="M35" s="14">
        <v>0</v>
      </c>
      <c r="N35" s="14"/>
      <c r="O35" s="14">
        <v>0</v>
      </c>
      <c r="P35" s="14"/>
      <c r="Q35" s="14">
        <v>-437076.06</v>
      </c>
      <c r="R35" s="19"/>
      <c r="S35" s="14">
        <v>0</v>
      </c>
      <c r="T35" s="26"/>
      <c r="U35" s="26">
        <f t="shared" ref="U35:U41" si="2">S35+Q35+O35+M35+I35+G35+E35+C35</f>
        <v>52884654.56000001</v>
      </c>
      <c r="V35" s="26"/>
      <c r="W35" s="3"/>
    </row>
    <row r="36" spans="1:23" x14ac:dyDescent="0.2">
      <c r="B36" s="3" t="s">
        <v>13</v>
      </c>
      <c r="C36" s="17">
        <v>55856.760000000024</v>
      </c>
      <c r="D36" s="17"/>
      <c r="E36" s="14">
        <v>0</v>
      </c>
      <c r="F36" s="14"/>
      <c r="G36" s="14">
        <v>0</v>
      </c>
      <c r="H36" s="14"/>
      <c r="I36" s="14">
        <v>0</v>
      </c>
      <c r="J36" s="14"/>
      <c r="K36" s="14">
        <v>0</v>
      </c>
      <c r="L36" s="14"/>
      <c r="M36" s="14">
        <v>0</v>
      </c>
      <c r="N36" s="14"/>
      <c r="O36" s="14">
        <v>0</v>
      </c>
      <c r="P36" s="14"/>
      <c r="Q36" s="14">
        <v>0</v>
      </c>
      <c r="R36" s="19"/>
      <c r="S36" s="14">
        <v>0</v>
      </c>
      <c r="T36" s="26"/>
      <c r="U36" s="26">
        <f>S36+Q36+O36+M36+I36+G36+E36+C36</f>
        <v>55856.760000000024</v>
      </c>
      <c r="V36" s="26"/>
      <c r="W36" s="3"/>
    </row>
    <row r="37" spans="1:23" x14ac:dyDescent="0.2">
      <c r="B37" s="3" t="s">
        <v>14</v>
      </c>
      <c r="C37" s="17">
        <v>68129.13</v>
      </c>
      <c r="D37" s="17"/>
      <c r="E37" s="14">
        <v>5618.64</v>
      </c>
      <c r="F37" s="14"/>
      <c r="G37" s="14">
        <v>0</v>
      </c>
      <c r="H37" s="14"/>
      <c r="I37" s="14">
        <v>0</v>
      </c>
      <c r="J37" s="14"/>
      <c r="K37" s="14">
        <v>0</v>
      </c>
      <c r="L37" s="14"/>
      <c r="M37" s="14">
        <v>0</v>
      </c>
      <c r="N37" s="14"/>
      <c r="O37" s="14">
        <v>0</v>
      </c>
      <c r="P37" s="14"/>
      <c r="Q37" s="14">
        <v>-23675</v>
      </c>
      <c r="R37" s="19"/>
      <c r="S37" s="14">
        <v>0</v>
      </c>
      <c r="T37" s="26"/>
      <c r="U37" s="26">
        <f t="shared" si="2"/>
        <v>50072.770000000004</v>
      </c>
      <c r="V37" s="26"/>
      <c r="W37" s="3"/>
    </row>
    <row r="38" spans="1:23" x14ac:dyDescent="0.2">
      <c r="B38" s="3" t="s">
        <v>16</v>
      </c>
      <c r="C38" s="17">
        <v>1457118.38</v>
      </c>
      <c r="D38" s="17"/>
      <c r="E38" s="14">
        <v>310563</v>
      </c>
      <c r="F38" s="14"/>
      <c r="G38" s="14">
        <v>0</v>
      </c>
      <c r="H38" s="14"/>
      <c r="I38" s="14">
        <v>0</v>
      </c>
      <c r="J38" s="14"/>
      <c r="K38" s="14">
        <v>0</v>
      </c>
      <c r="L38" s="14"/>
      <c r="M38" s="14">
        <v>0</v>
      </c>
      <c r="N38" s="14"/>
      <c r="O38" s="14">
        <v>0</v>
      </c>
      <c r="P38" s="14"/>
      <c r="Q38" s="14">
        <v>0</v>
      </c>
      <c r="R38" s="19"/>
      <c r="S38" s="14">
        <v>0</v>
      </c>
      <c r="T38" s="26"/>
      <c r="U38" s="26">
        <f t="shared" si="2"/>
        <v>1767681.38</v>
      </c>
      <c r="V38" s="26"/>
      <c r="W38" s="3"/>
    </row>
    <row r="39" spans="1:23" x14ac:dyDescent="0.2">
      <c r="B39" s="3" t="s">
        <v>17</v>
      </c>
      <c r="C39" s="17">
        <v>32521675.160000008</v>
      </c>
      <c r="D39" s="17"/>
      <c r="E39" s="14">
        <v>2137534.7999999998</v>
      </c>
      <c r="F39" s="14"/>
      <c r="G39" s="14">
        <v>0</v>
      </c>
      <c r="H39" s="14"/>
      <c r="I39" s="14">
        <v>0</v>
      </c>
      <c r="J39" s="14"/>
      <c r="K39" s="14">
        <v>0</v>
      </c>
      <c r="L39" s="14"/>
      <c r="M39" s="14">
        <v>0</v>
      </c>
      <c r="N39" s="14"/>
      <c r="O39" s="14">
        <v>0</v>
      </c>
      <c r="P39" s="14"/>
      <c r="Q39" s="14">
        <v>-93042.37</v>
      </c>
      <c r="R39" s="19"/>
      <c r="S39" s="14">
        <v>0</v>
      </c>
      <c r="T39" s="26"/>
      <c r="U39" s="26">
        <f t="shared" si="2"/>
        <v>34566167.590000004</v>
      </c>
      <c r="V39" s="26"/>
      <c r="W39" s="3"/>
    </row>
    <row r="40" spans="1:23" x14ac:dyDescent="0.2">
      <c r="B40" s="3" t="s">
        <v>18</v>
      </c>
      <c r="C40" s="17">
        <v>24444848.720000003</v>
      </c>
      <c r="D40" s="17"/>
      <c r="E40" s="14">
        <v>740838.21</v>
      </c>
      <c r="F40" s="14"/>
      <c r="G40" s="14">
        <v>0</v>
      </c>
      <c r="H40" s="14"/>
      <c r="I40" s="14">
        <v>0</v>
      </c>
      <c r="J40" s="14"/>
      <c r="K40" s="14">
        <v>0</v>
      </c>
      <c r="L40" s="14"/>
      <c r="M40" s="14">
        <v>0</v>
      </c>
      <c r="N40" s="14"/>
      <c r="O40" s="14">
        <v>0</v>
      </c>
      <c r="P40" s="14"/>
      <c r="Q40" s="14">
        <v>-52231.96</v>
      </c>
      <c r="R40" s="19"/>
      <c r="S40" s="14">
        <v>0</v>
      </c>
      <c r="T40" s="26"/>
      <c r="U40" s="26">
        <f t="shared" si="2"/>
        <v>25133454.970000003</v>
      </c>
      <c r="V40" s="26"/>
      <c r="W40" s="3"/>
    </row>
    <row r="41" spans="1:23" x14ac:dyDescent="0.2">
      <c r="B41" s="3" t="s">
        <v>29</v>
      </c>
      <c r="C41" s="16">
        <v>0</v>
      </c>
      <c r="D41" s="17"/>
      <c r="E41" s="14">
        <v>0</v>
      </c>
      <c r="F41" s="14"/>
      <c r="G41" s="14">
        <v>0</v>
      </c>
      <c r="H41" s="14"/>
      <c r="I41" s="14">
        <v>0</v>
      </c>
      <c r="J41" s="14"/>
      <c r="K41" s="14">
        <v>0</v>
      </c>
      <c r="L41" s="14"/>
      <c r="M41" s="14">
        <v>0</v>
      </c>
      <c r="N41" s="14"/>
      <c r="O41" s="14">
        <v>0</v>
      </c>
      <c r="P41" s="14"/>
      <c r="Q41" s="14">
        <v>0</v>
      </c>
      <c r="R41" s="19"/>
      <c r="S41" s="14">
        <v>0</v>
      </c>
      <c r="T41" s="26"/>
      <c r="U41" s="27">
        <f t="shared" si="2"/>
        <v>0</v>
      </c>
      <c r="V41" s="26"/>
      <c r="W41" s="3"/>
    </row>
    <row r="42" spans="1:23" x14ac:dyDescent="0.2">
      <c r="B42" s="20"/>
      <c r="C42" s="17">
        <f>SUM(C35:C41)</f>
        <v>110427550.55000003</v>
      </c>
      <c r="D42" s="17"/>
      <c r="E42" s="18">
        <f>SUM(E35:E41)</f>
        <v>4636362.8699999992</v>
      </c>
      <c r="F42" s="17"/>
      <c r="G42" s="18">
        <f>SUM(G35:G41)</f>
        <v>0</v>
      </c>
      <c r="H42" s="17"/>
      <c r="I42" s="18">
        <f>SUM(I35:I41)</f>
        <v>0</v>
      </c>
      <c r="J42" s="17"/>
      <c r="K42" s="18">
        <f>SUM(K35:K41)</f>
        <v>0</v>
      </c>
      <c r="L42" s="17"/>
      <c r="M42" s="18">
        <f>SUM(M35:M41)</f>
        <v>0</v>
      </c>
      <c r="N42" s="17"/>
      <c r="O42" s="18">
        <f>SUM(O35:O41)</f>
        <v>0</v>
      </c>
      <c r="P42" s="17"/>
      <c r="Q42" s="18">
        <f>SUM(Q35:Q41)</f>
        <v>-606025.3899999999</v>
      </c>
      <c r="R42" s="26"/>
      <c r="S42" s="18">
        <f>SUM(S35:S41)</f>
        <v>0</v>
      </c>
      <c r="T42" s="26"/>
      <c r="U42" s="17">
        <f>SUM(U35:U41)</f>
        <v>114457888.03000002</v>
      </c>
      <c r="V42" s="17"/>
      <c r="W42" s="3"/>
    </row>
    <row r="43" spans="1:23" x14ac:dyDescent="0.2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3"/>
    </row>
    <row r="44" spans="1:23" x14ac:dyDescent="0.2">
      <c r="A44" s="12" t="s">
        <v>53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3"/>
    </row>
    <row r="45" spans="1:23" x14ac:dyDescent="0.2">
      <c r="A45" s="12"/>
      <c r="B45" s="3" t="s">
        <v>12</v>
      </c>
      <c r="C45" s="19">
        <f>C10+C25+C35</f>
        <v>-662153873.81000006</v>
      </c>
      <c r="D45" s="19"/>
      <c r="E45" s="19">
        <f>E10+E25+E35</f>
        <v>-44926213.840000004</v>
      </c>
      <c r="F45" s="19"/>
      <c r="G45" s="19">
        <f>G10+G25+G35</f>
        <v>25441207.449999999</v>
      </c>
      <c r="H45" s="19"/>
      <c r="I45" s="19">
        <f>I10+I25+I35</f>
        <v>153213.33000000002</v>
      </c>
      <c r="J45" s="19"/>
      <c r="K45" s="19">
        <f>K10+K25+K35</f>
        <v>0</v>
      </c>
      <c r="L45" s="19"/>
      <c r="M45" s="19">
        <f>M10+M25+M35</f>
        <v>0</v>
      </c>
      <c r="N45" s="19"/>
      <c r="O45" s="19">
        <f>O10+O25+O35</f>
        <v>7327480.5</v>
      </c>
      <c r="P45" s="19"/>
      <c r="Q45" s="19">
        <f>Q10+Q25+Q35</f>
        <v>-437076.06</v>
      </c>
      <c r="R45" s="19"/>
      <c r="S45" s="19">
        <f>S10+S25+S35</f>
        <v>-469483.01</v>
      </c>
      <c r="T45" s="19"/>
      <c r="U45" s="19">
        <f>U10+U25+U35</f>
        <v>-675064745.43999994</v>
      </c>
      <c r="V45" s="19"/>
      <c r="W45" s="3"/>
    </row>
    <row r="46" spans="1:23" x14ac:dyDescent="0.2">
      <c r="A46" s="12"/>
      <c r="B46" s="3" t="s">
        <v>46</v>
      </c>
      <c r="C46" s="19">
        <f>C11</f>
        <v>-124497.79999999996</v>
      </c>
      <c r="D46" s="19"/>
      <c r="E46" s="19">
        <f>E11</f>
        <v>-2559.9499999999998</v>
      </c>
      <c r="F46" s="19"/>
      <c r="G46" s="19">
        <f>G11</f>
        <v>1700.75</v>
      </c>
      <c r="H46" s="19"/>
      <c r="I46" s="19">
        <f>I11</f>
        <v>0</v>
      </c>
      <c r="J46" s="19"/>
      <c r="K46" s="19">
        <f>K11</f>
        <v>0</v>
      </c>
      <c r="L46" s="19"/>
      <c r="M46" s="19">
        <f>M11</f>
        <v>0</v>
      </c>
      <c r="N46" s="19"/>
      <c r="O46" s="19">
        <f>O11</f>
        <v>0</v>
      </c>
      <c r="P46" s="19"/>
      <c r="Q46" s="19">
        <f>Q11</f>
        <v>0</v>
      </c>
      <c r="R46" s="19"/>
      <c r="S46" s="19">
        <f>S11</f>
        <v>0</v>
      </c>
      <c r="T46" s="19"/>
      <c r="U46" s="19">
        <f>U11</f>
        <v>-125356.99999999996</v>
      </c>
      <c r="V46" s="19"/>
      <c r="W46" s="3"/>
    </row>
    <row r="47" spans="1:23" x14ac:dyDescent="0.2">
      <c r="A47" s="12"/>
      <c r="B47" s="3" t="s">
        <v>13</v>
      </c>
      <c r="C47" s="19">
        <f>C12+C26+C36</f>
        <v>-60586978.010000005</v>
      </c>
      <c r="D47" s="19"/>
      <c r="E47" s="19">
        <f>E12+E26+E36</f>
        <v>-11625717.140000001</v>
      </c>
      <c r="F47" s="19"/>
      <c r="G47" s="19">
        <f>G12+G26+G36</f>
        <v>5739015.4199999999</v>
      </c>
      <c r="H47" s="19"/>
      <c r="I47" s="19">
        <f>I12+I26+I36</f>
        <v>-13259.090000000022</v>
      </c>
      <c r="J47" s="19"/>
      <c r="K47" s="19">
        <f>K12+K26+K36</f>
        <v>0</v>
      </c>
      <c r="L47" s="19"/>
      <c r="M47" s="19">
        <f>M12+M26+M36</f>
        <v>0</v>
      </c>
      <c r="N47" s="19"/>
      <c r="O47" s="19">
        <f>O12+O26+O36</f>
        <v>29109.11</v>
      </c>
      <c r="P47" s="19"/>
      <c r="Q47" s="19">
        <f>Q12+Q26+Q36</f>
        <v>0</v>
      </c>
      <c r="R47" s="19"/>
      <c r="S47" s="19">
        <f>S12+S26+S36</f>
        <v>0</v>
      </c>
      <c r="T47" s="19"/>
      <c r="U47" s="19">
        <f>U12+U26+U36</f>
        <v>-66457829.710000001</v>
      </c>
      <c r="V47" s="19"/>
      <c r="W47" s="3"/>
    </row>
    <row r="48" spans="1:23" x14ac:dyDescent="0.2">
      <c r="A48" s="12"/>
      <c r="B48" s="3" t="s">
        <v>14</v>
      </c>
      <c r="C48" s="19">
        <f>C13+C27+C37</f>
        <v>-11829864.24</v>
      </c>
      <c r="D48" s="19"/>
      <c r="E48" s="19">
        <f>E13+E27+E37</f>
        <v>-1218295.5100000002</v>
      </c>
      <c r="F48" s="19"/>
      <c r="G48" s="19">
        <f>G13+G27+G37</f>
        <v>23675</v>
      </c>
      <c r="H48" s="19"/>
      <c r="I48" s="19">
        <f>I13+I27+I37</f>
        <v>0</v>
      </c>
      <c r="J48" s="19"/>
      <c r="K48" s="19">
        <f>K13+K27+K37</f>
        <v>0</v>
      </c>
      <c r="L48" s="19"/>
      <c r="M48" s="19">
        <f>M13+M27+M37</f>
        <v>0</v>
      </c>
      <c r="N48" s="19"/>
      <c r="O48" s="19">
        <f>O13+O27+O37</f>
        <v>0</v>
      </c>
      <c r="P48" s="19"/>
      <c r="Q48" s="19">
        <f>Q13+Q27+Q37</f>
        <v>-23675</v>
      </c>
      <c r="R48" s="19"/>
      <c r="S48" s="19">
        <f>S13+S27+S37</f>
        <v>0</v>
      </c>
      <c r="T48" s="19"/>
      <c r="U48" s="19">
        <f>U13+U27+U37</f>
        <v>-13048159.750000002</v>
      </c>
      <c r="V48" s="19"/>
      <c r="W48" s="3"/>
    </row>
    <row r="49" spans="1:23" x14ac:dyDescent="0.2">
      <c r="A49" s="12"/>
      <c r="B49" s="3" t="s">
        <v>47</v>
      </c>
      <c r="C49" s="19">
        <f>C14</f>
        <v>-19701.79</v>
      </c>
      <c r="D49" s="19"/>
      <c r="E49" s="19">
        <f>E14</f>
        <v>-17888.16</v>
      </c>
      <c r="F49" s="19"/>
      <c r="G49" s="19">
        <f>G14</f>
        <v>0</v>
      </c>
      <c r="H49" s="19"/>
      <c r="I49" s="19">
        <f>I14</f>
        <v>0</v>
      </c>
      <c r="J49" s="19"/>
      <c r="K49" s="19">
        <f>K14</f>
        <v>0</v>
      </c>
      <c r="L49" s="19"/>
      <c r="M49" s="19">
        <f>M14</f>
        <v>0</v>
      </c>
      <c r="N49" s="19"/>
      <c r="O49" s="19">
        <f>O14</f>
        <v>0</v>
      </c>
      <c r="P49" s="19"/>
      <c r="Q49" s="19">
        <f>Q14</f>
        <v>0</v>
      </c>
      <c r="R49" s="19"/>
      <c r="S49" s="19">
        <f>S14</f>
        <v>0</v>
      </c>
      <c r="T49" s="19"/>
      <c r="U49" s="19">
        <f>U14</f>
        <v>-37589.949999999997</v>
      </c>
      <c r="V49" s="19"/>
      <c r="W49" s="3"/>
    </row>
    <row r="50" spans="1:23" x14ac:dyDescent="0.2">
      <c r="A50" s="12"/>
      <c r="B50" s="3" t="s">
        <v>16</v>
      </c>
      <c r="C50" s="19">
        <f>C15+C28+C38</f>
        <v>-282007645.36000001</v>
      </c>
      <c r="D50" s="19"/>
      <c r="E50" s="19">
        <f>E15+E28+E38</f>
        <v>-37957281.129999995</v>
      </c>
      <c r="F50" s="19"/>
      <c r="G50" s="19">
        <f>G15+G28+G38</f>
        <v>3080794.96</v>
      </c>
      <c r="H50" s="19"/>
      <c r="I50" s="19">
        <f>I15+I28+I38</f>
        <v>0</v>
      </c>
      <c r="J50" s="19"/>
      <c r="K50" s="19">
        <f>K15+K28+K38</f>
        <v>0</v>
      </c>
      <c r="L50" s="19"/>
      <c r="M50" s="19">
        <f>M15+M28+M38</f>
        <v>0</v>
      </c>
      <c r="N50" s="19"/>
      <c r="O50" s="19">
        <f>O15+O28+O38</f>
        <v>411258.45</v>
      </c>
      <c r="P50" s="19"/>
      <c r="Q50" s="19">
        <f>Q15+Q28+Q38</f>
        <v>0</v>
      </c>
      <c r="R50" s="19"/>
      <c r="S50" s="19">
        <f>S15+S28+S38</f>
        <v>0</v>
      </c>
      <c r="T50" s="19"/>
      <c r="U50" s="19">
        <f>U15+U28+U38</f>
        <v>-316472873.07999998</v>
      </c>
      <c r="V50" s="19"/>
      <c r="W50" s="3"/>
    </row>
    <row r="51" spans="1:23" x14ac:dyDescent="0.2">
      <c r="A51" s="12"/>
      <c r="B51" s="3" t="s">
        <v>48</v>
      </c>
      <c r="C51" s="19">
        <f>C16</f>
        <v>-32972.979999999996</v>
      </c>
      <c r="D51" s="19"/>
      <c r="E51" s="19">
        <f>E16</f>
        <v>-20404.599999999999</v>
      </c>
      <c r="F51" s="19"/>
      <c r="G51" s="19">
        <f>G16</f>
        <v>0</v>
      </c>
      <c r="H51" s="19"/>
      <c r="I51" s="19">
        <f>I16</f>
        <v>0</v>
      </c>
      <c r="J51" s="19"/>
      <c r="K51" s="19">
        <f>K16</f>
        <v>0</v>
      </c>
      <c r="L51" s="19"/>
      <c r="M51" s="19">
        <f>M16</f>
        <v>0</v>
      </c>
      <c r="N51" s="19"/>
      <c r="O51" s="19">
        <f>O16</f>
        <v>0</v>
      </c>
      <c r="P51" s="19"/>
      <c r="Q51" s="19">
        <f>Q16</f>
        <v>0</v>
      </c>
      <c r="R51" s="19"/>
      <c r="S51" s="19">
        <f>S16</f>
        <v>0</v>
      </c>
      <c r="T51" s="19"/>
      <c r="U51" s="19">
        <f>U16</f>
        <v>-53377.579999999994</v>
      </c>
      <c r="V51" s="19"/>
      <c r="W51" s="3"/>
    </row>
    <row r="52" spans="1:23" x14ac:dyDescent="0.2">
      <c r="A52" s="12"/>
      <c r="B52" s="3" t="s">
        <v>17</v>
      </c>
      <c r="C52" s="19">
        <f>C17+C29+C39</f>
        <v>-1574554299.8999999</v>
      </c>
      <c r="D52" s="19"/>
      <c r="E52" s="19">
        <f>E17+E29+E39</f>
        <v>-125901683.71000001</v>
      </c>
      <c r="F52" s="19"/>
      <c r="G52" s="19">
        <f>G17+G29+G39</f>
        <v>14353801.390000001</v>
      </c>
      <c r="H52" s="19"/>
      <c r="I52" s="19">
        <f>I17+I29+I39</f>
        <v>0</v>
      </c>
      <c r="J52" s="19"/>
      <c r="K52" s="19">
        <f>K17+K29+K39</f>
        <v>0</v>
      </c>
      <c r="L52" s="19"/>
      <c r="M52" s="19">
        <f>M17+M29+M39</f>
        <v>0</v>
      </c>
      <c r="N52" s="19"/>
      <c r="O52" s="19">
        <f>O17+O29+O39</f>
        <v>7763019.1799999997</v>
      </c>
      <c r="P52" s="19"/>
      <c r="Q52" s="19">
        <f>Q17+Q29+Q39</f>
        <v>-93042.37</v>
      </c>
      <c r="R52" s="19"/>
      <c r="S52" s="19">
        <f>S17+S29+S39</f>
        <v>-151771.82999999999</v>
      </c>
      <c r="T52" s="19"/>
      <c r="U52" s="19">
        <f>U17+U29+U39</f>
        <v>-1678583977.24</v>
      </c>
      <c r="V52" s="19"/>
      <c r="W52" s="3"/>
    </row>
    <row r="53" spans="1:23" x14ac:dyDescent="0.2">
      <c r="A53" s="12"/>
      <c r="B53" s="3" t="s">
        <v>49</v>
      </c>
      <c r="C53" s="19">
        <f>C18</f>
        <v>-93356858.729999989</v>
      </c>
      <c r="D53" s="19"/>
      <c r="E53" s="19">
        <f>E18</f>
        <v>-20831566.579999998</v>
      </c>
      <c r="F53" s="19"/>
      <c r="G53" s="19">
        <f>G18</f>
        <v>203134</v>
      </c>
      <c r="H53" s="19"/>
      <c r="I53" s="19">
        <f>I18</f>
        <v>0</v>
      </c>
      <c r="J53" s="19"/>
      <c r="K53" s="19">
        <f>K18</f>
        <v>0</v>
      </c>
      <c r="L53" s="19"/>
      <c r="M53" s="19">
        <f>M18</f>
        <v>0</v>
      </c>
      <c r="N53" s="19"/>
      <c r="O53" s="19">
        <f>O18</f>
        <v>0</v>
      </c>
      <c r="P53" s="19"/>
      <c r="Q53" s="19">
        <f>Q18</f>
        <v>0</v>
      </c>
      <c r="R53" s="19"/>
      <c r="S53" s="19">
        <f>S18</f>
        <v>0</v>
      </c>
      <c r="T53" s="19"/>
      <c r="U53" s="19">
        <f>U18</f>
        <v>-113985291.30999999</v>
      </c>
      <c r="V53" s="19"/>
      <c r="W53" s="3"/>
    </row>
    <row r="54" spans="1:23" x14ac:dyDescent="0.2">
      <c r="A54" s="12"/>
      <c r="B54" s="3" t="s">
        <v>18</v>
      </c>
      <c r="C54" s="19">
        <f>C19+C30+C40</f>
        <v>-342056636.38</v>
      </c>
      <c r="D54" s="19"/>
      <c r="E54" s="19">
        <f>E19+E30+E40</f>
        <v>-18580790.619999997</v>
      </c>
      <c r="F54" s="19"/>
      <c r="G54" s="19">
        <f>G19+G30+G40</f>
        <v>12699756.27</v>
      </c>
      <c r="H54" s="19"/>
      <c r="I54" s="19">
        <f>I19+I30+I40</f>
        <v>-167592.1</v>
      </c>
      <c r="J54" s="19"/>
      <c r="K54" s="19">
        <f>K19+K30+K40</f>
        <v>0</v>
      </c>
      <c r="L54" s="19"/>
      <c r="M54" s="19">
        <f>M19+M30+M40</f>
        <v>0</v>
      </c>
      <c r="N54" s="19"/>
      <c r="O54" s="19">
        <f>O19+O30+O40</f>
        <v>5457492.21</v>
      </c>
      <c r="P54" s="19"/>
      <c r="Q54" s="19">
        <f>Q19+Q30+Q40</f>
        <v>-52231.96</v>
      </c>
      <c r="R54" s="19"/>
      <c r="S54" s="19">
        <f>S19+S30+S40</f>
        <v>-299309.67</v>
      </c>
      <c r="T54" s="19"/>
      <c r="U54" s="19">
        <f>U19+U30+U40</f>
        <v>-342999312.25</v>
      </c>
      <c r="V54" s="19"/>
      <c r="W54" s="3"/>
    </row>
    <row r="55" spans="1:23" x14ac:dyDescent="0.2">
      <c r="A55" s="12"/>
      <c r="B55" s="3" t="s">
        <v>50</v>
      </c>
      <c r="C55" s="19">
        <f>C20</f>
        <v>-53704.109999999993</v>
      </c>
      <c r="D55" s="19"/>
      <c r="E55" s="19">
        <f>E20</f>
        <v>-19263.57</v>
      </c>
      <c r="F55" s="19"/>
      <c r="G55" s="19">
        <f>G20</f>
        <v>0</v>
      </c>
      <c r="H55" s="19"/>
      <c r="I55" s="19">
        <f>I20</f>
        <v>0</v>
      </c>
      <c r="J55" s="19"/>
      <c r="K55" s="19">
        <f>K20</f>
        <v>0</v>
      </c>
      <c r="L55" s="19"/>
      <c r="M55" s="19">
        <f>M20</f>
        <v>0</v>
      </c>
      <c r="N55" s="19"/>
      <c r="O55" s="19">
        <f>O20</f>
        <v>0</v>
      </c>
      <c r="P55" s="19"/>
      <c r="Q55" s="19">
        <f>Q20</f>
        <v>0</v>
      </c>
      <c r="R55" s="19"/>
      <c r="S55" s="19">
        <f>S20</f>
        <v>0</v>
      </c>
      <c r="T55" s="19"/>
      <c r="U55" s="19">
        <f>U20</f>
        <v>-72967.679999999993</v>
      </c>
      <c r="V55" s="19"/>
      <c r="W55" s="3"/>
    </row>
    <row r="56" spans="1:23" x14ac:dyDescent="0.2">
      <c r="A56" s="12"/>
      <c r="B56" s="3" t="s">
        <v>29</v>
      </c>
      <c r="C56" s="27">
        <v>0</v>
      </c>
      <c r="D56" s="19"/>
      <c r="E56" s="27">
        <v>0</v>
      </c>
      <c r="F56" s="19"/>
      <c r="G56" s="27">
        <v>0</v>
      </c>
      <c r="H56" s="19"/>
      <c r="I56" s="27">
        <v>0</v>
      </c>
      <c r="J56" s="26"/>
      <c r="K56" s="27">
        <v>0</v>
      </c>
      <c r="L56" s="19"/>
      <c r="M56" s="27">
        <v>0</v>
      </c>
      <c r="N56" s="19"/>
      <c r="O56" s="27">
        <v>0</v>
      </c>
      <c r="P56" s="19"/>
      <c r="Q56" s="27">
        <v>0</v>
      </c>
      <c r="R56" s="19"/>
      <c r="S56" s="27">
        <v>0</v>
      </c>
      <c r="T56" s="19"/>
      <c r="U56" s="27">
        <v>0</v>
      </c>
      <c r="V56" s="26"/>
      <c r="W56" s="3"/>
    </row>
    <row r="57" spans="1:23" x14ac:dyDescent="0.2">
      <c r="B57" s="20"/>
      <c r="C57" s="26">
        <f>SUM(C45:C56)</f>
        <v>-3026777033.1100001</v>
      </c>
      <c r="D57" s="26"/>
      <c r="E57" s="26">
        <f>SUM(E45:E56)</f>
        <v>-261101664.81</v>
      </c>
      <c r="F57" s="26"/>
      <c r="G57" s="26">
        <f>SUM(G45:G56)</f>
        <v>61543085.239999995</v>
      </c>
      <c r="H57" s="26"/>
      <c r="I57" s="26">
        <f>SUM(I45:I56)</f>
        <v>-27637.860000000015</v>
      </c>
      <c r="J57" s="26"/>
      <c r="K57" s="26">
        <f>SUM(K45:K56)</f>
        <v>0</v>
      </c>
      <c r="L57" s="26"/>
      <c r="M57" s="26">
        <f>SUM(M45:M56)</f>
        <v>0</v>
      </c>
      <c r="N57" s="26"/>
      <c r="O57" s="26">
        <f>SUM(O45:O56)</f>
        <v>20988359.449999999</v>
      </c>
      <c r="P57" s="26"/>
      <c r="Q57" s="26">
        <f>SUM(Q45:Q56)</f>
        <v>-606025.3899999999</v>
      </c>
      <c r="R57" s="26"/>
      <c r="S57" s="26">
        <f>SUM(S45:S56)</f>
        <v>-920564.51</v>
      </c>
      <c r="T57" s="26"/>
      <c r="U57" s="26">
        <f>SUM(U45:U56)</f>
        <v>-3206901480.9899998</v>
      </c>
      <c r="V57" s="26"/>
      <c r="W57" s="15">
        <f>+O57+Q57+S57+M60+K60</f>
        <v>2.9103830456733704E-10</v>
      </c>
    </row>
    <row r="58" spans="1:23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3"/>
    </row>
    <row r="59" spans="1:23" ht="13.5" customHeight="1" x14ac:dyDescent="0.2">
      <c r="A59" s="12" t="s">
        <v>54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3"/>
    </row>
    <row r="60" spans="1:23" x14ac:dyDescent="0.2">
      <c r="B60" s="3" t="s">
        <v>11</v>
      </c>
      <c r="C60" s="19">
        <v>26176244.770000018</v>
      </c>
      <c r="D60" s="19"/>
      <c r="E60" s="19">
        <v>0</v>
      </c>
      <c r="F60" s="19"/>
      <c r="G60" s="19">
        <v>0</v>
      </c>
      <c r="H60" s="19"/>
      <c r="I60" s="19">
        <v>19720.13</v>
      </c>
      <c r="J60" s="19"/>
      <c r="K60" s="19">
        <f>-49485.72-26673.28-181617.82</f>
        <v>-257776.82</v>
      </c>
      <c r="L60" s="19"/>
      <c r="M60" s="19">
        <f>-311903.87+50642.95-1374113.6+39559.99-1140895.58+6482.81-1152753.95+11265.18-2090517.91+97701.31-1669205.28+179693.72+49485.72-4354358.67+76544.72+26673.28-2037953.09+27468.35+40703-2120827.94+181617.82-1910873.31+67068.75-1552066.47+6558.25+-352325.27+2336.36</f>
        <v>-19203992.729999997</v>
      </c>
      <c r="N60" s="19"/>
      <c r="O60" s="19">
        <f>1188355.35+71586.15+1101.96+948316.54+5369264.67+12150.18+77920.03+1062274.26-4981.22+1405057.08+1872819.25+1301838.89+737.71+1060.05+1636534.98+10293.69+1129069.47+15809.61+2405774.36+1980249.72+377.32+121200.72+1868419.25</f>
        <v>22475230.02</v>
      </c>
      <c r="P60" s="19"/>
      <c r="Q60" s="19">
        <f>-42462.66-54668.79-28120.84-169515.35-26492.64-79049.37-87117.32-15651.54-66083.64-27929.63-24461.89+-54084.1</f>
        <v>-675637.77</v>
      </c>
      <c r="R60" s="19">
        <v>-5433.49</v>
      </c>
      <c r="S60" s="19">
        <f>-55826.45-234910.88-264509.89+99225.01-101794.01-109451.88-180216.51-5433.49-21611.23-141704.87-54844.84+1649.83</f>
        <v>-1069429.21</v>
      </c>
      <c r="T60" s="19"/>
      <c r="U60" s="19">
        <f>S60+Q60+O60+M60+I60+G60+E60+C60+K60</f>
        <v>27464358.390000019</v>
      </c>
      <c r="V60" s="19"/>
      <c r="W60" s="30">
        <v>27464358.390000001</v>
      </c>
    </row>
    <row r="61" spans="1:23" x14ac:dyDescent="0.2">
      <c r="B61" s="20"/>
      <c r="C61" s="31">
        <f>SUM(C60:C60)</f>
        <v>26176244.770000018</v>
      </c>
      <c r="D61" s="19"/>
      <c r="E61" s="31">
        <f>SUM(E60:E60)</f>
        <v>0</v>
      </c>
      <c r="F61" s="19"/>
      <c r="G61" s="31">
        <f>SUM(G60:G60)</f>
        <v>0</v>
      </c>
      <c r="H61" s="19"/>
      <c r="I61" s="31">
        <f>SUM(I60:I60)</f>
        <v>19720.13</v>
      </c>
      <c r="J61" s="26"/>
      <c r="K61" s="31">
        <f>SUM(K60:K60)</f>
        <v>-257776.82</v>
      </c>
      <c r="L61" s="19"/>
      <c r="M61" s="31">
        <f>SUM(M60:M60)</f>
        <v>-19203992.729999997</v>
      </c>
      <c r="N61" s="19"/>
      <c r="O61" s="31">
        <f>SUM(O60:O60)</f>
        <v>22475230.02</v>
      </c>
      <c r="P61" s="19"/>
      <c r="Q61" s="31">
        <f>SUM(Q60:Q60)</f>
        <v>-675637.77</v>
      </c>
      <c r="R61" s="19"/>
      <c r="S61" s="31">
        <f>SUM(S60:S60)</f>
        <v>-1069429.21</v>
      </c>
      <c r="T61" s="19"/>
      <c r="U61" s="31">
        <f>SUM(U60:U60)</f>
        <v>27464358.390000019</v>
      </c>
      <c r="V61" s="26"/>
      <c r="W61" s="15">
        <f>+U60-W60</f>
        <v>0</v>
      </c>
    </row>
    <row r="62" spans="1:23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3"/>
    </row>
    <row r="63" spans="1:23" x14ac:dyDescent="0.2">
      <c r="B63" s="20" t="s">
        <v>55</v>
      </c>
      <c r="C63" s="27">
        <f>C57+C61</f>
        <v>-3000600788.3400002</v>
      </c>
      <c r="D63" s="19"/>
      <c r="E63" s="27">
        <f>E57+E61</f>
        <v>-261101664.81</v>
      </c>
      <c r="F63" s="19"/>
      <c r="G63" s="27">
        <f>G57+G61</f>
        <v>61543085.239999995</v>
      </c>
      <c r="H63" s="19"/>
      <c r="I63" s="27">
        <f>I57+I61</f>
        <v>-7917.7300000000141</v>
      </c>
      <c r="J63" s="26"/>
      <c r="K63" s="27">
        <f>K57+K61</f>
        <v>-257776.82</v>
      </c>
      <c r="L63" s="19"/>
      <c r="M63" s="27">
        <f>M57+M61</f>
        <v>-19203992.729999997</v>
      </c>
      <c r="N63" s="19"/>
      <c r="O63" s="27">
        <f>O57+O61</f>
        <v>43463589.469999999</v>
      </c>
      <c r="P63" s="19"/>
      <c r="Q63" s="27">
        <f>Q57+Q61</f>
        <v>-1281663.1599999999</v>
      </c>
      <c r="R63" s="19"/>
      <c r="S63" s="27">
        <f>S57+S61</f>
        <v>-1989993.72</v>
      </c>
      <c r="T63" s="19"/>
      <c r="U63" s="27">
        <f>U57+U61</f>
        <v>-3179437122.5999999</v>
      </c>
      <c r="V63" s="26"/>
      <c r="W63" s="3"/>
    </row>
    <row r="64" spans="1:23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3"/>
    </row>
    <row r="65" spans="1:23" x14ac:dyDescent="0.2">
      <c r="A65" s="12" t="s">
        <v>56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3"/>
    </row>
    <row r="66" spans="1:23" x14ac:dyDescent="0.2">
      <c r="B66" s="3" t="s">
        <v>11</v>
      </c>
      <c r="C66" s="27">
        <v>-50597023.839999989</v>
      </c>
      <c r="D66" s="26"/>
      <c r="E66" s="14">
        <v>-15572212.75</v>
      </c>
      <c r="F66" s="26"/>
      <c r="G66" s="14">
        <v>7464577.3600000003</v>
      </c>
      <c r="H66" s="26"/>
      <c r="I66" s="14">
        <v>0</v>
      </c>
      <c r="J66" s="26"/>
      <c r="K66" s="14">
        <v>0</v>
      </c>
      <c r="L66" s="26"/>
      <c r="M66" s="14">
        <v>0</v>
      </c>
      <c r="N66" s="26"/>
      <c r="O66" s="14">
        <v>0</v>
      </c>
      <c r="P66" s="26"/>
      <c r="Q66" s="14">
        <v>0</v>
      </c>
      <c r="R66" s="26"/>
      <c r="S66" s="14">
        <v>0</v>
      </c>
      <c r="T66" s="26"/>
      <c r="U66" s="27">
        <f>S66+Q66+O66+M66+I66+G66+E66+C66</f>
        <v>-58704659.229999989</v>
      </c>
      <c r="V66" s="26"/>
      <c r="W66" s="3"/>
    </row>
    <row r="67" spans="1:23" x14ac:dyDescent="0.2">
      <c r="B67" s="20"/>
      <c r="C67" s="26">
        <f>SUM(C66:C66)</f>
        <v>-50597023.839999989</v>
      </c>
      <c r="D67" s="26"/>
      <c r="E67" s="32">
        <f>SUM(E66:E66)</f>
        <v>-15572212.75</v>
      </c>
      <c r="F67" s="26"/>
      <c r="G67" s="32">
        <f>SUM(G66:G66)</f>
        <v>7464577.3600000003</v>
      </c>
      <c r="H67" s="26"/>
      <c r="I67" s="32">
        <f>SUM(I66:I66)</f>
        <v>0</v>
      </c>
      <c r="J67" s="26"/>
      <c r="K67" s="32">
        <f>SUM(K66:K66)</f>
        <v>0</v>
      </c>
      <c r="L67" s="26"/>
      <c r="M67" s="32">
        <f>SUM(M66:M66)</f>
        <v>0</v>
      </c>
      <c r="N67" s="26"/>
      <c r="O67" s="32">
        <f>SUM(O66:O66)</f>
        <v>0</v>
      </c>
      <c r="P67" s="26"/>
      <c r="Q67" s="32">
        <f>SUM(Q66:Q66)</f>
        <v>0</v>
      </c>
      <c r="R67" s="26"/>
      <c r="S67" s="32">
        <f>SUM(S66:S66)</f>
        <v>0</v>
      </c>
      <c r="T67" s="26"/>
      <c r="U67" s="26">
        <f>SUM(U66:U66)</f>
        <v>-58704659.229999989</v>
      </c>
      <c r="V67" s="26"/>
      <c r="W67" s="3"/>
    </row>
    <row r="68" spans="1:23" x14ac:dyDescent="0.2">
      <c r="B68" s="20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3"/>
    </row>
    <row r="69" spans="1:23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3"/>
    </row>
    <row r="70" spans="1:23" ht="13.5" thickBot="1" x14ac:dyDescent="0.25">
      <c r="B70" s="20" t="s">
        <v>57</v>
      </c>
      <c r="C70" s="33">
        <f>C63+C67</f>
        <v>-3051197812.1800003</v>
      </c>
      <c r="D70" s="19"/>
      <c r="E70" s="33">
        <f>E63+E67</f>
        <v>-276673877.56</v>
      </c>
      <c r="F70" s="19"/>
      <c r="G70" s="33">
        <f>G63+G67</f>
        <v>69007662.599999994</v>
      </c>
      <c r="H70" s="19"/>
      <c r="I70" s="33">
        <f>I63+I67</f>
        <v>-7917.7300000000141</v>
      </c>
      <c r="J70" s="26"/>
      <c r="K70" s="33">
        <f>K63+K67</f>
        <v>-257776.82</v>
      </c>
      <c r="L70" s="19"/>
      <c r="M70" s="33">
        <f>M63+M67</f>
        <v>-19203992.729999997</v>
      </c>
      <c r="N70" s="19"/>
      <c r="O70" s="33">
        <f>O63+O67</f>
        <v>43463589.469999999</v>
      </c>
      <c r="P70" s="19"/>
      <c r="Q70" s="33">
        <f>Q63+Q67</f>
        <v>-1281663.1599999999</v>
      </c>
      <c r="R70" s="19"/>
      <c r="S70" s="33">
        <f>S63+S67</f>
        <v>-1989993.72</v>
      </c>
      <c r="T70" s="19"/>
      <c r="U70" s="33">
        <f>U63+U67</f>
        <v>-3238141781.8299999</v>
      </c>
      <c r="V70" s="26"/>
      <c r="W70" s="3"/>
    </row>
    <row r="71" spans="1:23" ht="13.5" thickTop="1" x14ac:dyDescent="0.2">
      <c r="B71" s="20"/>
      <c r="C71" s="26"/>
      <c r="D71" s="19"/>
      <c r="E71" s="26"/>
      <c r="F71" s="19"/>
      <c r="G71" s="26"/>
      <c r="H71" s="19"/>
      <c r="I71" s="26"/>
      <c r="J71" s="26"/>
      <c r="K71" s="26"/>
      <c r="L71" s="19"/>
      <c r="M71" s="26"/>
      <c r="N71" s="19"/>
      <c r="O71" s="26"/>
      <c r="P71" s="19"/>
      <c r="Q71" s="26"/>
      <c r="R71" s="19"/>
      <c r="S71" s="26"/>
      <c r="T71" s="19"/>
      <c r="U71" s="26"/>
      <c r="V71" s="26"/>
      <c r="W71" s="3"/>
    </row>
    <row r="72" spans="1:23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3"/>
    </row>
    <row r="73" spans="1:23" x14ac:dyDescent="0.2">
      <c r="A73" s="12" t="s">
        <v>58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3"/>
    </row>
    <row r="74" spans="1:23" ht="13.5" thickBot="1" x14ac:dyDescent="0.25">
      <c r="A74" s="12" t="s">
        <v>59</v>
      </c>
      <c r="C74" s="33">
        <f>'KU_Summary - Cost - P1 (REG)'!D74+'KU_Summary - Reserve - P2 (REG)'!C70</f>
        <v>6215350113.7530003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33">
        <f>'KU_Summary - Cost - P1 (REG)'!N74+'KU_Summary - Reserve - P2 (REG)'!U70</f>
        <v>6360210051.5130005</v>
      </c>
      <c r="V74" s="26"/>
      <c r="W74" s="3"/>
    </row>
    <row r="75" spans="1:23" ht="13.5" thickTop="1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3"/>
    </row>
    <row r="76" spans="1:23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3"/>
    </row>
    <row r="77" spans="1:23" x14ac:dyDescent="0.2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0"/>
    </row>
    <row r="78" spans="1:23" x14ac:dyDescent="0.2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"/>
    </row>
    <row r="79" spans="1:23" x14ac:dyDescent="0.2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"/>
    </row>
    <row r="80" spans="1:23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"/>
    </row>
    <row r="81" spans="3:23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"/>
    </row>
    <row r="82" spans="3:23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"/>
    </row>
    <row r="83" spans="3:23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"/>
    </row>
    <row r="84" spans="3:23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"/>
    </row>
    <row r="85" spans="3:23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"/>
    </row>
    <row r="86" spans="3:23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"/>
    </row>
    <row r="87" spans="3:23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"/>
    </row>
    <row r="88" spans="3:23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"/>
    </row>
    <row r="89" spans="3:23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"/>
    </row>
    <row r="90" spans="3:23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"/>
    </row>
    <row r="91" spans="3:23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"/>
    </row>
    <row r="92" spans="3:23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"/>
    </row>
    <row r="93" spans="3:23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"/>
    </row>
    <row r="94" spans="3:23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"/>
    </row>
    <row r="95" spans="3:23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"/>
    </row>
    <row r="96" spans="3:23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"/>
    </row>
    <row r="97" spans="3:23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"/>
    </row>
    <row r="98" spans="3:23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"/>
    </row>
    <row r="99" spans="3:23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"/>
    </row>
    <row r="100" spans="3:23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"/>
    </row>
    <row r="101" spans="3:23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"/>
    </row>
    <row r="102" spans="3:23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"/>
    </row>
    <row r="103" spans="3:23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"/>
    </row>
    <row r="104" spans="3:23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"/>
    </row>
    <row r="105" spans="3:23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"/>
    </row>
    <row r="106" spans="3:23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"/>
    </row>
    <row r="107" spans="3:23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"/>
    </row>
    <row r="108" spans="3:23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"/>
    </row>
    <row r="109" spans="3:23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"/>
    </row>
    <row r="110" spans="3:23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"/>
    </row>
    <row r="111" spans="3:23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"/>
    </row>
    <row r="112" spans="3:23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"/>
    </row>
    <row r="113" spans="3:23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"/>
    </row>
    <row r="114" spans="3:23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"/>
    </row>
    <row r="115" spans="3:23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"/>
    </row>
    <row r="116" spans="3:23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"/>
    </row>
    <row r="117" spans="3:23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"/>
    </row>
    <row r="118" spans="3:23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"/>
    </row>
    <row r="119" spans="3:23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"/>
    </row>
    <row r="120" spans="3:23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"/>
    </row>
    <row r="121" spans="3:23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"/>
    </row>
    <row r="122" spans="3:23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"/>
    </row>
    <row r="123" spans="3:23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"/>
    </row>
    <row r="124" spans="3:23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"/>
    </row>
    <row r="125" spans="3:23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"/>
    </row>
    <row r="126" spans="3:23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"/>
    </row>
    <row r="127" spans="3:23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"/>
    </row>
    <row r="128" spans="3:23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"/>
    </row>
    <row r="129" spans="3:23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"/>
    </row>
    <row r="130" spans="3:23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"/>
    </row>
    <row r="131" spans="3:23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"/>
    </row>
    <row r="132" spans="3:23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"/>
    </row>
    <row r="133" spans="3:23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"/>
    </row>
    <row r="134" spans="3:23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"/>
    </row>
    <row r="135" spans="3:23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"/>
    </row>
    <row r="136" spans="3:23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"/>
    </row>
    <row r="137" spans="3:23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"/>
    </row>
    <row r="138" spans="3:23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"/>
    </row>
    <row r="139" spans="3:23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"/>
    </row>
    <row r="140" spans="3:23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"/>
    </row>
    <row r="141" spans="3:23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"/>
    </row>
    <row r="142" spans="3:23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"/>
    </row>
    <row r="143" spans="3:23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"/>
    </row>
    <row r="144" spans="3:23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"/>
    </row>
    <row r="145" spans="3:23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"/>
    </row>
    <row r="146" spans="3:23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"/>
    </row>
    <row r="147" spans="3:23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"/>
    </row>
    <row r="148" spans="3:23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"/>
    </row>
    <row r="149" spans="3:23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"/>
    </row>
    <row r="150" spans="3:23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"/>
    </row>
    <row r="151" spans="3:23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"/>
    </row>
    <row r="152" spans="3:23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"/>
    </row>
    <row r="153" spans="3:23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"/>
    </row>
    <row r="154" spans="3:23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"/>
    </row>
    <row r="155" spans="3:23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"/>
    </row>
    <row r="156" spans="3:23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"/>
    </row>
    <row r="157" spans="3:23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"/>
    </row>
    <row r="158" spans="3:23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"/>
    </row>
    <row r="159" spans="3:23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"/>
    </row>
    <row r="160" spans="3:23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"/>
    </row>
    <row r="161" spans="3:23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"/>
    </row>
    <row r="162" spans="3:23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"/>
    </row>
    <row r="163" spans="3:23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"/>
    </row>
    <row r="164" spans="3:23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"/>
    </row>
    <row r="165" spans="3:23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"/>
    </row>
    <row r="166" spans="3:23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"/>
    </row>
    <row r="167" spans="3:23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"/>
    </row>
    <row r="168" spans="3:23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"/>
    </row>
    <row r="169" spans="3:23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"/>
    </row>
    <row r="170" spans="3:23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"/>
    </row>
    <row r="171" spans="3:23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"/>
    </row>
    <row r="172" spans="3:23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"/>
    </row>
    <row r="173" spans="3:23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"/>
    </row>
    <row r="174" spans="3:23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"/>
    </row>
    <row r="175" spans="3:23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"/>
    </row>
    <row r="176" spans="3:23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"/>
    </row>
    <row r="177" spans="3:23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"/>
    </row>
    <row r="178" spans="3:23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"/>
    </row>
    <row r="179" spans="3:23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"/>
    </row>
    <row r="180" spans="3:23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"/>
    </row>
    <row r="181" spans="3:23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"/>
    </row>
    <row r="182" spans="3:23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"/>
    </row>
    <row r="183" spans="3:23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"/>
    </row>
    <row r="184" spans="3:23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"/>
    </row>
    <row r="185" spans="3:23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"/>
    </row>
    <row r="186" spans="3:23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"/>
    </row>
    <row r="187" spans="3:23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"/>
    </row>
    <row r="188" spans="3:23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"/>
    </row>
    <row r="189" spans="3:23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"/>
    </row>
    <row r="190" spans="3:23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"/>
    </row>
    <row r="191" spans="3:23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"/>
    </row>
    <row r="192" spans="3:23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"/>
    </row>
    <row r="193" spans="3:23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"/>
    </row>
    <row r="194" spans="3:23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"/>
    </row>
    <row r="195" spans="3:23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"/>
    </row>
    <row r="196" spans="3:23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"/>
    </row>
    <row r="197" spans="3:23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"/>
    </row>
    <row r="198" spans="3:23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"/>
    </row>
    <row r="199" spans="3:23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"/>
    </row>
    <row r="200" spans="3:23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"/>
    </row>
    <row r="201" spans="3:23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"/>
    </row>
    <row r="202" spans="3:23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"/>
    </row>
    <row r="203" spans="3:23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"/>
    </row>
    <row r="204" spans="3:23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"/>
    </row>
    <row r="205" spans="3:23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"/>
    </row>
    <row r="206" spans="3:23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"/>
    </row>
    <row r="207" spans="3:23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"/>
    </row>
    <row r="208" spans="3:23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"/>
    </row>
    <row r="209" spans="3:23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"/>
    </row>
    <row r="210" spans="3:23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"/>
    </row>
    <row r="211" spans="3:23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"/>
    </row>
    <row r="212" spans="3:23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"/>
    </row>
    <row r="213" spans="3:23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"/>
    </row>
    <row r="214" spans="3:23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"/>
    </row>
    <row r="215" spans="3:23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"/>
    </row>
    <row r="216" spans="3:23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"/>
    </row>
    <row r="217" spans="3:23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"/>
    </row>
    <row r="218" spans="3:23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"/>
    </row>
    <row r="219" spans="3:23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"/>
    </row>
    <row r="220" spans="3:23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"/>
    </row>
    <row r="221" spans="3:23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"/>
    </row>
    <row r="222" spans="3:23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"/>
    </row>
    <row r="223" spans="3:23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"/>
    </row>
    <row r="224" spans="3:23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"/>
    </row>
    <row r="225" spans="3:23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"/>
    </row>
    <row r="226" spans="3:23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"/>
    </row>
    <row r="227" spans="3:23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"/>
    </row>
    <row r="228" spans="3:23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"/>
    </row>
    <row r="229" spans="3:23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"/>
    </row>
    <row r="230" spans="3:23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"/>
    </row>
    <row r="231" spans="3:23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"/>
    </row>
    <row r="232" spans="3:23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"/>
    </row>
    <row r="233" spans="3:23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"/>
    </row>
    <row r="234" spans="3:23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"/>
    </row>
    <row r="235" spans="3:23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"/>
    </row>
    <row r="236" spans="3:23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"/>
    </row>
    <row r="237" spans="3:23" x14ac:dyDescent="0.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"/>
    </row>
    <row r="238" spans="3:23" x14ac:dyDescent="0.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"/>
    </row>
    <row r="239" spans="3:23" x14ac:dyDescent="0.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"/>
    </row>
    <row r="240" spans="3:23" x14ac:dyDescent="0.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"/>
    </row>
    <row r="241" spans="3:23" x14ac:dyDescent="0.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"/>
    </row>
    <row r="242" spans="3:23" x14ac:dyDescent="0.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"/>
    </row>
    <row r="243" spans="3:23" x14ac:dyDescent="0.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"/>
    </row>
    <row r="244" spans="3:23" x14ac:dyDescent="0.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"/>
    </row>
    <row r="245" spans="3:23" x14ac:dyDescent="0.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"/>
    </row>
    <row r="246" spans="3:23" x14ac:dyDescent="0.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"/>
    </row>
    <row r="247" spans="3:23" x14ac:dyDescent="0.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"/>
    </row>
    <row r="248" spans="3:23" x14ac:dyDescent="0.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"/>
    </row>
    <row r="249" spans="3:23" x14ac:dyDescent="0.2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"/>
    </row>
    <row r="250" spans="3:23" x14ac:dyDescent="0.2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"/>
    </row>
    <row r="251" spans="3:23" x14ac:dyDescent="0.2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"/>
    </row>
    <row r="252" spans="3:23" x14ac:dyDescent="0.2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"/>
    </row>
    <row r="253" spans="3:23" x14ac:dyDescent="0.2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"/>
    </row>
    <row r="254" spans="3:23" x14ac:dyDescent="0.2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"/>
    </row>
    <row r="255" spans="3:23" x14ac:dyDescent="0.2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"/>
    </row>
    <row r="256" spans="3:23" x14ac:dyDescent="0.2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"/>
    </row>
    <row r="257" spans="3:23" x14ac:dyDescent="0.2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"/>
    </row>
    <row r="258" spans="3:23" x14ac:dyDescent="0.2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"/>
    </row>
    <row r="259" spans="3:23" x14ac:dyDescent="0.2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"/>
    </row>
    <row r="260" spans="3:23" x14ac:dyDescent="0.2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"/>
    </row>
    <row r="261" spans="3:23" x14ac:dyDescent="0.2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"/>
    </row>
    <row r="262" spans="3:23" x14ac:dyDescent="0.2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"/>
    </row>
    <row r="263" spans="3:23" x14ac:dyDescent="0.2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"/>
    </row>
    <row r="264" spans="3:23" x14ac:dyDescent="0.2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"/>
    </row>
    <row r="265" spans="3:23" x14ac:dyDescent="0.2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"/>
    </row>
    <row r="266" spans="3:23" x14ac:dyDescent="0.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"/>
    </row>
    <row r="267" spans="3:23" x14ac:dyDescent="0.2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"/>
    </row>
    <row r="268" spans="3:23" x14ac:dyDescent="0.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"/>
    </row>
    <row r="269" spans="3:23" x14ac:dyDescent="0.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"/>
    </row>
    <row r="270" spans="3:23" x14ac:dyDescent="0.2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"/>
    </row>
    <row r="271" spans="3:23" x14ac:dyDescent="0.2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"/>
    </row>
    <row r="272" spans="3:23" x14ac:dyDescent="0.2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"/>
    </row>
    <row r="273" spans="3:23" x14ac:dyDescent="0.2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"/>
    </row>
    <row r="274" spans="3:23" x14ac:dyDescent="0.2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"/>
    </row>
    <row r="275" spans="3:23" x14ac:dyDescent="0.2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"/>
    </row>
    <row r="276" spans="3:23" x14ac:dyDescent="0.2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"/>
    </row>
    <row r="277" spans="3:23" x14ac:dyDescent="0.2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"/>
    </row>
    <row r="278" spans="3:23" x14ac:dyDescent="0.2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"/>
    </row>
    <row r="279" spans="3:23" x14ac:dyDescent="0.2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"/>
    </row>
    <row r="280" spans="3:23" x14ac:dyDescent="0.2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"/>
    </row>
    <row r="281" spans="3:23" x14ac:dyDescent="0.2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"/>
    </row>
    <row r="282" spans="3:23" x14ac:dyDescent="0.2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"/>
    </row>
    <row r="283" spans="3:23" x14ac:dyDescent="0.2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"/>
    </row>
    <row r="284" spans="3:23" x14ac:dyDescent="0.2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"/>
    </row>
    <row r="285" spans="3:23" x14ac:dyDescent="0.2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"/>
    </row>
    <row r="286" spans="3:23" x14ac:dyDescent="0.2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"/>
    </row>
    <row r="287" spans="3:23" x14ac:dyDescent="0.2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"/>
    </row>
    <row r="288" spans="3:23" x14ac:dyDescent="0.2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"/>
    </row>
    <row r="289" spans="3:23" x14ac:dyDescent="0.2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"/>
    </row>
    <row r="290" spans="3:23" x14ac:dyDescent="0.2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"/>
    </row>
    <row r="291" spans="3:23" x14ac:dyDescent="0.2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"/>
    </row>
    <row r="292" spans="3:23" x14ac:dyDescent="0.2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"/>
    </row>
    <row r="293" spans="3:23" x14ac:dyDescent="0.2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"/>
    </row>
    <row r="294" spans="3:23" x14ac:dyDescent="0.2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"/>
    </row>
    <row r="295" spans="3:23" x14ac:dyDescent="0.2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"/>
    </row>
    <row r="296" spans="3:23" x14ac:dyDescent="0.2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"/>
    </row>
    <row r="297" spans="3:23" x14ac:dyDescent="0.2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"/>
    </row>
    <row r="298" spans="3:23" x14ac:dyDescent="0.2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"/>
    </row>
    <row r="299" spans="3:23" x14ac:dyDescent="0.2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"/>
    </row>
    <row r="300" spans="3:23" x14ac:dyDescent="0.2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"/>
    </row>
    <row r="301" spans="3:23" x14ac:dyDescent="0.2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"/>
    </row>
    <row r="302" spans="3:23" x14ac:dyDescent="0.2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"/>
    </row>
    <row r="303" spans="3:23" x14ac:dyDescent="0.2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"/>
    </row>
    <row r="304" spans="3:23" x14ac:dyDescent="0.2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"/>
    </row>
    <row r="305" spans="3:23" x14ac:dyDescent="0.2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"/>
    </row>
    <row r="306" spans="3:23" x14ac:dyDescent="0.2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"/>
    </row>
    <row r="307" spans="3:23" x14ac:dyDescent="0.2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"/>
    </row>
    <row r="308" spans="3:23" x14ac:dyDescent="0.2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"/>
    </row>
    <row r="309" spans="3:23" x14ac:dyDescent="0.2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"/>
    </row>
    <row r="310" spans="3:23" x14ac:dyDescent="0.2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N1"/>
    </sheetView>
  </sheetViews>
  <sheetFormatPr defaultRowHeight="12.75" x14ac:dyDescent="0.2"/>
  <cols>
    <col min="1" max="1" width="31.8554687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6384" width="9.140625" style="3"/>
  </cols>
  <sheetData>
    <row r="1" spans="1:12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87" customFormat="1" ht="15.75" x14ac:dyDescent="0.25">
      <c r="A2" s="103" t="s">
        <v>3820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">
      <c r="B6" s="25" t="s">
        <v>2</v>
      </c>
      <c r="H6" s="25" t="s">
        <v>3</v>
      </c>
      <c r="L6" s="25" t="s">
        <v>4</v>
      </c>
    </row>
    <row r="7" spans="1:12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x14ac:dyDescent="0.2">
      <c r="B8" s="11"/>
      <c r="D8" s="11"/>
      <c r="F8" s="11"/>
      <c r="H8" s="11"/>
      <c r="J8" s="11"/>
      <c r="L8" s="11"/>
    </row>
    <row r="9" spans="1:12" x14ac:dyDescent="0.2">
      <c r="A9" s="12" t="s">
        <v>3821</v>
      </c>
    </row>
    <row r="10" spans="1:12" x14ac:dyDescent="0.2">
      <c r="A10" s="12" t="s">
        <v>29</v>
      </c>
    </row>
    <row r="11" spans="1:12" x14ac:dyDescent="0.2">
      <c r="A11" s="3" t="s">
        <v>3822</v>
      </c>
      <c r="B11" s="19">
        <v>963468.65999999992</v>
      </c>
      <c r="C11" s="116"/>
      <c r="D11" s="19">
        <v>0</v>
      </c>
      <c r="E11" s="116"/>
      <c r="F11" s="19">
        <v>0</v>
      </c>
      <c r="G11" s="116"/>
      <c r="H11" s="19">
        <v>-792599.21</v>
      </c>
      <c r="I11" s="116"/>
      <c r="J11" s="19">
        <f>D11+F11+H11</f>
        <v>-792599.21</v>
      </c>
      <c r="K11" s="116"/>
      <c r="L11" s="19">
        <f>J11+B11</f>
        <v>170869.44999999995</v>
      </c>
    </row>
    <row r="12" spans="1:12" x14ac:dyDescent="0.2">
      <c r="A12" s="3" t="s">
        <v>3823</v>
      </c>
      <c r="B12" s="19">
        <v>0</v>
      </c>
      <c r="C12" s="116"/>
      <c r="D12" s="19">
        <v>0</v>
      </c>
      <c r="E12" s="116"/>
      <c r="F12" s="19">
        <v>0</v>
      </c>
      <c r="G12" s="116"/>
      <c r="H12" s="19">
        <v>0</v>
      </c>
      <c r="I12" s="116"/>
      <c r="J12" s="19">
        <f>D12+F12+H12</f>
        <v>0</v>
      </c>
      <c r="K12" s="116"/>
      <c r="L12" s="19">
        <f>J12+B12</f>
        <v>0</v>
      </c>
    </row>
    <row r="13" spans="1:12" x14ac:dyDescent="0.2">
      <c r="A13" s="3" t="s">
        <v>3824</v>
      </c>
      <c r="B13" s="27">
        <v>7844.44</v>
      </c>
      <c r="C13" s="116"/>
      <c r="D13" s="27">
        <v>0</v>
      </c>
      <c r="E13" s="116"/>
      <c r="F13" s="27">
        <v>0</v>
      </c>
      <c r="G13" s="116"/>
      <c r="H13" s="27">
        <v>0</v>
      </c>
      <c r="I13" s="116"/>
      <c r="J13" s="27">
        <f>D13+F13+H13</f>
        <v>0</v>
      </c>
      <c r="K13" s="116"/>
      <c r="L13" s="27">
        <f>J13+B13</f>
        <v>7844.44</v>
      </c>
    </row>
    <row r="14" spans="1:12" x14ac:dyDescent="0.2">
      <c r="B14" s="19">
        <f>SUM(B11:B13)</f>
        <v>971313.09999999986</v>
      </c>
      <c r="C14" s="116"/>
      <c r="D14" s="19">
        <f>SUM(D11:D13)</f>
        <v>0</v>
      </c>
      <c r="E14" s="116"/>
      <c r="F14" s="19">
        <f>SUM(F11:F13)</f>
        <v>0</v>
      </c>
      <c r="G14" s="116"/>
      <c r="H14" s="19">
        <f>SUM(H11:H13)</f>
        <v>-792599.21</v>
      </c>
      <c r="I14" s="116"/>
      <c r="J14" s="19">
        <f>SUM(J11:J13)</f>
        <v>-792599.21</v>
      </c>
      <c r="K14" s="116"/>
      <c r="L14" s="19">
        <f>SUM(L11:L13)</f>
        <v>178713.88999999996</v>
      </c>
    </row>
    <row r="15" spans="1:12" x14ac:dyDescent="0.2">
      <c r="C15" s="116"/>
      <c r="E15" s="116"/>
      <c r="G15" s="116"/>
      <c r="I15" s="116"/>
      <c r="K15" s="116"/>
    </row>
    <row r="16" spans="1:12" x14ac:dyDescent="0.2">
      <c r="C16" s="116"/>
      <c r="E16" s="116"/>
      <c r="G16" s="116"/>
      <c r="I16" s="116"/>
      <c r="K16" s="116"/>
    </row>
    <row r="17" spans="1:12" ht="13.5" thickBot="1" x14ac:dyDescent="0.25">
      <c r="A17" s="12" t="s">
        <v>3825</v>
      </c>
      <c r="B17" s="33">
        <f>SUM(B11:B13)</f>
        <v>971313.09999999986</v>
      </c>
      <c r="C17" s="116"/>
      <c r="D17" s="33">
        <f>SUM(D11:D13)</f>
        <v>0</v>
      </c>
      <c r="E17" s="116"/>
      <c r="F17" s="33">
        <f>SUM(F11:F13)</f>
        <v>0</v>
      </c>
      <c r="G17" s="116"/>
      <c r="H17" s="33">
        <f>SUM(H11:H13)</f>
        <v>-792599.21</v>
      </c>
      <c r="I17" s="116"/>
      <c r="J17" s="33">
        <f>SUM(J11:J13)</f>
        <v>-792599.21</v>
      </c>
      <c r="K17" s="116"/>
      <c r="L17" s="33">
        <f>SUM(L11:L13)</f>
        <v>178713.88999999996</v>
      </c>
    </row>
    <row r="18" spans="1:12" ht="13.5" thickTop="1" x14ac:dyDescent="0.2">
      <c r="C18" s="109"/>
      <c r="E18" s="109"/>
      <c r="G18" s="109"/>
      <c r="I18" s="109"/>
      <c r="K18" s="109"/>
    </row>
    <row r="19" spans="1:12" x14ac:dyDescent="0.2">
      <c r="C19" s="109"/>
      <c r="E19" s="109"/>
      <c r="G19" s="109"/>
      <c r="I19" s="109"/>
      <c r="K19" s="109"/>
    </row>
    <row r="20" spans="1:12" x14ac:dyDescent="0.2">
      <c r="C20" s="109"/>
      <c r="E20" s="109"/>
      <c r="G20" s="109"/>
      <c r="I20" s="109"/>
      <c r="K20" s="109"/>
    </row>
    <row r="21" spans="1:12" x14ac:dyDescent="0.2">
      <c r="C21" s="109"/>
      <c r="E21" s="109"/>
      <c r="G21" s="109"/>
      <c r="I21" s="109"/>
      <c r="K21" s="109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>
      <selection sqref="A1:N1"/>
    </sheetView>
  </sheetViews>
  <sheetFormatPr defaultRowHeight="12.75" x14ac:dyDescent="0.2"/>
  <cols>
    <col min="1" max="1" width="40.5703125" style="3" bestFit="1" customWidth="1"/>
    <col min="2" max="2" width="16.7109375" style="3" bestFit="1" customWidth="1"/>
    <col min="3" max="3" width="1.7109375" style="3" customWidth="1"/>
    <col min="4" max="4" width="15.140625" style="3" bestFit="1" customWidth="1"/>
    <col min="5" max="5" width="2.140625" style="3" customWidth="1"/>
    <col min="6" max="6" width="11.7109375" style="3" bestFit="1" customWidth="1"/>
    <col min="7" max="7" width="2" style="3" customWidth="1"/>
    <col min="8" max="8" width="19.7109375" style="3" bestFit="1" customWidth="1"/>
    <col min="9" max="9" width="2" style="3" customWidth="1"/>
    <col min="10" max="10" width="15" style="3" bestFit="1" customWidth="1"/>
    <col min="11" max="11" width="1.85546875" style="3" customWidth="1"/>
    <col min="12" max="12" width="16" style="3" bestFit="1" customWidth="1"/>
    <col min="13" max="16384" width="9.140625" style="3"/>
  </cols>
  <sheetData>
    <row r="1" spans="1:12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87" customFormat="1" ht="15.75" x14ac:dyDescent="0.25">
      <c r="A2" s="103" t="s">
        <v>3826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12" x14ac:dyDescent="0.2">
      <c r="B6" s="25" t="s">
        <v>2</v>
      </c>
      <c r="D6" s="19"/>
      <c r="F6" s="19"/>
      <c r="H6" s="25" t="s">
        <v>3</v>
      </c>
      <c r="J6" s="19"/>
      <c r="L6" s="25" t="s">
        <v>4</v>
      </c>
    </row>
    <row r="7" spans="1:12" x14ac:dyDescent="0.2">
      <c r="B7" s="10" t="s">
        <v>5</v>
      </c>
      <c r="D7" s="10" t="s">
        <v>6</v>
      </c>
      <c r="F7" s="10" t="s">
        <v>7</v>
      </c>
      <c r="H7" s="10" t="s">
        <v>8</v>
      </c>
      <c r="J7" s="10" t="s">
        <v>9</v>
      </c>
      <c r="L7" s="10" t="s">
        <v>5</v>
      </c>
    </row>
    <row r="8" spans="1:12" x14ac:dyDescent="0.2">
      <c r="B8" s="11"/>
      <c r="D8" s="11"/>
      <c r="F8" s="11"/>
      <c r="H8" s="11"/>
      <c r="J8" s="11"/>
      <c r="L8" s="11"/>
    </row>
    <row r="9" spans="1:12" x14ac:dyDescent="0.2">
      <c r="A9" s="12" t="s">
        <v>3827</v>
      </c>
    </row>
    <row r="10" spans="1:12" x14ac:dyDescent="0.2">
      <c r="A10" s="12" t="s">
        <v>13</v>
      </c>
    </row>
    <row r="11" spans="1:12" x14ac:dyDescent="0.2">
      <c r="A11" s="43" t="s">
        <v>165</v>
      </c>
      <c r="B11" s="16">
        <v>0</v>
      </c>
      <c r="C11" s="17"/>
      <c r="D11" s="16">
        <v>0</v>
      </c>
      <c r="E11" s="17"/>
      <c r="F11" s="16">
        <v>0</v>
      </c>
      <c r="G11" s="17"/>
      <c r="H11" s="16">
        <f>73177.16-73177.16</f>
        <v>0</v>
      </c>
      <c r="I11" s="17"/>
      <c r="J11" s="27">
        <f>D11+F11+H11</f>
        <v>0</v>
      </c>
      <c r="K11" s="17"/>
      <c r="L11" s="27">
        <f>J11+B11</f>
        <v>0</v>
      </c>
    </row>
    <row r="12" spans="1:12" x14ac:dyDescent="0.2">
      <c r="A12" s="43"/>
      <c r="B12" s="17">
        <f>SUM(B11)</f>
        <v>0</v>
      </c>
      <c r="C12" s="17"/>
      <c r="D12" s="17">
        <f>SUM(D11)</f>
        <v>0</v>
      </c>
      <c r="E12" s="17"/>
      <c r="F12" s="17">
        <f>SUM(F11)</f>
        <v>0</v>
      </c>
      <c r="G12" s="17"/>
      <c r="H12" s="17">
        <f>SUM(H11)</f>
        <v>0</v>
      </c>
      <c r="I12" s="17"/>
      <c r="J12" s="17">
        <f>SUM(J11)</f>
        <v>0</v>
      </c>
      <c r="K12" s="17"/>
      <c r="L12" s="17">
        <f>SUM(L11)</f>
        <v>0</v>
      </c>
    </row>
    <row r="13" spans="1:12" x14ac:dyDescent="0.2">
      <c r="A13" s="12" t="s">
        <v>16</v>
      </c>
      <c r="B13" s="26"/>
      <c r="C13" s="115"/>
      <c r="D13" s="26"/>
      <c r="E13" s="115"/>
      <c r="F13" s="26"/>
      <c r="G13" s="115"/>
      <c r="H13" s="26"/>
      <c r="I13" s="115"/>
      <c r="J13" s="26"/>
      <c r="K13" s="115"/>
      <c r="L13" s="26"/>
    </row>
    <row r="14" spans="1:12" x14ac:dyDescent="0.2">
      <c r="A14" s="3" t="s">
        <v>196</v>
      </c>
      <c r="B14" s="17">
        <v>0</v>
      </c>
      <c r="C14" s="115"/>
      <c r="D14" s="26">
        <v>0</v>
      </c>
      <c r="E14" s="115"/>
      <c r="F14" s="26">
        <v>0</v>
      </c>
      <c r="G14" s="115"/>
      <c r="H14" s="26">
        <v>0</v>
      </c>
      <c r="I14" s="115"/>
      <c r="J14" s="26">
        <f t="shared" ref="J14:J23" si="0">H14+F14+D14</f>
        <v>0</v>
      </c>
      <c r="K14" s="115"/>
      <c r="L14" s="26">
        <f t="shared" ref="L14:L23" si="1">J14+B14</f>
        <v>0</v>
      </c>
    </row>
    <row r="15" spans="1:12" x14ac:dyDescent="0.2">
      <c r="A15" s="3" t="s">
        <v>197</v>
      </c>
      <c r="B15" s="17">
        <v>0</v>
      </c>
      <c r="C15" s="115"/>
      <c r="D15" s="26">
        <v>0</v>
      </c>
      <c r="E15" s="115"/>
      <c r="F15" s="26">
        <v>0</v>
      </c>
      <c r="G15" s="115"/>
      <c r="H15" s="26">
        <v>0</v>
      </c>
      <c r="I15" s="115"/>
      <c r="J15" s="26">
        <f t="shared" si="0"/>
        <v>0</v>
      </c>
      <c r="K15" s="115"/>
      <c r="L15" s="26">
        <f t="shared" si="1"/>
        <v>0</v>
      </c>
    </row>
    <row r="16" spans="1:12" x14ac:dyDescent="0.2">
      <c r="A16" s="3" t="s">
        <v>198</v>
      </c>
      <c r="B16" s="17">
        <v>0</v>
      </c>
      <c r="C16" s="115"/>
      <c r="D16" s="26">
        <v>0</v>
      </c>
      <c r="E16" s="115"/>
      <c r="F16" s="26">
        <v>0</v>
      </c>
      <c r="G16" s="115"/>
      <c r="H16" s="26">
        <v>0</v>
      </c>
      <c r="I16" s="115"/>
      <c r="J16" s="26">
        <f t="shared" si="0"/>
        <v>0</v>
      </c>
      <c r="K16" s="115"/>
      <c r="L16" s="26">
        <f t="shared" si="1"/>
        <v>0</v>
      </c>
    </row>
    <row r="17" spans="1:14" x14ac:dyDescent="0.2">
      <c r="A17" s="3" t="s">
        <v>199</v>
      </c>
      <c r="B17" s="17">
        <v>0</v>
      </c>
      <c r="C17" s="115"/>
      <c r="D17" s="26">
        <v>0</v>
      </c>
      <c r="E17" s="115"/>
      <c r="F17" s="26">
        <v>0</v>
      </c>
      <c r="G17" s="115"/>
      <c r="H17" s="26">
        <v>0</v>
      </c>
      <c r="I17" s="115"/>
      <c r="J17" s="26">
        <f t="shared" si="0"/>
        <v>0</v>
      </c>
      <c r="K17" s="115"/>
      <c r="L17" s="26">
        <f t="shared" si="1"/>
        <v>0</v>
      </c>
    </row>
    <row r="18" spans="1:14" x14ac:dyDescent="0.2">
      <c r="A18" s="3" t="s">
        <v>200</v>
      </c>
      <c r="B18" s="17">
        <v>0</v>
      </c>
      <c r="C18" s="115"/>
      <c r="D18" s="26">
        <v>0</v>
      </c>
      <c r="E18" s="115"/>
      <c r="F18" s="26">
        <v>0</v>
      </c>
      <c r="G18" s="115"/>
      <c r="H18" s="26">
        <v>0</v>
      </c>
      <c r="I18" s="115"/>
      <c r="J18" s="26">
        <f t="shared" si="0"/>
        <v>0</v>
      </c>
      <c r="K18" s="115"/>
      <c r="L18" s="26">
        <f t="shared" si="1"/>
        <v>0</v>
      </c>
    </row>
    <row r="19" spans="1:14" x14ac:dyDescent="0.2">
      <c r="A19" s="3" t="s">
        <v>201</v>
      </c>
      <c r="B19" s="17">
        <v>0</v>
      </c>
      <c r="C19" s="115"/>
      <c r="D19" s="26">
        <v>0</v>
      </c>
      <c r="E19" s="115"/>
      <c r="F19" s="26">
        <v>0</v>
      </c>
      <c r="G19" s="115"/>
      <c r="H19" s="26">
        <v>0</v>
      </c>
      <c r="I19" s="115"/>
      <c r="J19" s="26">
        <f t="shared" si="0"/>
        <v>0</v>
      </c>
      <c r="K19" s="115"/>
      <c r="L19" s="26">
        <f t="shared" si="1"/>
        <v>0</v>
      </c>
    </row>
    <row r="20" spans="1:14" x14ac:dyDescent="0.2">
      <c r="A20" s="3" t="s">
        <v>202</v>
      </c>
      <c r="B20" s="17">
        <v>0</v>
      </c>
      <c r="C20" s="115"/>
      <c r="D20" s="26">
        <v>0</v>
      </c>
      <c r="E20" s="115"/>
      <c r="F20" s="26">
        <v>0</v>
      </c>
      <c r="G20" s="115"/>
      <c r="H20" s="26">
        <v>0</v>
      </c>
      <c r="I20" s="115"/>
      <c r="J20" s="26">
        <f t="shared" si="0"/>
        <v>0</v>
      </c>
      <c r="K20" s="115"/>
      <c r="L20" s="26">
        <f t="shared" si="1"/>
        <v>0</v>
      </c>
    </row>
    <row r="21" spans="1:14" x14ac:dyDescent="0.2">
      <c r="A21" s="3" t="s">
        <v>203</v>
      </c>
      <c r="B21" s="17">
        <v>0</v>
      </c>
      <c r="C21" s="115"/>
      <c r="D21" s="26">
        <v>0</v>
      </c>
      <c r="E21" s="115"/>
      <c r="F21" s="26">
        <v>0</v>
      </c>
      <c r="G21" s="115"/>
      <c r="H21" s="26">
        <v>0</v>
      </c>
      <c r="I21" s="115"/>
      <c r="J21" s="26">
        <f t="shared" si="0"/>
        <v>0</v>
      </c>
      <c r="K21" s="115"/>
      <c r="L21" s="26">
        <f t="shared" si="1"/>
        <v>0</v>
      </c>
    </row>
    <row r="22" spans="1:14" x14ac:dyDescent="0.2">
      <c r="A22" s="3" t="s">
        <v>204</v>
      </c>
      <c r="B22" s="17">
        <v>0</v>
      </c>
      <c r="C22" s="115"/>
      <c r="D22" s="26">
        <v>0</v>
      </c>
      <c r="E22" s="115"/>
      <c r="F22" s="26">
        <v>0</v>
      </c>
      <c r="G22" s="115"/>
      <c r="H22" s="26">
        <v>0</v>
      </c>
      <c r="I22" s="115"/>
      <c r="J22" s="26">
        <f t="shared" si="0"/>
        <v>0</v>
      </c>
      <c r="K22" s="115"/>
      <c r="L22" s="26">
        <f t="shared" si="1"/>
        <v>0</v>
      </c>
    </row>
    <row r="23" spans="1:14" x14ac:dyDescent="0.2">
      <c r="A23" s="3" t="s">
        <v>205</v>
      </c>
      <c r="B23" s="17">
        <v>0</v>
      </c>
      <c r="C23" s="115"/>
      <c r="D23" s="26">
        <v>0</v>
      </c>
      <c r="E23" s="115"/>
      <c r="F23" s="26">
        <v>0</v>
      </c>
      <c r="G23" s="115"/>
      <c r="H23" s="26">
        <v>0</v>
      </c>
      <c r="I23" s="115"/>
      <c r="J23" s="26">
        <f t="shared" si="0"/>
        <v>0</v>
      </c>
      <c r="K23" s="115"/>
      <c r="L23" s="26">
        <f t="shared" si="1"/>
        <v>0</v>
      </c>
    </row>
    <row r="24" spans="1:14" x14ac:dyDescent="0.2">
      <c r="A24" s="3" t="s">
        <v>206</v>
      </c>
      <c r="B24" s="27">
        <v>0</v>
      </c>
      <c r="C24" s="115"/>
      <c r="D24" s="26">
        <v>0</v>
      </c>
      <c r="E24" s="115"/>
      <c r="F24" s="26">
        <v>0</v>
      </c>
      <c r="G24" s="115"/>
      <c r="H24" s="26">
        <v>0</v>
      </c>
      <c r="I24" s="115"/>
      <c r="J24" s="27">
        <f>H24+F24+D24</f>
        <v>0</v>
      </c>
      <c r="K24" s="115"/>
      <c r="L24" s="27">
        <f>J24+B24</f>
        <v>0</v>
      </c>
    </row>
    <row r="25" spans="1:14" x14ac:dyDescent="0.2">
      <c r="B25" s="26">
        <f>SUM(B14:B24)</f>
        <v>0</v>
      </c>
      <c r="C25" s="115"/>
      <c r="D25" s="32">
        <f>SUM(D14:D24)</f>
        <v>0</v>
      </c>
      <c r="E25" s="115"/>
      <c r="F25" s="32">
        <f>SUM(F14:F24)</f>
        <v>0</v>
      </c>
      <c r="G25" s="115"/>
      <c r="H25" s="32">
        <f>SUM(H14:H24)</f>
        <v>0</v>
      </c>
      <c r="I25" s="115"/>
      <c r="J25" s="26">
        <f>SUM(J14:J24)</f>
        <v>0</v>
      </c>
      <c r="K25" s="115"/>
      <c r="L25" s="26">
        <f>SUM(L14:L24)</f>
        <v>0</v>
      </c>
    </row>
    <row r="26" spans="1:14" x14ac:dyDescent="0.2">
      <c r="A26" s="12"/>
    </row>
    <row r="27" spans="1:14" x14ac:dyDescent="0.2">
      <c r="A27" s="12" t="s">
        <v>3817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94"/>
      <c r="N27" s="13"/>
    </row>
    <row r="28" spans="1:14" x14ac:dyDescent="0.2">
      <c r="A28" s="3" t="s">
        <v>3828</v>
      </c>
      <c r="B28" s="17">
        <v>0</v>
      </c>
      <c r="C28" s="17"/>
      <c r="D28" s="17">
        <v>0</v>
      </c>
      <c r="E28" s="17"/>
      <c r="F28" s="17">
        <v>0</v>
      </c>
      <c r="G28" s="17"/>
      <c r="H28" s="17">
        <v>0</v>
      </c>
      <c r="I28" s="17"/>
      <c r="J28" s="26">
        <f t="shared" ref="J28:J33" si="2">D28+F28+H28</f>
        <v>0</v>
      </c>
      <c r="K28" s="17"/>
      <c r="L28" s="26">
        <f t="shared" ref="L28:L33" si="3">J28+B28</f>
        <v>0</v>
      </c>
      <c r="M28" s="94"/>
      <c r="N28" s="13"/>
    </row>
    <row r="29" spans="1:14" x14ac:dyDescent="0.2">
      <c r="A29" s="3" t="s">
        <v>209</v>
      </c>
      <c r="B29" s="17">
        <v>0</v>
      </c>
      <c r="C29" s="17"/>
      <c r="D29" s="17">
        <v>0</v>
      </c>
      <c r="E29" s="17"/>
      <c r="F29" s="17">
        <v>0</v>
      </c>
      <c r="G29" s="17"/>
      <c r="H29" s="17">
        <v>0</v>
      </c>
      <c r="I29" s="17"/>
      <c r="J29" s="26">
        <f t="shared" si="2"/>
        <v>0</v>
      </c>
      <c r="K29" s="17"/>
      <c r="L29" s="26">
        <f t="shared" si="3"/>
        <v>0</v>
      </c>
      <c r="M29" s="94"/>
      <c r="N29" s="13"/>
    </row>
    <row r="30" spans="1:14" x14ac:dyDescent="0.2">
      <c r="A30" s="3" t="s">
        <v>211</v>
      </c>
      <c r="B30" s="17">
        <v>0</v>
      </c>
      <c r="C30" s="17"/>
      <c r="D30" s="17">
        <v>0</v>
      </c>
      <c r="E30" s="17"/>
      <c r="F30" s="17">
        <v>0</v>
      </c>
      <c r="G30" s="17"/>
      <c r="H30" s="17">
        <v>0</v>
      </c>
      <c r="I30" s="17"/>
      <c r="J30" s="26">
        <f t="shared" si="2"/>
        <v>0</v>
      </c>
      <c r="K30" s="17"/>
      <c r="L30" s="26">
        <f t="shared" si="3"/>
        <v>0</v>
      </c>
      <c r="M30" s="94"/>
      <c r="N30" s="13"/>
    </row>
    <row r="31" spans="1:14" x14ac:dyDescent="0.2">
      <c r="A31" s="3" t="s">
        <v>213</v>
      </c>
      <c r="B31" s="17">
        <v>0</v>
      </c>
      <c r="C31" s="17"/>
      <c r="D31" s="17">
        <v>0</v>
      </c>
      <c r="E31" s="17"/>
      <c r="F31" s="17">
        <v>0</v>
      </c>
      <c r="G31" s="17"/>
      <c r="H31" s="17">
        <v>0</v>
      </c>
      <c r="I31" s="17"/>
      <c r="J31" s="26">
        <f t="shared" si="2"/>
        <v>0</v>
      </c>
      <c r="K31" s="17"/>
      <c r="L31" s="26">
        <f t="shared" si="3"/>
        <v>0</v>
      </c>
      <c r="M31" s="94"/>
      <c r="N31" s="13"/>
    </row>
    <row r="32" spans="1:14" s="59" customFormat="1" x14ac:dyDescent="0.2">
      <c r="A32" s="59" t="s">
        <v>3818</v>
      </c>
      <c r="B32" s="17">
        <v>0</v>
      </c>
      <c r="C32" s="17"/>
      <c r="D32" s="17">
        <v>0</v>
      </c>
      <c r="E32" s="17"/>
      <c r="F32" s="17">
        <v>0</v>
      </c>
      <c r="G32" s="17"/>
      <c r="H32" s="17">
        <v>0</v>
      </c>
      <c r="I32" s="17"/>
      <c r="J32" s="26">
        <f t="shared" si="2"/>
        <v>0</v>
      </c>
      <c r="K32" s="17"/>
      <c r="L32" s="26">
        <f t="shared" si="3"/>
        <v>0</v>
      </c>
      <c r="M32" s="94"/>
      <c r="N32" s="94"/>
    </row>
    <row r="33" spans="1:14" x14ac:dyDescent="0.2">
      <c r="A33" s="3" t="s">
        <v>217</v>
      </c>
      <c r="B33" s="16">
        <v>0</v>
      </c>
      <c r="C33" s="17"/>
      <c r="D33" s="16">
        <v>0</v>
      </c>
      <c r="E33" s="17"/>
      <c r="F33" s="16">
        <v>0</v>
      </c>
      <c r="G33" s="17"/>
      <c r="H33" s="16">
        <v>0</v>
      </c>
      <c r="I33" s="17"/>
      <c r="J33" s="27">
        <f t="shared" si="2"/>
        <v>0</v>
      </c>
      <c r="K33" s="17"/>
      <c r="L33" s="27">
        <f t="shared" si="3"/>
        <v>0</v>
      </c>
      <c r="M33" s="94"/>
      <c r="N33" s="13"/>
    </row>
    <row r="34" spans="1:14" x14ac:dyDescent="0.2">
      <c r="B34" s="17">
        <f>SUM(B28:B33)</f>
        <v>0</v>
      </c>
      <c r="C34" s="17"/>
      <c r="D34" s="17">
        <f>SUM(D28:D33)</f>
        <v>0</v>
      </c>
      <c r="E34" s="17"/>
      <c r="F34" s="17">
        <f>SUM(F28:F33)</f>
        <v>0</v>
      </c>
      <c r="G34" s="17"/>
      <c r="H34" s="17">
        <f>SUM(H28:H33)</f>
        <v>0</v>
      </c>
      <c r="I34" s="17"/>
      <c r="J34" s="17">
        <f>SUM(J28:J33)</f>
        <v>0</v>
      </c>
      <c r="K34" s="17"/>
      <c r="L34" s="17">
        <f>SUM(L28:L33)</f>
        <v>0</v>
      </c>
      <c r="M34" s="94"/>
      <c r="N34" s="13"/>
    </row>
    <row r="35" spans="1:14" x14ac:dyDescent="0.2">
      <c r="B35" s="17"/>
      <c r="C35" s="14"/>
      <c r="D35" s="17"/>
      <c r="E35" s="14"/>
      <c r="F35" s="17"/>
      <c r="G35" s="14"/>
      <c r="H35" s="17"/>
      <c r="I35" s="14"/>
      <c r="J35" s="17"/>
      <c r="K35" s="14"/>
      <c r="L35" s="17"/>
      <c r="M35" s="13"/>
      <c r="N35" s="13"/>
    </row>
    <row r="36" spans="1:14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3"/>
    </row>
    <row r="37" spans="1:14" ht="13.5" thickBot="1" x14ac:dyDescent="0.25">
      <c r="A37" s="12" t="s">
        <v>3829</v>
      </c>
      <c r="B37" s="78">
        <f>B34+B25+B12</f>
        <v>0</v>
      </c>
      <c r="C37" s="14"/>
      <c r="D37" s="78">
        <f>D34+D25+D12</f>
        <v>0</v>
      </c>
      <c r="E37" s="14"/>
      <c r="F37" s="78">
        <f>F34+F25+F12</f>
        <v>0</v>
      </c>
      <c r="G37" s="14"/>
      <c r="H37" s="78">
        <f>H34+H25+H12</f>
        <v>0</v>
      </c>
      <c r="I37" s="14"/>
      <c r="J37" s="78">
        <f>J34+J25+J12</f>
        <v>0</v>
      </c>
      <c r="K37" s="14"/>
      <c r="L37" s="78">
        <f>L34+L25+L12</f>
        <v>0</v>
      </c>
      <c r="M37" s="13"/>
      <c r="N37" s="13"/>
    </row>
    <row r="38" spans="1:14" ht="13.5" thickTop="1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3"/>
      <c r="N38" s="13"/>
    </row>
    <row r="39" spans="1:14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</sheetData>
  <mergeCells count="3">
    <mergeCell ref="A1:L1"/>
    <mergeCell ref="A2:L2"/>
    <mergeCell ref="A3:L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509"/>
  <sheetViews>
    <sheetView zoomScale="90" zoomScaleNormal="9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36.42578125" style="3" bestFit="1" customWidth="1"/>
    <col min="2" max="2" width="18.42578125" style="14" bestFit="1" customWidth="1"/>
    <col min="3" max="3" width="1.7109375" style="3" customWidth="1"/>
    <col min="4" max="4" width="17.7109375" style="14" customWidth="1"/>
    <col min="5" max="5" width="1.7109375" style="3" customWidth="1"/>
    <col min="6" max="6" width="15.7109375" style="14" bestFit="1" customWidth="1"/>
    <col min="7" max="7" width="1.7109375" style="3" customWidth="1"/>
    <col min="8" max="8" width="15.7109375" style="14" bestFit="1" customWidth="1"/>
    <col min="9" max="9" width="1.7109375" style="3" customWidth="1"/>
    <col min="10" max="10" width="15" style="14" bestFit="1" customWidth="1"/>
    <col min="11" max="11" width="1.7109375" style="3" customWidth="1"/>
    <col min="12" max="12" width="17.140625" style="14" bestFit="1" customWidth="1"/>
    <col min="13" max="13" width="1.7109375" style="3" customWidth="1"/>
    <col min="14" max="14" width="15.7109375" style="14" bestFit="1" customWidth="1"/>
    <col min="15" max="15" width="1.7109375" style="3" customWidth="1"/>
    <col min="16" max="16" width="15.7109375" style="14" bestFit="1" customWidth="1"/>
    <col min="17" max="17" width="1.7109375" style="3" customWidth="1"/>
    <col min="18" max="18" width="18.42578125" style="14" bestFit="1" customWidth="1"/>
    <col min="19" max="19" width="18.42578125" style="3" bestFit="1" customWidth="1"/>
    <col min="20" max="16384" width="9.140625" style="3"/>
  </cols>
  <sheetData>
    <row r="1" spans="1:19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s="87" customFormat="1" ht="15.75" x14ac:dyDescent="0.25">
      <c r="A2" s="103" t="s">
        <v>3830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9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07"/>
    </row>
    <row r="4" spans="1:19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7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3831</v>
      </c>
      <c r="B10" s="14">
        <v>-1399697.5099999998</v>
      </c>
      <c r="C10" s="13"/>
      <c r="D10" s="111">
        <v>-12659.34</v>
      </c>
      <c r="E10" s="13"/>
      <c r="F10" s="111">
        <v>0</v>
      </c>
      <c r="G10" s="13"/>
      <c r="H10" s="111">
        <v>0</v>
      </c>
      <c r="I10" s="13"/>
      <c r="J10" s="14">
        <v>0</v>
      </c>
      <c r="K10" s="13"/>
      <c r="L10" s="111">
        <v>0</v>
      </c>
      <c r="M10" s="13"/>
      <c r="N10" s="111">
        <v>0</v>
      </c>
      <c r="O10" s="13"/>
      <c r="P10" s="112">
        <v>0</v>
      </c>
      <c r="Q10" s="13"/>
      <c r="R10" s="14">
        <f t="shared" ref="R10:R33" si="0">SUM(B10:P10)</f>
        <v>-1412356.8499999999</v>
      </c>
    </row>
    <row r="11" spans="1:19" x14ac:dyDescent="0.2">
      <c r="A11" s="3" t="s">
        <v>3832</v>
      </c>
      <c r="B11" s="14">
        <v>0</v>
      </c>
      <c r="C11" s="13"/>
      <c r="D11" s="111">
        <v>0</v>
      </c>
      <c r="E11" s="13"/>
      <c r="F11" s="111">
        <v>0</v>
      </c>
      <c r="G11" s="13"/>
      <c r="H11" s="111">
        <v>0</v>
      </c>
      <c r="I11" s="13"/>
      <c r="J11" s="14">
        <v>0</v>
      </c>
      <c r="K11" s="13"/>
      <c r="L11" s="111">
        <v>0</v>
      </c>
      <c r="M11" s="13"/>
      <c r="N11" s="111">
        <v>0</v>
      </c>
      <c r="O11" s="13"/>
      <c r="P11" s="112">
        <v>0</v>
      </c>
      <c r="Q11" s="13"/>
      <c r="R11" s="14">
        <f t="shared" si="0"/>
        <v>0</v>
      </c>
    </row>
    <row r="12" spans="1:19" x14ac:dyDescent="0.2">
      <c r="A12" s="3" t="s">
        <v>3833</v>
      </c>
      <c r="B12" s="14">
        <v>-7.2759576141834259E-12</v>
      </c>
      <c r="C12" s="13"/>
      <c r="D12" s="111">
        <v>0</v>
      </c>
      <c r="E12" s="13"/>
      <c r="F12" s="111">
        <v>14378.77</v>
      </c>
      <c r="G12" s="13"/>
      <c r="H12" s="111">
        <v>-14378.77</v>
      </c>
      <c r="I12" s="13"/>
      <c r="J12" s="14">
        <v>0</v>
      </c>
      <c r="K12" s="13"/>
      <c r="L12" s="111">
        <v>0</v>
      </c>
      <c r="M12" s="13"/>
      <c r="N12" s="111">
        <v>0</v>
      </c>
      <c r="O12" s="13"/>
      <c r="P12" s="112">
        <v>0</v>
      </c>
      <c r="Q12" s="13"/>
      <c r="R12" s="14">
        <f t="shared" si="0"/>
        <v>-7.2759576141834259E-12</v>
      </c>
    </row>
    <row r="13" spans="1:19" x14ac:dyDescent="0.2">
      <c r="A13" s="3" t="s">
        <v>3834</v>
      </c>
      <c r="B13" s="14">
        <v>-2325563.2599999998</v>
      </c>
      <c r="C13" s="13"/>
      <c r="D13" s="111">
        <v>-273680.67</v>
      </c>
      <c r="E13" s="13"/>
      <c r="F13" s="111">
        <v>74458.17</v>
      </c>
      <c r="G13" s="13"/>
      <c r="H13" s="111">
        <v>3381.98</v>
      </c>
      <c r="I13" s="13"/>
      <c r="J13" s="14">
        <v>0</v>
      </c>
      <c r="K13" s="13"/>
      <c r="L13" s="111">
        <v>56979.12</v>
      </c>
      <c r="M13" s="13"/>
      <c r="N13" s="111">
        <v>-1444.69</v>
      </c>
      <c r="O13" s="13"/>
      <c r="P13" s="112">
        <v>0</v>
      </c>
      <c r="Q13" s="13"/>
      <c r="R13" s="14">
        <f t="shared" si="0"/>
        <v>-2465869.3499999996</v>
      </c>
    </row>
    <row r="14" spans="1:19" x14ac:dyDescent="0.2">
      <c r="A14" s="3" t="s">
        <v>3835</v>
      </c>
      <c r="B14" s="14">
        <v>-47586642.369999982</v>
      </c>
      <c r="C14" s="13"/>
      <c r="D14" s="111">
        <v>-4137890.92</v>
      </c>
      <c r="E14" s="13"/>
      <c r="F14" s="111">
        <v>1876079.84</v>
      </c>
      <c r="G14" s="13"/>
      <c r="H14" s="111">
        <v>164210.12</v>
      </c>
      <c r="I14" s="13"/>
      <c r="J14" s="14">
        <v>0</v>
      </c>
      <c r="K14" s="13"/>
      <c r="L14" s="111">
        <v>732805.12</v>
      </c>
      <c r="M14" s="13"/>
      <c r="N14" s="111">
        <v>-66071.23</v>
      </c>
      <c r="O14" s="13"/>
      <c r="P14" s="112">
        <v>0</v>
      </c>
      <c r="Q14" s="13"/>
      <c r="R14" s="14">
        <f t="shared" si="0"/>
        <v>-49017509.439999983</v>
      </c>
    </row>
    <row r="15" spans="1:19" x14ac:dyDescent="0.2">
      <c r="A15" s="3" t="s">
        <v>3836</v>
      </c>
      <c r="B15" s="14">
        <v>-1416.8000000000002</v>
      </c>
      <c r="C15" s="13"/>
      <c r="D15" s="111">
        <v>-663.3</v>
      </c>
      <c r="E15" s="13"/>
      <c r="F15" s="111">
        <v>0</v>
      </c>
      <c r="G15" s="13"/>
      <c r="H15" s="111">
        <v>0</v>
      </c>
      <c r="I15" s="13"/>
      <c r="J15" s="14">
        <v>0</v>
      </c>
      <c r="K15" s="13"/>
      <c r="L15" s="111">
        <v>0</v>
      </c>
      <c r="M15" s="13"/>
      <c r="N15" s="111">
        <v>0</v>
      </c>
      <c r="O15" s="13"/>
      <c r="P15" s="112">
        <v>0</v>
      </c>
      <c r="Q15" s="13"/>
      <c r="R15" s="14">
        <f t="shared" si="0"/>
        <v>-2080.1000000000004</v>
      </c>
    </row>
    <row r="16" spans="1:19" x14ac:dyDescent="0.2">
      <c r="A16" s="3" t="s">
        <v>3837</v>
      </c>
      <c r="B16" s="14">
        <v>-0.28999999999476156</v>
      </c>
      <c r="C16" s="13"/>
      <c r="D16" s="111">
        <v>0</v>
      </c>
      <c r="E16" s="13"/>
      <c r="F16" s="111">
        <v>0</v>
      </c>
      <c r="G16" s="13"/>
      <c r="H16" s="111">
        <v>0</v>
      </c>
      <c r="I16" s="13"/>
      <c r="J16" s="14">
        <v>0</v>
      </c>
      <c r="K16" s="13"/>
      <c r="L16" s="111">
        <v>0</v>
      </c>
      <c r="M16" s="13"/>
      <c r="N16" s="111">
        <v>0</v>
      </c>
      <c r="O16" s="13"/>
      <c r="P16" s="112">
        <v>0</v>
      </c>
      <c r="Q16" s="13"/>
      <c r="R16" s="14">
        <f t="shared" si="0"/>
        <v>-0.28999999999476156</v>
      </c>
    </row>
    <row r="17" spans="1:18" x14ac:dyDescent="0.2">
      <c r="A17" s="3" t="s">
        <v>3838</v>
      </c>
      <c r="B17" s="14">
        <v>-145541314.15999997</v>
      </c>
      <c r="C17" s="13"/>
      <c r="D17" s="111">
        <v>-8864265</v>
      </c>
      <c r="E17" s="13"/>
      <c r="F17" s="111">
        <v>1702929.12</v>
      </c>
      <c r="G17" s="13"/>
      <c r="H17" s="111">
        <v>0</v>
      </c>
      <c r="I17" s="13"/>
      <c r="J17" s="14">
        <v>0</v>
      </c>
      <c r="K17" s="13"/>
      <c r="L17" s="111">
        <v>1503878.87</v>
      </c>
      <c r="M17" s="13"/>
      <c r="N17" s="111">
        <v>-29177.56</v>
      </c>
      <c r="O17" s="13"/>
      <c r="P17" s="112">
        <v>-37483.630000000005</v>
      </c>
      <c r="Q17" s="13"/>
      <c r="R17" s="14">
        <f t="shared" si="0"/>
        <v>-151265432.35999995</v>
      </c>
    </row>
    <row r="18" spans="1:18" x14ac:dyDescent="0.2">
      <c r="A18" s="3" t="s">
        <v>3839</v>
      </c>
      <c r="B18" s="14">
        <v>-0.18999999998777639</v>
      </c>
      <c r="C18" s="13"/>
      <c r="D18" s="111">
        <v>0</v>
      </c>
      <c r="E18" s="13"/>
      <c r="F18" s="111">
        <v>0</v>
      </c>
      <c r="G18" s="13"/>
      <c r="H18" s="111">
        <v>0</v>
      </c>
      <c r="I18" s="13"/>
      <c r="J18" s="14">
        <v>0</v>
      </c>
      <c r="K18" s="13"/>
      <c r="L18" s="111">
        <v>0</v>
      </c>
      <c r="M18" s="13"/>
      <c r="N18" s="111">
        <v>0</v>
      </c>
      <c r="O18" s="13"/>
      <c r="P18" s="112">
        <v>0</v>
      </c>
      <c r="Q18" s="13"/>
      <c r="R18" s="14">
        <f t="shared" si="0"/>
        <v>-0.18999999998777639</v>
      </c>
    </row>
    <row r="19" spans="1:18" x14ac:dyDescent="0.2">
      <c r="A19" s="3" t="s">
        <v>3840</v>
      </c>
      <c r="B19" s="14">
        <v>-109160636.16999997</v>
      </c>
      <c r="C19" s="13"/>
      <c r="D19" s="111">
        <v>-9610642.6099999994</v>
      </c>
      <c r="E19" s="13"/>
      <c r="F19" s="111">
        <v>7489267.7000000002</v>
      </c>
      <c r="G19" s="13"/>
      <c r="H19" s="111">
        <v>0</v>
      </c>
      <c r="I19" s="13"/>
      <c r="J19" s="14">
        <v>0</v>
      </c>
      <c r="K19" s="13"/>
      <c r="L19" s="111">
        <v>2644983.2799999998</v>
      </c>
      <c r="M19" s="13"/>
      <c r="N19" s="111">
        <v>-98979.06</v>
      </c>
      <c r="O19" s="13"/>
      <c r="P19" s="112">
        <v>-148160.30000000002</v>
      </c>
      <c r="Q19" s="13"/>
      <c r="R19" s="14">
        <f t="shared" si="0"/>
        <v>-108884167.15999997</v>
      </c>
    </row>
    <row r="20" spans="1:18" x14ac:dyDescent="0.2">
      <c r="A20" s="3" t="s">
        <v>3841</v>
      </c>
      <c r="B20" s="14">
        <v>-1747.0700000000002</v>
      </c>
      <c r="C20" s="13"/>
      <c r="D20" s="111">
        <v>-672.66</v>
      </c>
      <c r="E20" s="13"/>
      <c r="F20" s="111">
        <v>0</v>
      </c>
      <c r="G20" s="13"/>
      <c r="H20" s="111">
        <v>0</v>
      </c>
      <c r="I20" s="13"/>
      <c r="K20" s="13"/>
      <c r="L20" s="111"/>
      <c r="M20" s="13"/>
      <c r="N20" s="111">
        <v>0</v>
      </c>
      <c r="O20" s="13"/>
      <c r="P20" s="112"/>
      <c r="Q20" s="13"/>
      <c r="R20" s="14">
        <f t="shared" si="0"/>
        <v>-2419.73</v>
      </c>
    </row>
    <row r="21" spans="1:18" x14ac:dyDescent="0.2">
      <c r="A21" s="3" t="s">
        <v>3842</v>
      </c>
      <c r="B21" s="14">
        <v>-880536.13</v>
      </c>
      <c r="C21" s="13"/>
      <c r="D21" s="111">
        <v>-55701.120000000003</v>
      </c>
      <c r="E21" s="13"/>
      <c r="F21" s="111">
        <v>0</v>
      </c>
      <c r="G21" s="13"/>
      <c r="H21" s="111">
        <v>0</v>
      </c>
      <c r="I21" s="13"/>
      <c r="J21" s="14">
        <v>0</v>
      </c>
      <c r="K21" s="13"/>
      <c r="L21" s="111">
        <v>0</v>
      </c>
      <c r="M21" s="13"/>
      <c r="N21" s="111">
        <v>0</v>
      </c>
      <c r="O21" s="13"/>
      <c r="P21" s="112">
        <v>0</v>
      </c>
      <c r="Q21" s="13"/>
      <c r="R21" s="14">
        <f t="shared" si="0"/>
        <v>-936237.25</v>
      </c>
    </row>
    <row r="22" spans="1:18" x14ac:dyDescent="0.2">
      <c r="A22" s="3" t="s">
        <v>3843</v>
      </c>
      <c r="B22" s="14">
        <v>-10580.9</v>
      </c>
      <c r="C22" s="13"/>
      <c r="D22" s="111">
        <v>-4292.16</v>
      </c>
      <c r="E22" s="13"/>
      <c r="F22" s="111">
        <v>0</v>
      </c>
      <c r="G22" s="13"/>
      <c r="H22" s="111">
        <v>0</v>
      </c>
      <c r="I22" s="13"/>
      <c r="K22" s="13"/>
      <c r="L22" s="111"/>
      <c r="M22" s="13"/>
      <c r="N22" s="111">
        <v>0</v>
      </c>
      <c r="O22" s="13"/>
      <c r="P22" s="112"/>
      <c r="Q22" s="13"/>
      <c r="R22" s="14">
        <f t="shared" si="0"/>
        <v>-14873.06</v>
      </c>
    </row>
    <row r="23" spans="1:18" x14ac:dyDescent="0.2">
      <c r="A23" s="3" t="s">
        <v>3844</v>
      </c>
      <c r="B23" s="14">
        <v>-43378458.759999983</v>
      </c>
      <c r="C23" s="13"/>
      <c r="D23" s="111">
        <v>-4508761.32</v>
      </c>
      <c r="E23" s="13"/>
      <c r="F23" s="111">
        <v>874631.2</v>
      </c>
      <c r="G23" s="13"/>
      <c r="H23" s="111">
        <v>0</v>
      </c>
      <c r="I23" s="13"/>
      <c r="J23" s="14">
        <v>0</v>
      </c>
      <c r="K23" s="13"/>
      <c r="L23" s="111">
        <v>83683.429999999993</v>
      </c>
      <c r="M23" s="13"/>
      <c r="N23" s="111">
        <v>-1598.53</v>
      </c>
      <c r="O23" s="13"/>
      <c r="P23" s="112">
        <v>-24420.239999999998</v>
      </c>
      <c r="Q23" s="13"/>
      <c r="R23" s="14">
        <f t="shared" si="0"/>
        <v>-46954924.219999984</v>
      </c>
    </row>
    <row r="24" spans="1:18" x14ac:dyDescent="0.2">
      <c r="A24" s="3" t="s">
        <v>3845</v>
      </c>
      <c r="B24" s="14">
        <v>-72024.7</v>
      </c>
      <c r="C24" s="13"/>
      <c r="D24" s="111">
        <v>-31826.76</v>
      </c>
      <c r="E24" s="13"/>
      <c r="F24" s="111">
        <v>0</v>
      </c>
      <c r="G24" s="13"/>
      <c r="H24" s="111">
        <v>0</v>
      </c>
      <c r="I24" s="13"/>
      <c r="K24" s="13"/>
      <c r="L24" s="111"/>
      <c r="M24" s="13"/>
      <c r="N24" s="111">
        <v>0</v>
      </c>
      <c r="O24" s="13"/>
      <c r="P24" s="112"/>
      <c r="Q24" s="13"/>
      <c r="R24" s="14">
        <f t="shared" si="0"/>
        <v>-103851.45999999999</v>
      </c>
    </row>
    <row r="25" spans="1:18" x14ac:dyDescent="0.2">
      <c r="A25" s="3" t="s">
        <v>3846</v>
      </c>
      <c r="B25" s="14">
        <v>-140130275.53999999</v>
      </c>
      <c r="C25" s="13"/>
      <c r="D25" s="111">
        <v>-6409315.4400000004</v>
      </c>
      <c r="E25" s="13"/>
      <c r="F25" s="111">
        <v>7785666.2699999996</v>
      </c>
      <c r="G25" s="13"/>
      <c r="H25" s="111">
        <v>0</v>
      </c>
      <c r="I25" s="13"/>
      <c r="J25" s="14">
        <v>0</v>
      </c>
      <c r="K25" s="13"/>
      <c r="L25" s="111">
        <v>328762.37</v>
      </c>
      <c r="M25" s="13"/>
      <c r="N25" s="111">
        <v>-66240.149999999994</v>
      </c>
      <c r="O25" s="13"/>
      <c r="P25" s="112">
        <v>-158704.48000000001</v>
      </c>
      <c r="Q25" s="13"/>
      <c r="R25" s="14">
        <f t="shared" si="0"/>
        <v>-138650106.96999997</v>
      </c>
    </row>
    <row r="26" spans="1:18" x14ac:dyDescent="0.2">
      <c r="A26" s="3" t="s">
        <v>3847</v>
      </c>
      <c r="B26" s="14">
        <v>-59026626.910000011</v>
      </c>
      <c r="C26" s="13"/>
      <c r="D26" s="111">
        <v>-1815473.44</v>
      </c>
      <c r="E26" s="13"/>
      <c r="F26" s="111">
        <v>79568.639999999999</v>
      </c>
      <c r="G26" s="13"/>
      <c r="H26" s="111">
        <v>0</v>
      </c>
      <c r="I26" s="13"/>
      <c r="J26" s="14">
        <v>0</v>
      </c>
      <c r="K26" s="13"/>
      <c r="L26" s="111">
        <v>987741.05</v>
      </c>
      <c r="M26" s="13"/>
      <c r="N26" s="111">
        <v>15411.75</v>
      </c>
      <c r="O26" s="13"/>
      <c r="P26" s="112">
        <v>0</v>
      </c>
      <c r="Q26" s="13"/>
      <c r="R26" s="14">
        <f t="shared" si="0"/>
        <v>-59759378.910000011</v>
      </c>
    </row>
    <row r="27" spans="1:18" x14ac:dyDescent="0.2">
      <c r="A27" s="3" t="s">
        <v>3848</v>
      </c>
      <c r="B27" s="14">
        <v>-36150789.620000005</v>
      </c>
      <c r="C27" s="13"/>
      <c r="D27" s="111">
        <v>-1979073.89</v>
      </c>
      <c r="E27" s="13"/>
      <c r="F27" s="111">
        <v>1757459.33</v>
      </c>
      <c r="G27" s="13"/>
      <c r="H27" s="111">
        <v>4504720.8099999996</v>
      </c>
      <c r="I27" s="13"/>
      <c r="J27" s="14">
        <v>0</v>
      </c>
      <c r="K27" s="13"/>
      <c r="L27" s="111">
        <v>0</v>
      </c>
      <c r="M27" s="13"/>
      <c r="N27" s="111">
        <v>0</v>
      </c>
      <c r="O27" s="13"/>
      <c r="P27" s="112">
        <v>0</v>
      </c>
      <c r="Q27" s="13"/>
      <c r="R27" s="14">
        <f t="shared" si="0"/>
        <v>-31867683.370000008</v>
      </c>
    </row>
    <row r="28" spans="1:18" x14ac:dyDescent="0.2">
      <c r="A28" s="3" t="s">
        <v>3849</v>
      </c>
      <c r="B28" s="14">
        <v>-23805.96</v>
      </c>
      <c r="C28" s="13"/>
      <c r="D28" s="111">
        <v>-49128.82</v>
      </c>
      <c r="E28" s="13"/>
      <c r="F28" s="111">
        <v>0</v>
      </c>
      <c r="G28" s="13"/>
      <c r="H28" s="111">
        <v>0</v>
      </c>
      <c r="I28" s="13"/>
      <c r="J28" s="14">
        <v>0</v>
      </c>
      <c r="K28" s="13"/>
      <c r="L28" s="111">
        <v>0</v>
      </c>
      <c r="M28" s="13"/>
      <c r="N28" s="111">
        <v>0</v>
      </c>
      <c r="O28" s="13"/>
      <c r="P28" s="112">
        <v>0</v>
      </c>
      <c r="Q28" s="13"/>
      <c r="R28" s="14">
        <f t="shared" si="0"/>
        <v>-72934.78</v>
      </c>
    </row>
    <row r="29" spans="1:18" x14ac:dyDescent="0.2">
      <c r="A29" s="3" t="s">
        <v>3850</v>
      </c>
      <c r="B29" s="14">
        <v>0</v>
      </c>
      <c r="C29" s="13"/>
      <c r="D29" s="111">
        <v>-202538.31</v>
      </c>
      <c r="E29" s="13"/>
      <c r="F29" s="111">
        <v>0</v>
      </c>
      <c r="G29" s="13"/>
      <c r="H29" s="111">
        <v>-4504720.8099999996</v>
      </c>
      <c r="I29" s="13"/>
      <c r="J29" s="14">
        <v>0</v>
      </c>
      <c r="K29" s="13"/>
      <c r="L29" s="111">
        <v>0</v>
      </c>
      <c r="M29" s="13"/>
      <c r="N29" s="111">
        <v>0</v>
      </c>
      <c r="O29" s="13"/>
      <c r="P29" s="112">
        <v>0</v>
      </c>
      <c r="Q29" s="13"/>
      <c r="R29" s="14">
        <f t="shared" si="0"/>
        <v>-4707259.1199999992</v>
      </c>
    </row>
    <row r="30" spans="1:18" x14ac:dyDescent="0.2">
      <c r="A30" s="3" t="s">
        <v>3851</v>
      </c>
      <c r="B30" s="14">
        <v>-6.0349520936142653E-9</v>
      </c>
      <c r="C30" s="13"/>
      <c r="D30" s="111">
        <v>-30.94</v>
      </c>
      <c r="E30" s="13"/>
      <c r="F30" s="111">
        <v>0</v>
      </c>
      <c r="G30" s="13"/>
      <c r="H30" s="111">
        <v>0</v>
      </c>
      <c r="I30" s="13"/>
      <c r="J30" s="14">
        <v>0</v>
      </c>
      <c r="K30" s="13"/>
      <c r="L30" s="111">
        <v>0</v>
      </c>
      <c r="M30" s="13"/>
      <c r="N30" s="111">
        <v>0</v>
      </c>
      <c r="O30" s="13"/>
      <c r="P30" s="112">
        <v>0</v>
      </c>
      <c r="Q30" s="13"/>
      <c r="R30" s="14">
        <f t="shared" si="0"/>
        <v>-30.940000006034953</v>
      </c>
    </row>
    <row r="31" spans="1:18" x14ac:dyDescent="0.2">
      <c r="A31" s="3" t="s">
        <v>3852</v>
      </c>
      <c r="B31" s="14">
        <v>-35834018.379999988</v>
      </c>
      <c r="C31" s="13"/>
      <c r="D31" s="111">
        <v>-4587768.0199999996</v>
      </c>
      <c r="E31" s="13"/>
      <c r="F31" s="111">
        <v>810333.36</v>
      </c>
      <c r="G31" s="13"/>
      <c r="H31" s="111">
        <v>0</v>
      </c>
      <c r="I31" s="13"/>
      <c r="J31" s="14">
        <v>0</v>
      </c>
      <c r="K31" s="13"/>
      <c r="L31" s="111">
        <v>640199.31000000006</v>
      </c>
      <c r="M31" s="13"/>
      <c r="N31" s="111">
        <v>-173503.71</v>
      </c>
      <c r="O31" s="13"/>
      <c r="P31" s="112">
        <v>-59356.76</v>
      </c>
      <c r="Q31" s="13"/>
      <c r="R31" s="14">
        <f>SUM(B31:P31)</f>
        <v>-39204114.199999988</v>
      </c>
    </row>
    <row r="32" spans="1:18" x14ac:dyDescent="0.2">
      <c r="A32" s="3" t="s">
        <v>3853</v>
      </c>
      <c r="B32" s="17">
        <v>-23306.199999999964</v>
      </c>
      <c r="C32" s="94"/>
      <c r="D32" s="111">
        <v>-12106.3</v>
      </c>
      <c r="E32" s="13"/>
      <c r="F32" s="111">
        <v>0</v>
      </c>
      <c r="G32" s="13"/>
      <c r="H32" s="111">
        <v>0</v>
      </c>
      <c r="I32" s="13"/>
      <c r="J32" s="14">
        <v>0</v>
      </c>
      <c r="K32" s="13"/>
      <c r="L32" s="111">
        <v>0</v>
      </c>
      <c r="M32" s="13"/>
      <c r="N32" s="111">
        <v>0</v>
      </c>
      <c r="O32" s="13"/>
      <c r="P32" s="112">
        <v>0</v>
      </c>
      <c r="Q32" s="94"/>
      <c r="R32" s="17">
        <f t="shared" si="0"/>
        <v>-35412.499999999964</v>
      </c>
    </row>
    <row r="33" spans="1:18" x14ac:dyDescent="0.2">
      <c r="A33" s="73" t="s">
        <v>3854</v>
      </c>
      <c r="B33" s="17">
        <v>-101191.59999999999</v>
      </c>
      <c r="C33" s="13"/>
      <c r="D33" s="111">
        <v>9546.35</v>
      </c>
      <c r="E33" s="13"/>
      <c r="F33" s="111">
        <v>1700.75</v>
      </c>
      <c r="G33" s="13"/>
      <c r="H33" s="111">
        <v>0</v>
      </c>
      <c r="I33" s="13"/>
      <c r="J33" s="14">
        <v>0</v>
      </c>
      <c r="K33" s="13"/>
      <c r="L33" s="111">
        <v>0</v>
      </c>
      <c r="M33" s="13"/>
      <c r="N33" s="111">
        <v>0</v>
      </c>
      <c r="O33" s="13"/>
      <c r="P33" s="112">
        <v>0</v>
      </c>
      <c r="Q33" s="13"/>
      <c r="R33" s="17">
        <f t="shared" si="0"/>
        <v>-89944.499999999985</v>
      </c>
    </row>
    <row r="34" spans="1:18" x14ac:dyDescent="0.2">
      <c r="A34" s="3" t="s">
        <v>3855</v>
      </c>
      <c r="B34" s="18">
        <f>SUM(B10:B33)</f>
        <v>-621648632.51999998</v>
      </c>
      <c r="C34" s="13"/>
      <c r="D34" s="18">
        <f>SUM(D10:D33)</f>
        <v>-42546944.669999994</v>
      </c>
      <c r="E34" s="13"/>
      <c r="F34" s="18">
        <f>SUM(F10:F33)</f>
        <v>22466473.149999999</v>
      </c>
      <c r="G34" s="13"/>
      <c r="H34" s="18">
        <f>SUM(H10:H33)</f>
        <v>153213.33000000007</v>
      </c>
      <c r="I34" s="13"/>
      <c r="J34" s="18">
        <f>SUM(J10:J33)</f>
        <v>0</v>
      </c>
      <c r="K34" s="13"/>
      <c r="L34" s="18">
        <f>SUM(L10:L33)</f>
        <v>6979032.5500000007</v>
      </c>
      <c r="M34" s="13"/>
      <c r="N34" s="18">
        <f>SUM(N10:N33)</f>
        <v>-421603.17999999993</v>
      </c>
      <c r="O34" s="13"/>
      <c r="P34" s="18">
        <f>SUM(P10:P33)</f>
        <v>-428125.41000000003</v>
      </c>
      <c r="Q34" s="13"/>
      <c r="R34" s="18">
        <f>SUM(R10:R33)</f>
        <v>-635446586.74999976</v>
      </c>
    </row>
    <row r="35" spans="1:18" x14ac:dyDescent="0.2">
      <c r="C35" s="13"/>
      <c r="E35" s="13"/>
      <c r="G35" s="13"/>
      <c r="I35" s="13"/>
      <c r="K35" s="13"/>
      <c r="M35" s="13"/>
      <c r="O35" s="13"/>
      <c r="Q35" s="13"/>
    </row>
    <row r="36" spans="1:18" x14ac:dyDescent="0.2">
      <c r="A36" s="12" t="s">
        <v>13</v>
      </c>
      <c r="C36" s="13"/>
      <c r="E36" s="13"/>
      <c r="G36" s="13"/>
      <c r="I36" s="13"/>
      <c r="K36" s="13"/>
      <c r="M36" s="13"/>
      <c r="O36" s="13"/>
      <c r="Q36" s="13"/>
    </row>
    <row r="37" spans="1:18" x14ac:dyDescent="0.2">
      <c r="A37" s="3" t="s">
        <v>3856</v>
      </c>
      <c r="B37" s="14">
        <v>1.8189894035458565E-12</v>
      </c>
      <c r="C37" s="13"/>
      <c r="D37" s="111">
        <v>0</v>
      </c>
      <c r="E37" s="13"/>
      <c r="F37" s="111">
        <v>0</v>
      </c>
      <c r="G37" s="13"/>
      <c r="H37" s="111">
        <v>0</v>
      </c>
      <c r="I37" s="13"/>
      <c r="J37" s="14">
        <v>0</v>
      </c>
      <c r="K37" s="13"/>
      <c r="L37" s="111">
        <v>0</v>
      </c>
      <c r="M37" s="13"/>
      <c r="N37" s="111">
        <v>0</v>
      </c>
      <c r="O37" s="13"/>
      <c r="P37" s="112">
        <v>0</v>
      </c>
      <c r="Q37" s="13"/>
      <c r="R37" s="14">
        <f t="shared" ref="R37:R64" si="1">SUM(B37:P37)</f>
        <v>1.8189894035458565E-12</v>
      </c>
    </row>
    <row r="38" spans="1:18" x14ac:dyDescent="0.2">
      <c r="A38" s="3" t="s">
        <v>3857</v>
      </c>
      <c r="B38" s="14">
        <v>-7677305.9200000027</v>
      </c>
      <c r="C38" s="13"/>
      <c r="D38" s="111">
        <v>-922913.7</v>
      </c>
      <c r="E38" s="13"/>
      <c r="F38" s="111">
        <v>143704.84</v>
      </c>
      <c r="G38" s="13"/>
      <c r="H38" s="111">
        <v>-5891.72</v>
      </c>
      <c r="I38" s="13"/>
      <c r="J38" s="14">
        <v>0</v>
      </c>
      <c r="K38" s="13"/>
      <c r="L38" s="111">
        <v>26027.84</v>
      </c>
      <c r="M38" s="13"/>
      <c r="N38" s="111">
        <v>0</v>
      </c>
      <c r="O38" s="13"/>
      <c r="P38" s="112">
        <v>0</v>
      </c>
      <c r="Q38" s="13"/>
      <c r="R38" s="14">
        <f>SUM(B38:P38)</f>
        <v>-8436378.6600000039</v>
      </c>
    </row>
    <row r="39" spans="1:18" x14ac:dyDescent="0.2">
      <c r="A39" s="110" t="s">
        <v>3858</v>
      </c>
      <c r="B39" s="14">
        <v>-11526.53</v>
      </c>
      <c r="C39" s="13"/>
      <c r="D39" s="111">
        <v>-1223.82</v>
      </c>
      <c r="E39" s="13"/>
      <c r="F39" s="111">
        <v>0</v>
      </c>
      <c r="G39" s="13"/>
      <c r="H39" s="111">
        <v>0</v>
      </c>
      <c r="I39" s="13"/>
      <c r="J39" s="14">
        <v>0</v>
      </c>
      <c r="K39" s="13"/>
      <c r="L39" s="111">
        <v>0</v>
      </c>
      <c r="M39" s="13"/>
      <c r="N39" s="111">
        <v>0</v>
      </c>
      <c r="O39" s="13"/>
      <c r="P39" s="112">
        <v>0</v>
      </c>
      <c r="Q39" s="13"/>
      <c r="R39" s="14">
        <f>SUM(B39:P39)</f>
        <v>-12750.35</v>
      </c>
    </row>
    <row r="40" spans="1:18" x14ac:dyDescent="0.2">
      <c r="A40" s="3" t="s">
        <v>3859</v>
      </c>
      <c r="B40" s="14">
        <v>-423993.09999999992</v>
      </c>
      <c r="C40" s="13"/>
      <c r="D40" s="111">
        <v>-101036.94</v>
      </c>
      <c r="E40" s="13"/>
      <c r="F40" s="111">
        <v>1970.45</v>
      </c>
      <c r="G40" s="13"/>
      <c r="H40" s="111">
        <v>0</v>
      </c>
      <c r="I40" s="13"/>
      <c r="J40" s="14">
        <v>0</v>
      </c>
      <c r="K40" s="13"/>
      <c r="L40" s="111">
        <v>0</v>
      </c>
      <c r="M40" s="13"/>
      <c r="N40" s="111">
        <v>0</v>
      </c>
      <c r="O40" s="13"/>
      <c r="P40" s="112">
        <v>0</v>
      </c>
      <c r="Q40" s="13"/>
      <c r="R40" s="14">
        <f>SUM(B40:P40)</f>
        <v>-523059.58999999991</v>
      </c>
    </row>
    <row r="41" spans="1:18" x14ac:dyDescent="0.2">
      <c r="A41" s="3" t="s">
        <v>3860</v>
      </c>
      <c r="B41" s="14">
        <v>-2747994.6199999996</v>
      </c>
      <c r="C41" s="13"/>
      <c r="D41" s="111">
        <v>-242361.4</v>
      </c>
      <c r="E41" s="13"/>
      <c r="F41" s="111">
        <v>0</v>
      </c>
      <c r="G41" s="13"/>
      <c r="H41" s="111">
        <v>0</v>
      </c>
      <c r="I41" s="13"/>
      <c r="J41" s="14">
        <v>0</v>
      </c>
      <c r="K41" s="13"/>
      <c r="L41" s="111">
        <v>0</v>
      </c>
      <c r="M41" s="13"/>
      <c r="N41" s="111">
        <v>0</v>
      </c>
      <c r="O41" s="13"/>
      <c r="P41" s="112">
        <v>0</v>
      </c>
      <c r="Q41" s="13"/>
      <c r="R41" s="14">
        <f t="shared" si="1"/>
        <v>-2990356.0199999996</v>
      </c>
    </row>
    <row r="42" spans="1:18" x14ac:dyDescent="0.2">
      <c r="A42" s="3" t="s">
        <v>3861</v>
      </c>
      <c r="B42" s="14">
        <v>-352232.85000000009</v>
      </c>
      <c r="C42" s="13"/>
      <c r="D42" s="111">
        <v>-46959.91</v>
      </c>
      <c r="E42" s="13"/>
      <c r="F42" s="111">
        <v>4493.18</v>
      </c>
      <c r="G42" s="13"/>
      <c r="H42" s="111">
        <v>0</v>
      </c>
      <c r="I42" s="13"/>
      <c r="J42" s="14">
        <v>0</v>
      </c>
      <c r="K42" s="13"/>
      <c r="L42" s="111">
        <v>0</v>
      </c>
      <c r="M42" s="13"/>
      <c r="N42" s="111">
        <v>0</v>
      </c>
      <c r="O42" s="13"/>
      <c r="P42" s="112">
        <v>0</v>
      </c>
      <c r="Q42" s="13"/>
      <c r="R42" s="14">
        <f t="shared" si="1"/>
        <v>-394699.58000000013</v>
      </c>
    </row>
    <row r="43" spans="1:18" outlineLevel="1" x14ac:dyDescent="0.2">
      <c r="A43" s="3" t="s">
        <v>3862</v>
      </c>
      <c r="B43" s="14">
        <v>-5869.6399999999985</v>
      </c>
      <c r="C43" s="13"/>
      <c r="D43" s="14">
        <v>-25.76</v>
      </c>
      <c r="E43" s="13"/>
      <c r="F43" s="14">
        <v>0</v>
      </c>
      <c r="G43" s="13"/>
      <c r="H43" s="14">
        <v>5891.72</v>
      </c>
      <c r="I43" s="13"/>
      <c r="J43" s="14">
        <v>0</v>
      </c>
      <c r="K43" s="13"/>
      <c r="L43" s="14">
        <v>0</v>
      </c>
      <c r="M43" s="13"/>
      <c r="N43" s="14">
        <v>0</v>
      </c>
      <c r="O43" s="13"/>
      <c r="P43" s="14">
        <v>0</v>
      </c>
      <c r="Q43" s="13"/>
      <c r="R43" s="14">
        <f>SUM(B43:P43)</f>
        <v>-3.679999999998472</v>
      </c>
    </row>
    <row r="44" spans="1:18" outlineLevel="1" x14ac:dyDescent="0.2">
      <c r="A44" s="3" t="s">
        <v>3863</v>
      </c>
      <c r="B44" s="14">
        <v>0</v>
      </c>
      <c r="C44" s="13"/>
      <c r="D44" s="14">
        <v>0</v>
      </c>
      <c r="E44" s="13"/>
      <c r="F44" s="14">
        <v>0</v>
      </c>
      <c r="G44" s="13"/>
      <c r="H44" s="14">
        <v>0</v>
      </c>
      <c r="I44" s="13"/>
      <c r="J44" s="14">
        <v>0</v>
      </c>
      <c r="K44" s="13"/>
      <c r="L44" s="14">
        <v>0</v>
      </c>
      <c r="M44" s="13"/>
      <c r="N44" s="14">
        <v>0</v>
      </c>
      <c r="O44" s="13"/>
      <c r="P44" s="14">
        <v>0</v>
      </c>
      <c r="Q44" s="13"/>
      <c r="R44" s="14">
        <f t="shared" si="1"/>
        <v>0</v>
      </c>
    </row>
    <row r="45" spans="1:18" outlineLevel="1" x14ac:dyDescent="0.2">
      <c r="A45" s="3" t="s">
        <v>3864</v>
      </c>
      <c r="B45" s="14">
        <v>0</v>
      </c>
      <c r="C45" s="13"/>
      <c r="D45" s="14">
        <v>0</v>
      </c>
      <c r="E45" s="13"/>
      <c r="F45" s="14">
        <v>0</v>
      </c>
      <c r="G45" s="13"/>
      <c r="H45" s="14">
        <v>0</v>
      </c>
      <c r="I45" s="13"/>
      <c r="J45" s="14">
        <v>0</v>
      </c>
      <c r="K45" s="13"/>
      <c r="L45" s="14">
        <v>0</v>
      </c>
      <c r="M45" s="13"/>
      <c r="N45" s="14">
        <v>0</v>
      </c>
      <c r="O45" s="13"/>
      <c r="P45" s="14">
        <v>0</v>
      </c>
      <c r="Q45" s="13"/>
      <c r="R45" s="14">
        <f t="shared" si="1"/>
        <v>0</v>
      </c>
    </row>
    <row r="46" spans="1:18" outlineLevel="1" x14ac:dyDescent="0.2">
      <c r="A46" s="3" t="s">
        <v>3865</v>
      </c>
      <c r="B46" s="14">
        <v>0</v>
      </c>
      <c r="C46" s="13"/>
      <c r="D46" s="14">
        <v>0</v>
      </c>
      <c r="E46" s="13"/>
      <c r="F46" s="14">
        <v>0</v>
      </c>
      <c r="G46" s="13"/>
      <c r="H46" s="14">
        <v>0</v>
      </c>
      <c r="I46" s="13"/>
      <c r="J46" s="14">
        <v>0</v>
      </c>
      <c r="K46" s="13"/>
      <c r="L46" s="14">
        <v>0</v>
      </c>
      <c r="M46" s="13"/>
      <c r="N46" s="14">
        <v>0</v>
      </c>
      <c r="O46" s="13"/>
      <c r="P46" s="14">
        <v>0</v>
      </c>
      <c r="Q46" s="13"/>
      <c r="R46" s="14">
        <f t="shared" si="1"/>
        <v>0</v>
      </c>
    </row>
    <row r="47" spans="1:18" outlineLevel="1" x14ac:dyDescent="0.2">
      <c r="A47" s="3" t="s">
        <v>3866</v>
      </c>
      <c r="B47" s="14">
        <v>-4486.239999999998</v>
      </c>
      <c r="C47" s="13"/>
      <c r="D47" s="14">
        <v>-14.05</v>
      </c>
      <c r="E47" s="13"/>
      <c r="F47" s="14">
        <v>3924.94</v>
      </c>
      <c r="G47" s="13"/>
      <c r="H47" s="14">
        <v>0</v>
      </c>
      <c r="I47" s="13"/>
      <c r="J47" s="14">
        <v>0</v>
      </c>
      <c r="K47" s="13"/>
      <c r="L47" s="14">
        <v>0</v>
      </c>
      <c r="M47" s="13"/>
      <c r="N47" s="14">
        <v>0</v>
      </c>
      <c r="O47" s="13"/>
      <c r="P47" s="14">
        <v>0</v>
      </c>
      <c r="Q47" s="13"/>
      <c r="R47" s="14">
        <f t="shared" si="1"/>
        <v>-575.34999999999809</v>
      </c>
    </row>
    <row r="48" spans="1:18" outlineLevel="1" x14ac:dyDescent="0.2">
      <c r="A48" s="3" t="s">
        <v>3867</v>
      </c>
      <c r="B48" s="14">
        <v>-22380.310000000009</v>
      </c>
      <c r="C48" s="13"/>
      <c r="D48" s="14">
        <v>-308.33999999999997</v>
      </c>
      <c r="E48" s="13"/>
      <c r="F48" s="14">
        <v>0</v>
      </c>
      <c r="G48" s="13"/>
      <c r="H48" s="14">
        <v>0</v>
      </c>
      <c r="I48" s="13"/>
      <c r="J48" s="14">
        <v>0</v>
      </c>
      <c r="K48" s="13"/>
      <c r="L48" s="14">
        <v>0</v>
      </c>
      <c r="M48" s="13"/>
      <c r="N48" s="14">
        <v>0</v>
      </c>
      <c r="O48" s="13"/>
      <c r="P48" s="14">
        <v>0</v>
      </c>
      <c r="Q48" s="13"/>
      <c r="R48" s="14">
        <f t="shared" si="1"/>
        <v>-22688.650000000009</v>
      </c>
    </row>
    <row r="49" spans="1:18" outlineLevel="1" x14ac:dyDescent="0.2">
      <c r="A49" s="3" t="s">
        <v>3868</v>
      </c>
      <c r="B49" s="14">
        <v>0</v>
      </c>
      <c r="C49" s="13"/>
      <c r="D49" s="14">
        <v>0</v>
      </c>
      <c r="E49" s="13"/>
      <c r="F49" s="14">
        <v>0</v>
      </c>
      <c r="G49" s="13"/>
      <c r="H49" s="14">
        <v>0</v>
      </c>
      <c r="I49" s="13"/>
      <c r="J49" s="14">
        <v>0</v>
      </c>
      <c r="K49" s="13"/>
      <c r="L49" s="14">
        <v>0</v>
      </c>
      <c r="M49" s="13"/>
      <c r="N49" s="14">
        <v>0</v>
      </c>
      <c r="O49" s="13"/>
      <c r="P49" s="14">
        <v>0</v>
      </c>
      <c r="Q49" s="13"/>
      <c r="R49" s="14">
        <f>SUM(B49:P49)</f>
        <v>0</v>
      </c>
    </row>
    <row r="50" spans="1:18" outlineLevel="1" x14ac:dyDescent="0.2">
      <c r="A50" s="3" t="s">
        <v>3869</v>
      </c>
      <c r="B50" s="14">
        <v>-1187.2600000000007</v>
      </c>
      <c r="C50" s="13"/>
      <c r="D50" s="14">
        <v>-16.38</v>
      </c>
      <c r="E50" s="13"/>
      <c r="F50" s="14">
        <v>0</v>
      </c>
      <c r="G50" s="13"/>
      <c r="H50" s="14">
        <v>0</v>
      </c>
      <c r="I50" s="13"/>
      <c r="J50" s="14">
        <v>0</v>
      </c>
      <c r="K50" s="13"/>
      <c r="L50" s="14">
        <v>0</v>
      </c>
      <c r="M50" s="13"/>
      <c r="N50" s="14">
        <v>0</v>
      </c>
      <c r="O50" s="13"/>
      <c r="P50" s="14">
        <v>0</v>
      </c>
      <c r="Q50" s="13"/>
      <c r="R50" s="14">
        <f t="shared" si="1"/>
        <v>-1203.6400000000008</v>
      </c>
    </row>
    <row r="51" spans="1:18" outlineLevel="1" x14ac:dyDescent="0.2">
      <c r="A51" s="3" t="s">
        <v>3870</v>
      </c>
      <c r="B51" s="14">
        <v>0</v>
      </c>
      <c r="C51" s="13"/>
      <c r="D51" s="14">
        <v>0</v>
      </c>
      <c r="E51" s="13"/>
      <c r="F51" s="14">
        <v>0</v>
      </c>
      <c r="G51" s="13"/>
      <c r="H51" s="14">
        <v>0</v>
      </c>
      <c r="I51" s="13"/>
      <c r="J51" s="14">
        <v>0</v>
      </c>
      <c r="K51" s="13"/>
      <c r="L51" s="14">
        <v>0</v>
      </c>
      <c r="M51" s="13"/>
      <c r="N51" s="14">
        <v>0</v>
      </c>
      <c r="O51" s="13"/>
      <c r="P51" s="14">
        <v>0</v>
      </c>
      <c r="Q51" s="13"/>
      <c r="R51" s="14">
        <f t="shared" si="1"/>
        <v>0</v>
      </c>
    </row>
    <row r="52" spans="1:18" outlineLevel="1" x14ac:dyDescent="0.2">
      <c r="A52" s="3" t="s">
        <v>3871</v>
      </c>
      <c r="B52" s="14">
        <v>-100.86999999999534</v>
      </c>
      <c r="C52" s="13"/>
      <c r="D52" s="14">
        <v>0</v>
      </c>
      <c r="E52" s="13"/>
      <c r="F52" s="14">
        <v>0</v>
      </c>
      <c r="G52" s="13"/>
      <c r="H52" s="14">
        <v>0</v>
      </c>
      <c r="I52" s="13"/>
      <c r="J52" s="14">
        <v>0</v>
      </c>
      <c r="K52" s="13"/>
      <c r="L52" s="14">
        <v>0</v>
      </c>
      <c r="M52" s="13"/>
      <c r="N52" s="14">
        <v>0</v>
      </c>
      <c r="O52" s="13"/>
      <c r="P52" s="14">
        <v>0</v>
      </c>
      <c r="Q52" s="13"/>
      <c r="R52" s="14">
        <f t="shared" si="1"/>
        <v>-100.86999999999534</v>
      </c>
    </row>
    <row r="53" spans="1:18" outlineLevel="1" x14ac:dyDescent="0.2">
      <c r="A53" s="3" t="s">
        <v>3872</v>
      </c>
      <c r="B53" s="14">
        <v>0</v>
      </c>
      <c r="C53" s="13"/>
      <c r="D53" s="14">
        <v>0</v>
      </c>
      <c r="E53" s="13"/>
      <c r="F53" s="14">
        <v>0</v>
      </c>
      <c r="G53" s="13"/>
      <c r="H53" s="14">
        <v>0</v>
      </c>
      <c r="I53" s="13"/>
      <c r="J53" s="14">
        <v>0</v>
      </c>
      <c r="K53" s="13"/>
      <c r="L53" s="14">
        <v>0</v>
      </c>
      <c r="M53" s="13"/>
      <c r="N53" s="14">
        <v>0</v>
      </c>
      <c r="O53" s="13"/>
      <c r="P53" s="14">
        <v>0</v>
      </c>
      <c r="Q53" s="13"/>
      <c r="R53" s="14">
        <f t="shared" si="1"/>
        <v>0</v>
      </c>
    </row>
    <row r="54" spans="1:18" outlineLevel="1" x14ac:dyDescent="0.2">
      <c r="A54" s="3" t="s">
        <v>3873</v>
      </c>
      <c r="B54" s="14">
        <v>-197.03999999999996</v>
      </c>
      <c r="C54" s="13"/>
      <c r="D54" s="14">
        <v>-2.7</v>
      </c>
      <c r="E54" s="13"/>
      <c r="F54" s="14">
        <v>0</v>
      </c>
      <c r="G54" s="13"/>
      <c r="H54" s="14">
        <v>0</v>
      </c>
      <c r="I54" s="13"/>
      <c r="J54" s="14">
        <v>0</v>
      </c>
      <c r="K54" s="13"/>
      <c r="L54" s="14">
        <v>0</v>
      </c>
      <c r="M54" s="13"/>
      <c r="N54" s="14">
        <v>0</v>
      </c>
      <c r="O54" s="13"/>
      <c r="P54" s="14">
        <v>0</v>
      </c>
      <c r="Q54" s="13"/>
      <c r="R54" s="14">
        <f t="shared" si="1"/>
        <v>-199.73999999999995</v>
      </c>
    </row>
    <row r="55" spans="1:18" outlineLevel="1" x14ac:dyDescent="0.2">
      <c r="A55" s="3" t="s">
        <v>3874</v>
      </c>
      <c r="B55" s="14">
        <v>-37283.849999999991</v>
      </c>
      <c r="C55" s="13"/>
      <c r="D55" s="14">
        <v>-513.66</v>
      </c>
      <c r="E55" s="13"/>
      <c r="F55" s="14">
        <v>0</v>
      </c>
      <c r="G55" s="13"/>
      <c r="H55" s="14">
        <v>0</v>
      </c>
      <c r="I55" s="13"/>
      <c r="J55" s="14">
        <v>0</v>
      </c>
      <c r="K55" s="13"/>
      <c r="L55" s="14">
        <v>0</v>
      </c>
      <c r="M55" s="13"/>
      <c r="N55" s="14">
        <v>0</v>
      </c>
      <c r="O55" s="13"/>
      <c r="P55" s="14">
        <v>0</v>
      </c>
      <c r="Q55" s="13"/>
      <c r="R55" s="14">
        <f t="shared" si="1"/>
        <v>-37797.509999999995</v>
      </c>
    </row>
    <row r="56" spans="1:18" outlineLevel="1" x14ac:dyDescent="0.2">
      <c r="A56" s="3" t="s">
        <v>3875</v>
      </c>
      <c r="B56" s="14">
        <v>0</v>
      </c>
      <c r="C56" s="13"/>
      <c r="D56" s="14">
        <v>0</v>
      </c>
      <c r="E56" s="13"/>
      <c r="F56" s="14">
        <v>0</v>
      </c>
      <c r="G56" s="13"/>
      <c r="H56" s="14">
        <v>0</v>
      </c>
      <c r="I56" s="13"/>
      <c r="J56" s="14">
        <v>0</v>
      </c>
      <c r="K56" s="13"/>
      <c r="L56" s="14">
        <v>0</v>
      </c>
      <c r="M56" s="13"/>
      <c r="N56" s="14">
        <v>0</v>
      </c>
      <c r="O56" s="13"/>
      <c r="P56" s="14">
        <v>0</v>
      </c>
      <c r="Q56" s="13"/>
      <c r="R56" s="14">
        <f t="shared" si="1"/>
        <v>0</v>
      </c>
    </row>
    <row r="57" spans="1:18" outlineLevel="1" x14ac:dyDescent="0.2">
      <c r="A57" s="3" t="s">
        <v>3876</v>
      </c>
      <c r="B57" s="14">
        <v>-3376.2400000000007</v>
      </c>
      <c r="C57" s="13"/>
      <c r="D57" s="14">
        <v>-46.5</v>
      </c>
      <c r="E57" s="13"/>
      <c r="F57" s="14">
        <v>0</v>
      </c>
      <c r="G57" s="13"/>
      <c r="H57" s="14">
        <v>0</v>
      </c>
      <c r="I57" s="13"/>
      <c r="J57" s="14">
        <v>0</v>
      </c>
      <c r="K57" s="13"/>
      <c r="L57" s="14">
        <v>0</v>
      </c>
      <c r="M57" s="13"/>
      <c r="N57" s="14">
        <v>0</v>
      </c>
      <c r="O57" s="13"/>
      <c r="P57" s="14">
        <v>0</v>
      </c>
      <c r="Q57" s="13"/>
      <c r="R57" s="14">
        <f t="shared" si="1"/>
        <v>-3422.7400000000007</v>
      </c>
    </row>
    <row r="58" spans="1:18" outlineLevel="1" x14ac:dyDescent="0.2">
      <c r="A58" s="3" t="s">
        <v>3877</v>
      </c>
      <c r="B58" s="14">
        <v>-159988.58000000002</v>
      </c>
      <c r="C58" s="13"/>
      <c r="D58" s="14">
        <v>-4227.3599999999997</v>
      </c>
      <c r="E58" s="13"/>
      <c r="F58" s="14">
        <v>0</v>
      </c>
      <c r="G58" s="13"/>
      <c r="H58" s="14">
        <v>0</v>
      </c>
      <c r="I58" s="13"/>
      <c r="J58" s="14">
        <v>0</v>
      </c>
      <c r="K58" s="13"/>
      <c r="L58" s="14">
        <v>0</v>
      </c>
      <c r="M58" s="13"/>
      <c r="N58" s="14">
        <v>0</v>
      </c>
      <c r="O58" s="13"/>
      <c r="P58" s="14">
        <v>0</v>
      </c>
      <c r="Q58" s="13"/>
      <c r="R58" s="14">
        <f t="shared" si="1"/>
        <v>-164215.94</v>
      </c>
    </row>
    <row r="59" spans="1:18" outlineLevel="1" x14ac:dyDescent="0.2">
      <c r="A59" s="3" t="s">
        <v>3878</v>
      </c>
      <c r="B59" s="14">
        <v>-46536.539999999994</v>
      </c>
      <c r="C59" s="13"/>
      <c r="D59" s="14">
        <v>-641.16</v>
      </c>
      <c r="E59" s="13"/>
      <c r="F59" s="14">
        <v>0</v>
      </c>
      <c r="G59" s="13"/>
      <c r="H59" s="14">
        <v>0</v>
      </c>
      <c r="I59" s="13"/>
      <c r="J59" s="14">
        <v>0</v>
      </c>
      <c r="K59" s="13"/>
      <c r="L59" s="14">
        <v>0</v>
      </c>
      <c r="M59" s="13"/>
      <c r="N59" s="14">
        <v>0</v>
      </c>
      <c r="O59" s="13"/>
      <c r="P59" s="14">
        <v>0</v>
      </c>
      <c r="Q59" s="13"/>
      <c r="R59" s="14">
        <f t="shared" si="1"/>
        <v>-47177.7</v>
      </c>
    </row>
    <row r="60" spans="1:18" outlineLevel="1" x14ac:dyDescent="0.2">
      <c r="A60" s="3" t="s">
        <v>3879</v>
      </c>
      <c r="B60" s="14">
        <v>0</v>
      </c>
      <c r="C60" s="13"/>
      <c r="D60" s="14">
        <v>0</v>
      </c>
      <c r="E60" s="13"/>
      <c r="F60" s="14">
        <v>0</v>
      </c>
      <c r="G60" s="13"/>
      <c r="H60" s="14">
        <v>0</v>
      </c>
      <c r="I60" s="13"/>
      <c r="J60" s="14">
        <v>0</v>
      </c>
      <c r="K60" s="13"/>
      <c r="L60" s="14">
        <v>0</v>
      </c>
      <c r="M60" s="13"/>
      <c r="N60" s="14">
        <v>0</v>
      </c>
      <c r="O60" s="13"/>
      <c r="P60" s="14">
        <v>0</v>
      </c>
      <c r="Q60" s="13"/>
      <c r="R60" s="14">
        <f t="shared" si="1"/>
        <v>0</v>
      </c>
    </row>
    <row r="61" spans="1:18" outlineLevel="1" x14ac:dyDescent="0.2">
      <c r="A61" s="3" t="s">
        <v>3880</v>
      </c>
      <c r="B61" s="14">
        <v>0</v>
      </c>
      <c r="C61" s="13"/>
      <c r="D61" s="14">
        <v>0</v>
      </c>
      <c r="E61" s="13"/>
      <c r="F61" s="14">
        <v>0</v>
      </c>
      <c r="G61" s="13"/>
      <c r="H61" s="14">
        <v>0</v>
      </c>
      <c r="I61" s="13"/>
      <c r="J61" s="14">
        <v>0</v>
      </c>
      <c r="K61" s="13"/>
      <c r="L61" s="14">
        <v>0</v>
      </c>
      <c r="M61" s="13"/>
      <c r="N61" s="14">
        <v>0</v>
      </c>
      <c r="O61" s="13"/>
      <c r="P61" s="14">
        <v>0</v>
      </c>
      <c r="Q61" s="13"/>
      <c r="R61" s="14">
        <f t="shared" si="1"/>
        <v>0</v>
      </c>
    </row>
    <row r="62" spans="1:18" outlineLevel="1" x14ac:dyDescent="0.2">
      <c r="A62" s="3" t="s">
        <v>3881</v>
      </c>
      <c r="B62" s="14">
        <v>-9227.0099999999984</v>
      </c>
      <c r="C62" s="13"/>
      <c r="D62" s="14">
        <v>-127.08</v>
      </c>
      <c r="E62" s="13"/>
      <c r="F62" s="14">
        <v>0</v>
      </c>
      <c r="G62" s="13"/>
      <c r="H62" s="14">
        <v>0</v>
      </c>
      <c r="I62" s="13"/>
      <c r="J62" s="14">
        <v>0</v>
      </c>
      <c r="K62" s="13"/>
      <c r="L62" s="14">
        <v>0</v>
      </c>
      <c r="M62" s="13"/>
      <c r="N62" s="14">
        <v>0</v>
      </c>
      <c r="O62" s="13"/>
      <c r="P62" s="14">
        <v>0</v>
      </c>
      <c r="Q62" s="13"/>
      <c r="R62" s="14">
        <f t="shared" si="1"/>
        <v>-9354.0899999999983</v>
      </c>
    </row>
    <row r="63" spans="1:18" outlineLevel="1" x14ac:dyDescent="0.2">
      <c r="A63" s="3" t="s">
        <v>3882</v>
      </c>
      <c r="B63" s="14">
        <v>-66593.799999999988</v>
      </c>
      <c r="C63" s="13"/>
      <c r="D63" s="14">
        <v>-917.52</v>
      </c>
      <c r="E63" s="13"/>
      <c r="F63" s="14">
        <v>0</v>
      </c>
      <c r="G63" s="13"/>
      <c r="H63" s="14">
        <v>0</v>
      </c>
      <c r="I63" s="13"/>
      <c r="J63" s="14">
        <v>0</v>
      </c>
      <c r="K63" s="13"/>
      <c r="L63" s="14">
        <v>0</v>
      </c>
      <c r="M63" s="13"/>
      <c r="N63" s="14">
        <v>0</v>
      </c>
      <c r="O63" s="13"/>
      <c r="P63" s="14">
        <v>0</v>
      </c>
      <c r="Q63" s="13"/>
      <c r="R63" s="14">
        <f t="shared" si="1"/>
        <v>-67511.319999999992</v>
      </c>
    </row>
    <row r="64" spans="1:18" outlineLevel="1" x14ac:dyDescent="0.2">
      <c r="A64" s="3" t="s">
        <v>3883</v>
      </c>
      <c r="B64" s="14">
        <v>0</v>
      </c>
      <c r="C64" s="13"/>
      <c r="D64" s="14">
        <v>0</v>
      </c>
      <c r="E64" s="13"/>
      <c r="F64" s="14">
        <v>0</v>
      </c>
      <c r="G64" s="13"/>
      <c r="H64" s="14">
        <v>0</v>
      </c>
      <c r="I64" s="13"/>
      <c r="J64" s="14">
        <v>0</v>
      </c>
      <c r="K64" s="13"/>
      <c r="L64" s="14">
        <v>0</v>
      </c>
      <c r="M64" s="13"/>
      <c r="N64" s="14">
        <v>0</v>
      </c>
      <c r="O64" s="13"/>
      <c r="P64" s="14">
        <v>0</v>
      </c>
      <c r="Q64" s="13"/>
      <c r="R64" s="14">
        <f t="shared" si="1"/>
        <v>0</v>
      </c>
    </row>
    <row r="65" spans="1:18" x14ac:dyDescent="0.2">
      <c r="A65" s="3" t="s">
        <v>3884</v>
      </c>
      <c r="B65" s="14">
        <v>-357227.38</v>
      </c>
      <c r="C65" s="13"/>
      <c r="D65" s="14">
        <f>SUM(D43:D64)</f>
        <v>-6840.51</v>
      </c>
      <c r="E65" s="13"/>
      <c r="F65" s="14">
        <f>SUM(F43:F64)</f>
        <v>3924.94</v>
      </c>
      <c r="G65" s="13"/>
      <c r="H65" s="14">
        <f>SUM(H43:H64)</f>
        <v>5891.72</v>
      </c>
      <c r="I65" s="13"/>
      <c r="J65" s="14">
        <f>SUM(J43:J64)</f>
        <v>0</v>
      </c>
      <c r="K65" s="13"/>
      <c r="L65" s="14">
        <f>SUM(L43:L64)</f>
        <v>0</v>
      </c>
      <c r="M65" s="13"/>
      <c r="N65" s="14">
        <f>SUM(N43:N64)</f>
        <v>0</v>
      </c>
      <c r="O65" s="13"/>
      <c r="P65" s="14">
        <f>SUM(P43:P64)</f>
        <v>0</v>
      </c>
      <c r="Q65" s="13"/>
      <c r="R65" s="14">
        <f>SUM(R43:R64)</f>
        <v>-354251.23000000004</v>
      </c>
    </row>
    <row r="66" spans="1:18" x14ac:dyDescent="0.2">
      <c r="A66" s="3" t="s">
        <v>3885</v>
      </c>
      <c r="B66" s="14">
        <v>-5027928.9599999981</v>
      </c>
      <c r="C66" s="13"/>
      <c r="D66" s="111">
        <v>-470358.07</v>
      </c>
      <c r="E66" s="13"/>
      <c r="F66" s="111">
        <v>283354.86</v>
      </c>
      <c r="G66" s="13"/>
      <c r="H66" s="111">
        <v>0</v>
      </c>
      <c r="I66" s="13"/>
      <c r="J66" s="14">
        <v>0</v>
      </c>
      <c r="K66" s="13"/>
      <c r="L66" s="111">
        <v>2032.01</v>
      </c>
      <c r="M66" s="13"/>
      <c r="N66" s="111">
        <v>0</v>
      </c>
      <c r="O66" s="13"/>
      <c r="P66" s="112">
        <v>0</v>
      </c>
      <c r="Q66" s="13"/>
      <c r="R66" s="14">
        <f t="shared" ref="R66:R80" si="2">SUM(B66:P66)</f>
        <v>-5212900.1599999983</v>
      </c>
    </row>
    <row r="67" spans="1:18" x14ac:dyDescent="0.2">
      <c r="A67" s="3" t="s">
        <v>3886</v>
      </c>
      <c r="B67" s="14">
        <v>-15524053.530000001</v>
      </c>
      <c r="C67" s="13"/>
      <c r="D67" s="111">
        <v>-4083872.53</v>
      </c>
      <c r="E67" s="13"/>
      <c r="F67" s="111">
        <v>4079972.85</v>
      </c>
      <c r="G67" s="13"/>
      <c r="H67" s="111">
        <v>0</v>
      </c>
      <c r="I67" s="13"/>
      <c r="J67" s="14">
        <v>0</v>
      </c>
      <c r="K67" s="13"/>
      <c r="L67" s="111">
        <v>0</v>
      </c>
      <c r="M67" s="13"/>
      <c r="N67" s="111">
        <v>0</v>
      </c>
      <c r="O67" s="13"/>
      <c r="P67" s="112">
        <v>0</v>
      </c>
      <c r="Q67" s="13"/>
      <c r="R67" s="14">
        <f t="shared" si="2"/>
        <v>-15527953.210000003</v>
      </c>
    </row>
    <row r="68" spans="1:18" x14ac:dyDescent="0.2">
      <c r="A68" s="3" t="s">
        <v>3887</v>
      </c>
      <c r="B68" s="14">
        <v>0</v>
      </c>
      <c r="C68" s="13"/>
      <c r="D68" s="111">
        <v>0</v>
      </c>
      <c r="E68" s="13"/>
      <c r="F68" s="111">
        <v>0</v>
      </c>
      <c r="G68" s="13"/>
      <c r="H68" s="111">
        <v>0</v>
      </c>
      <c r="I68" s="13"/>
      <c r="J68" s="14">
        <v>0</v>
      </c>
      <c r="K68" s="13"/>
      <c r="L68" s="111">
        <v>0</v>
      </c>
      <c r="M68" s="13"/>
      <c r="N68" s="111">
        <v>0</v>
      </c>
      <c r="O68" s="13"/>
      <c r="P68" s="112">
        <v>0</v>
      </c>
      <c r="Q68" s="13"/>
      <c r="R68" s="14">
        <f t="shared" si="2"/>
        <v>0</v>
      </c>
    </row>
    <row r="69" spans="1:18" x14ac:dyDescent="0.2">
      <c r="A69" s="3" t="s">
        <v>3888</v>
      </c>
      <c r="B69" s="14">
        <v>-607893.88999999966</v>
      </c>
      <c r="C69" s="13"/>
      <c r="D69" s="111">
        <v>-821999.63</v>
      </c>
      <c r="E69" s="13"/>
      <c r="F69" s="111">
        <v>878964.66</v>
      </c>
      <c r="G69" s="13"/>
      <c r="H69" s="111">
        <v>0</v>
      </c>
      <c r="I69" s="13"/>
      <c r="J69" s="14">
        <v>0</v>
      </c>
      <c r="K69" s="13"/>
      <c r="L69" s="111">
        <v>0</v>
      </c>
      <c r="M69" s="13"/>
      <c r="N69" s="111">
        <v>0</v>
      </c>
      <c r="O69" s="13"/>
      <c r="P69" s="112">
        <v>0</v>
      </c>
      <c r="Q69" s="13"/>
      <c r="R69" s="14">
        <f t="shared" si="2"/>
        <v>-550928.85999999952</v>
      </c>
    </row>
    <row r="70" spans="1:18" x14ac:dyDescent="0.2">
      <c r="A70" s="3" t="s">
        <v>3889</v>
      </c>
      <c r="B70" s="14">
        <v>-26175.600000000006</v>
      </c>
      <c r="C70" s="13"/>
      <c r="D70" s="111">
        <v>-4867.12</v>
      </c>
      <c r="E70" s="13"/>
      <c r="F70" s="111">
        <v>14733.54</v>
      </c>
      <c r="G70" s="13"/>
      <c r="H70" s="111">
        <v>-2578.33</v>
      </c>
      <c r="I70" s="13"/>
      <c r="J70" s="14">
        <v>0</v>
      </c>
      <c r="K70" s="13"/>
      <c r="L70" s="111">
        <v>0</v>
      </c>
      <c r="M70" s="13"/>
      <c r="N70" s="111">
        <v>0</v>
      </c>
      <c r="O70" s="13"/>
      <c r="P70" s="112">
        <v>0</v>
      </c>
      <c r="Q70" s="13"/>
      <c r="R70" s="14">
        <f t="shared" si="2"/>
        <v>-18887.510000000002</v>
      </c>
    </row>
    <row r="71" spans="1:18" x14ac:dyDescent="0.2">
      <c r="A71" s="3" t="s">
        <v>3890</v>
      </c>
      <c r="B71" s="14">
        <v>-800077.20999999624</v>
      </c>
      <c r="C71" s="13"/>
      <c r="D71" s="111">
        <v>-116580.61</v>
      </c>
      <c r="E71" s="13"/>
      <c r="F71" s="111">
        <v>24188.2</v>
      </c>
      <c r="G71" s="13"/>
      <c r="H71" s="111">
        <v>-10680.76</v>
      </c>
      <c r="I71" s="13"/>
      <c r="J71" s="14">
        <v>0</v>
      </c>
      <c r="K71" s="13"/>
      <c r="L71" s="111">
        <v>0</v>
      </c>
      <c r="M71" s="13"/>
      <c r="N71" s="111">
        <v>0</v>
      </c>
      <c r="O71" s="13"/>
      <c r="P71" s="112">
        <v>0</v>
      </c>
      <c r="Q71" s="13"/>
      <c r="R71" s="14">
        <f t="shared" si="2"/>
        <v>-903150.37999999628</v>
      </c>
    </row>
    <row r="72" spans="1:18" x14ac:dyDescent="0.2">
      <c r="A72" s="3" t="s">
        <v>3891</v>
      </c>
      <c r="B72" s="14">
        <v>-3025515.290000001</v>
      </c>
      <c r="C72" s="13"/>
      <c r="D72" s="111">
        <v>-278968.84000000003</v>
      </c>
      <c r="E72" s="13"/>
      <c r="F72" s="111">
        <v>27677.5</v>
      </c>
      <c r="G72" s="13"/>
      <c r="H72" s="111">
        <v>0</v>
      </c>
      <c r="I72" s="13"/>
      <c r="J72" s="14">
        <v>0</v>
      </c>
      <c r="K72" s="13"/>
      <c r="L72" s="111">
        <v>0</v>
      </c>
      <c r="M72" s="13"/>
      <c r="N72" s="111">
        <v>0</v>
      </c>
      <c r="O72" s="13"/>
      <c r="P72" s="112">
        <v>0</v>
      </c>
      <c r="Q72" s="13"/>
      <c r="R72" s="14">
        <f t="shared" si="2"/>
        <v>-3276806.6300000008</v>
      </c>
    </row>
    <row r="73" spans="1:18" x14ac:dyDescent="0.2">
      <c r="A73" s="3" t="s">
        <v>3892</v>
      </c>
      <c r="B73" s="14">
        <v>-375959.54000000004</v>
      </c>
      <c r="C73" s="13"/>
      <c r="D73" s="111">
        <v>-42920.160000000003</v>
      </c>
      <c r="E73" s="13"/>
      <c r="F73" s="111">
        <v>0</v>
      </c>
      <c r="G73" s="13"/>
      <c r="H73" s="111">
        <v>0</v>
      </c>
      <c r="I73" s="13"/>
      <c r="J73" s="14">
        <v>0</v>
      </c>
      <c r="K73" s="13"/>
      <c r="L73" s="111">
        <v>0</v>
      </c>
      <c r="M73" s="13"/>
      <c r="N73" s="111">
        <v>0</v>
      </c>
      <c r="O73" s="13"/>
      <c r="P73" s="112">
        <v>0</v>
      </c>
      <c r="Q73" s="13"/>
      <c r="R73" s="14">
        <f t="shared" si="2"/>
        <v>-418879.70000000007</v>
      </c>
    </row>
    <row r="74" spans="1:18" x14ac:dyDescent="0.2">
      <c r="A74" s="3" t="s">
        <v>3893</v>
      </c>
      <c r="B74" s="14">
        <v>-3828623.0399999996</v>
      </c>
      <c r="C74" s="13"/>
      <c r="D74" s="111">
        <v>-535502.85</v>
      </c>
      <c r="E74" s="13"/>
      <c r="F74" s="111">
        <v>273451.17</v>
      </c>
      <c r="G74" s="13"/>
      <c r="H74" s="111">
        <v>0</v>
      </c>
      <c r="I74" s="13"/>
      <c r="J74" s="14">
        <v>0</v>
      </c>
      <c r="K74" s="13"/>
      <c r="L74" s="111">
        <v>0</v>
      </c>
      <c r="M74" s="13"/>
      <c r="N74" s="111">
        <v>0</v>
      </c>
      <c r="O74" s="13"/>
      <c r="P74" s="112">
        <v>0</v>
      </c>
      <c r="Q74" s="13"/>
      <c r="R74" s="14">
        <f t="shared" si="2"/>
        <v>-4090674.7199999997</v>
      </c>
    </row>
    <row r="75" spans="1:18" x14ac:dyDescent="0.2">
      <c r="A75" s="3" t="s">
        <v>3894</v>
      </c>
      <c r="B75" s="14">
        <v>-4.6566128730773926E-10</v>
      </c>
      <c r="C75" s="13"/>
      <c r="D75" s="111">
        <v>0</v>
      </c>
      <c r="E75" s="13"/>
      <c r="F75" s="111">
        <v>0</v>
      </c>
      <c r="G75" s="13"/>
      <c r="H75" s="111">
        <v>0</v>
      </c>
      <c r="I75" s="13"/>
      <c r="J75" s="14">
        <v>0</v>
      </c>
      <c r="K75" s="13"/>
      <c r="L75" s="111">
        <v>0</v>
      </c>
      <c r="M75" s="13"/>
      <c r="N75" s="111">
        <v>0</v>
      </c>
      <c r="O75" s="13"/>
      <c r="P75" s="112">
        <v>0</v>
      </c>
      <c r="Q75" s="13"/>
      <c r="R75" s="14">
        <f t="shared" si="2"/>
        <v>-4.6566128730773926E-10</v>
      </c>
    </row>
    <row r="76" spans="1:18" x14ac:dyDescent="0.2">
      <c r="A76" s="3" t="s">
        <v>3895</v>
      </c>
      <c r="B76" s="14">
        <v>-848268.04</v>
      </c>
      <c r="C76" s="13"/>
      <c r="D76" s="111">
        <v>-170505.06</v>
      </c>
      <c r="E76" s="13"/>
      <c r="F76" s="111">
        <v>0</v>
      </c>
      <c r="G76" s="13"/>
      <c r="H76" s="111">
        <v>0</v>
      </c>
      <c r="I76" s="13"/>
      <c r="J76" s="14">
        <v>0</v>
      </c>
      <c r="K76" s="13"/>
      <c r="L76" s="111">
        <v>0</v>
      </c>
      <c r="M76" s="13"/>
      <c r="N76" s="111">
        <v>0</v>
      </c>
      <c r="O76" s="13"/>
      <c r="P76" s="112">
        <v>0</v>
      </c>
      <c r="Q76" s="13"/>
      <c r="R76" s="14">
        <f t="shared" si="2"/>
        <v>-1018773.1000000001</v>
      </c>
    </row>
    <row r="77" spans="1:18" x14ac:dyDescent="0.2">
      <c r="A77" s="3" t="s">
        <v>3896</v>
      </c>
      <c r="B77" s="14">
        <v>-9506930.5600000024</v>
      </c>
      <c r="C77" s="13"/>
      <c r="D77" s="111">
        <v>-1548769.29</v>
      </c>
      <c r="E77" s="13"/>
      <c r="F77" s="111">
        <v>1916.55</v>
      </c>
      <c r="G77" s="13"/>
      <c r="H77" s="111">
        <v>0</v>
      </c>
      <c r="I77" s="13"/>
      <c r="J77" s="14">
        <v>0</v>
      </c>
      <c r="K77" s="13"/>
      <c r="L77" s="111">
        <v>1049.26</v>
      </c>
      <c r="M77" s="13"/>
      <c r="N77" s="111">
        <v>0</v>
      </c>
      <c r="O77" s="13"/>
      <c r="P77" s="112">
        <v>0</v>
      </c>
      <c r="Q77" s="13"/>
      <c r="R77" s="14">
        <f t="shared" si="2"/>
        <v>-11052734.040000001</v>
      </c>
    </row>
    <row r="78" spans="1:18" x14ac:dyDescent="0.2">
      <c r="A78" s="3" t="s">
        <v>3897</v>
      </c>
      <c r="B78" s="14">
        <v>-7409273.8700000001</v>
      </c>
      <c r="C78" s="13"/>
      <c r="D78" s="111">
        <v>-1369398.51</v>
      </c>
      <c r="E78" s="13"/>
      <c r="F78" s="111">
        <v>0</v>
      </c>
      <c r="G78" s="13"/>
      <c r="H78" s="111">
        <v>0</v>
      </c>
      <c r="I78" s="13"/>
      <c r="J78" s="14">
        <v>0</v>
      </c>
      <c r="K78" s="13"/>
      <c r="L78" s="111">
        <v>0</v>
      </c>
      <c r="M78" s="13"/>
      <c r="N78" s="111">
        <v>0</v>
      </c>
      <c r="O78" s="13"/>
      <c r="P78" s="112">
        <v>0</v>
      </c>
      <c r="Q78" s="13"/>
      <c r="R78" s="14">
        <f t="shared" si="2"/>
        <v>-8778672.3800000008</v>
      </c>
    </row>
    <row r="79" spans="1:18" x14ac:dyDescent="0.2">
      <c r="A79" s="3" t="s">
        <v>3898</v>
      </c>
      <c r="B79" s="14">
        <v>-848576.6399999999</v>
      </c>
      <c r="C79" s="13"/>
      <c r="D79" s="111">
        <v>-736857.41</v>
      </c>
      <c r="E79" s="13"/>
      <c r="F79" s="111">
        <v>0</v>
      </c>
      <c r="G79" s="13"/>
      <c r="H79" s="111">
        <v>0</v>
      </c>
      <c r="I79" s="13"/>
      <c r="J79" s="14">
        <v>0</v>
      </c>
      <c r="K79" s="13"/>
      <c r="L79" s="111">
        <v>0</v>
      </c>
      <c r="M79" s="13"/>
      <c r="N79" s="111">
        <v>0</v>
      </c>
      <c r="O79" s="13"/>
      <c r="P79" s="112">
        <v>0</v>
      </c>
      <c r="Q79" s="13"/>
      <c r="R79" s="14">
        <f t="shared" si="2"/>
        <v>-1585434.0499999998</v>
      </c>
    </row>
    <row r="80" spans="1:18" x14ac:dyDescent="0.2">
      <c r="A80" s="3" t="s">
        <v>3899</v>
      </c>
      <c r="B80" s="16">
        <v>3.0850044741015381E-11</v>
      </c>
      <c r="C80" s="94"/>
      <c r="D80" s="111">
        <v>0</v>
      </c>
      <c r="E80" s="13"/>
      <c r="F80" s="111">
        <v>0</v>
      </c>
      <c r="G80" s="13"/>
      <c r="H80" s="111">
        <v>0</v>
      </c>
      <c r="I80" s="13"/>
      <c r="J80" s="14">
        <v>0</v>
      </c>
      <c r="K80" s="13"/>
      <c r="L80" s="111">
        <v>0</v>
      </c>
      <c r="M80" s="13"/>
      <c r="N80" s="111">
        <v>0</v>
      </c>
      <c r="O80" s="13"/>
      <c r="P80" s="112">
        <v>0</v>
      </c>
      <c r="Q80" s="94"/>
      <c r="R80" s="16">
        <f t="shared" si="2"/>
        <v>3.0850044741015381E-11</v>
      </c>
    </row>
    <row r="81" spans="1:18" x14ac:dyDescent="0.2">
      <c r="A81" s="3" t="s">
        <v>3900</v>
      </c>
      <c r="B81" s="18">
        <f>+B80+B77+B76+B75+B74+B73+B71+B69+B68+B67+B66+B65+B38+B37+B39+B40+B41+B42+B79+B78+B70+B72</f>
        <v>-59399556.57</v>
      </c>
      <c r="C81" s="13"/>
      <c r="D81" s="18">
        <f>+D80+D77+D76+D75+D74+D73+D71+D69+D68+D67+D66+D65+D38+D37+D39+D40+D41+D42+D79+D78+D70+D72</f>
        <v>-11501936.359999999</v>
      </c>
      <c r="E81" s="13"/>
      <c r="F81" s="18">
        <f>+F80+F77+F76+F75+F74+F73+F71+F69+F68+F67+F66+F65+F38+F37+F39+F40+F41+F42+F79+F78+F70+F72</f>
        <v>5738352.7400000002</v>
      </c>
      <c r="G81" s="13"/>
      <c r="H81" s="18">
        <f>+H80+H77+H76+H75+H74+H73+H71+H69+H68+H67+H66+H65+H38+H37+H39+H40+H41+H42+H79+H78+H70+H72</f>
        <v>-13259.09</v>
      </c>
      <c r="I81" s="13"/>
      <c r="J81" s="18">
        <f>+J80+J77+J76+J75+J74+J73+J71+J69+J68+J67+J66+J65+J38+J37+J39+J40+J41+J42+J79+J78+J70+J72</f>
        <v>0</v>
      </c>
      <c r="K81" s="13"/>
      <c r="L81" s="18">
        <f>+L80+L77+L76+L75+L74+L73+L71+L69+L68+L67+L66+L65+L38+L37+L39+L40+L41+L42+L79+L78+L70+L72</f>
        <v>29109.11</v>
      </c>
      <c r="M81" s="13"/>
      <c r="N81" s="18">
        <f>+N80+N77+N76+N75+N74+N73+N71+N69+N68+N67+N66+N65+N38+N37+N39+N40+N41+N42+N79+N78+N70+N72</f>
        <v>0</v>
      </c>
      <c r="O81" s="13"/>
      <c r="P81" s="18">
        <f>+P80+P77+P76+P75+P74+P73+P71+P69+P68+P67+P66+P65+P38+P37+P39+P40+P41+P42+P79+P78+P70+P72</f>
        <v>0</v>
      </c>
      <c r="Q81" s="17"/>
      <c r="R81" s="18">
        <f>+R80+R77+R76+R75+R74+R73+R71+R69+R68+R67+R66+R65+R38+R37+R39+R40+R41+R42+R79+R78+R70+R72</f>
        <v>-65147290.169999994</v>
      </c>
    </row>
    <row r="82" spans="1:18" x14ac:dyDescent="0.2">
      <c r="C82" s="13"/>
      <c r="E82" s="13"/>
      <c r="G82" s="13"/>
      <c r="I82" s="13"/>
      <c r="K82" s="13"/>
      <c r="M82" s="13"/>
      <c r="O82" s="13"/>
      <c r="Q82" s="13"/>
    </row>
    <row r="83" spans="1:18" x14ac:dyDescent="0.2">
      <c r="A83" s="12" t="s">
        <v>14</v>
      </c>
      <c r="C83" s="13"/>
      <c r="E83" s="13"/>
      <c r="G83" s="13"/>
      <c r="I83" s="13"/>
      <c r="K83" s="13"/>
      <c r="M83" s="13"/>
      <c r="O83" s="13"/>
      <c r="Q83" s="13"/>
    </row>
    <row r="84" spans="1:18" x14ac:dyDescent="0.2">
      <c r="A84" s="3" t="s">
        <v>3901</v>
      </c>
      <c r="B84" s="14">
        <v>-912332.6</v>
      </c>
      <c r="C84" s="13"/>
      <c r="D84" s="111">
        <v>0</v>
      </c>
      <c r="E84" s="13"/>
      <c r="F84" s="111">
        <v>23675</v>
      </c>
      <c r="G84" s="13"/>
      <c r="H84" s="111">
        <v>0</v>
      </c>
      <c r="I84" s="13"/>
      <c r="J84" s="14">
        <v>0</v>
      </c>
      <c r="K84" s="13"/>
      <c r="L84" s="111">
        <v>0</v>
      </c>
      <c r="M84" s="13"/>
      <c r="N84" s="111">
        <v>-23675</v>
      </c>
      <c r="O84" s="13"/>
      <c r="P84" s="112">
        <v>0</v>
      </c>
      <c r="Q84" s="13"/>
      <c r="R84" s="14">
        <f t="shared" ref="R84:R91" si="3">SUM(B84:P84)</f>
        <v>-912332.6</v>
      </c>
    </row>
    <row r="85" spans="1:18" x14ac:dyDescent="0.2">
      <c r="A85" s="3" t="s">
        <v>3902</v>
      </c>
      <c r="B85" s="14">
        <v>-360879.55</v>
      </c>
      <c r="C85" s="13"/>
      <c r="D85" s="111">
        <v>-61487.46</v>
      </c>
      <c r="E85" s="13"/>
      <c r="F85" s="111">
        <v>0</v>
      </c>
      <c r="G85" s="13"/>
      <c r="H85" s="111">
        <v>0</v>
      </c>
      <c r="I85" s="13"/>
      <c r="J85" s="14">
        <v>0</v>
      </c>
      <c r="K85" s="13"/>
      <c r="L85" s="111">
        <v>0</v>
      </c>
      <c r="M85" s="13"/>
      <c r="N85" s="111">
        <v>0</v>
      </c>
      <c r="O85" s="13"/>
      <c r="P85" s="112">
        <v>0</v>
      </c>
      <c r="Q85" s="13"/>
      <c r="R85" s="14">
        <f t="shared" si="3"/>
        <v>-422367.01</v>
      </c>
    </row>
    <row r="86" spans="1:18" x14ac:dyDescent="0.2">
      <c r="A86" s="3" t="s">
        <v>3903</v>
      </c>
      <c r="B86" s="14">
        <v>-8759384.3899999987</v>
      </c>
      <c r="C86" s="13"/>
      <c r="D86" s="111">
        <v>-556989.66</v>
      </c>
      <c r="E86" s="13"/>
      <c r="F86" s="111">
        <v>0</v>
      </c>
      <c r="G86" s="13"/>
      <c r="H86" s="111">
        <v>0</v>
      </c>
      <c r="I86" s="13"/>
      <c r="J86" s="14">
        <v>0</v>
      </c>
      <c r="K86" s="13"/>
      <c r="L86" s="111">
        <v>0</v>
      </c>
      <c r="M86" s="13"/>
      <c r="N86" s="111">
        <v>0</v>
      </c>
      <c r="O86" s="13"/>
      <c r="P86" s="112">
        <v>0</v>
      </c>
      <c r="Q86" s="13"/>
      <c r="R86" s="14">
        <f t="shared" si="3"/>
        <v>-9316374.0499999989</v>
      </c>
    </row>
    <row r="87" spans="1:18" x14ac:dyDescent="0.2">
      <c r="A87" s="3" t="s">
        <v>3904</v>
      </c>
      <c r="B87" s="14">
        <v>-1319050.5900000001</v>
      </c>
      <c r="C87" s="13"/>
      <c r="D87" s="111">
        <v>-528157.56000000006</v>
      </c>
      <c r="E87" s="13"/>
      <c r="F87" s="111">
        <v>0</v>
      </c>
      <c r="G87" s="13"/>
      <c r="H87" s="111">
        <v>0</v>
      </c>
      <c r="I87" s="13"/>
      <c r="J87" s="14">
        <v>0</v>
      </c>
      <c r="K87" s="13"/>
      <c r="L87" s="111">
        <v>0</v>
      </c>
      <c r="M87" s="13"/>
      <c r="N87" s="111">
        <v>0</v>
      </c>
      <c r="O87" s="13"/>
      <c r="P87" s="112">
        <v>0</v>
      </c>
      <c r="Q87" s="13"/>
      <c r="R87" s="14">
        <f t="shared" si="3"/>
        <v>-1847208.1500000001</v>
      </c>
    </row>
    <row r="88" spans="1:18" x14ac:dyDescent="0.2">
      <c r="A88" s="3" t="s">
        <v>3905</v>
      </c>
      <c r="B88" s="14">
        <v>-268181.33</v>
      </c>
      <c r="C88" s="13"/>
      <c r="D88" s="111">
        <v>-50128</v>
      </c>
      <c r="E88" s="13"/>
      <c r="F88" s="111">
        <v>0</v>
      </c>
      <c r="G88" s="13"/>
      <c r="H88" s="111">
        <v>0</v>
      </c>
      <c r="I88" s="13"/>
      <c r="J88" s="14">
        <v>0</v>
      </c>
      <c r="K88" s="13"/>
      <c r="L88" s="111">
        <v>0</v>
      </c>
      <c r="M88" s="13"/>
      <c r="N88" s="111">
        <v>0</v>
      </c>
      <c r="O88" s="13"/>
      <c r="P88" s="112">
        <v>0</v>
      </c>
      <c r="Q88" s="13"/>
      <c r="R88" s="14">
        <f t="shared" si="3"/>
        <v>-318309.33</v>
      </c>
    </row>
    <row r="89" spans="1:18" x14ac:dyDescent="0.2">
      <c r="A89" s="3" t="s">
        <v>3906</v>
      </c>
      <c r="B89" s="14">
        <v>-130439.87999999998</v>
      </c>
      <c r="C89" s="13"/>
      <c r="D89" s="111">
        <v>-13113.93</v>
      </c>
      <c r="E89" s="13"/>
      <c r="F89" s="111">
        <v>0</v>
      </c>
      <c r="G89" s="13"/>
      <c r="H89" s="111">
        <v>0</v>
      </c>
      <c r="I89" s="13"/>
      <c r="J89" s="14">
        <v>0</v>
      </c>
      <c r="K89" s="13"/>
      <c r="L89" s="111">
        <v>0</v>
      </c>
      <c r="M89" s="13"/>
      <c r="N89" s="111">
        <v>0</v>
      </c>
      <c r="O89" s="13"/>
      <c r="P89" s="112">
        <v>0</v>
      </c>
      <c r="Q89" s="13"/>
      <c r="R89" s="14">
        <f t="shared" si="3"/>
        <v>-143553.80999999997</v>
      </c>
    </row>
    <row r="90" spans="1:18" x14ac:dyDescent="0.2">
      <c r="A90" s="3" t="s">
        <v>3907</v>
      </c>
      <c r="B90" s="14">
        <v>-79595.899999999994</v>
      </c>
      <c r="C90" s="13"/>
      <c r="D90" s="111">
        <v>-8418.9</v>
      </c>
      <c r="E90" s="13"/>
      <c r="F90" s="111">
        <v>0</v>
      </c>
      <c r="G90" s="13"/>
      <c r="H90" s="111">
        <v>0</v>
      </c>
      <c r="I90" s="13"/>
      <c r="J90" s="14">
        <v>0</v>
      </c>
      <c r="K90" s="13"/>
      <c r="L90" s="111">
        <v>0</v>
      </c>
      <c r="M90" s="13"/>
      <c r="N90" s="111">
        <v>0</v>
      </c>
      <c r="O90" s="13"/>
      <c r="P90" s="112">
        <v>0</v>
      </c>
      <c r="Q90" s="13"/>
      <c r="R90" s="14">
        <f t="shared" si="3"/>
        <v>-88014.799999999988</v>
      </c>
    </row>
    <row r="91" spans="1:18" x14ac:dyDescent="0.2">
      <c r="A91" s="3" t="s">
        <v>3908</v>
      </c>
      <c r="B91" s="16">
        <v>-19701.790000000008</v>
      </c>
      <c r="C91" s="13"/>
      <c r="D91" s="111">
        <v>-17888.16</v>
      </c>
      <c r="E91" s="13"/>
      <c r="F91" s="111">
        <v>0</v>
      </c>
      <c r="G91" s="13"/>
      <c r="H91" s="111">
        <v>0</v>
      </c>
      <c r="I91" s="13"/>
      <c r="J91" s="14">
        <v>0</v>
      </c>
      <c r="K91" s="13"/>
      <c r="L91" s="111">
        <v>0</v>
      </c>
      <c r="M91" s="13"/>
      <c r="N91" s="111">
        <v>0</v>
      </c>
      <c r="O91" s="13"/>
      <c r="P91" s="112">
        <v>0</v>
      </c>
      <c r="Q91" s="13"/>
      <c r="R91" s="16">
        <f t="shared" si="3"/>
        <v>-37589.950000000012</v>
      </c>
    </row>
    <row r="92" spans="1:18" x14ac:dyDescent="0.2">
      <c r="A92" s="3" t="s">
        <v>3909</v>
      </c>
      <c r="B92" s="17">
        <f>SUM(B84:B91)</f>
        <v>-11849566.029999999</v>
      </c>
      <c r="C92" s="13"/>
      <c r="D92" s="18">
        <f>SUM(D84:D91)</f>
        <v>-1236183.67</v>
      </c>
      <c r="E92" s="13"/>
      <c r="F92" s="18">
        <f>SUM(F84:F91)</f>
        <v>23675</v>
      </c>
      <c r="G92" s="13"/>
      <c r="H92" s="18">
        <f>SUM(H84:H91)</f>
        <v>0</v>
      </c>
      <c r="I92" s="13"/>
      <c r="J92" s="18">
        <f>SUM(J84:J91)</f>
        <v>0</v>
      </c>
      <c r="K92" s="13"/>
      <c r="L92" s="18">
        <f>SUM(L84:L91)</f>
        <v>0</v>
      </c>
      <c r="M92" s="13"/>
      <c r="N92" s="18">
        <f>SUM(N84:N91)</f>
        <v>-23675</v>
      </c>
      <c r="O92" s="13"/>
      <c r="P92" s="18">
        <f>SUM(P84:P91)</f>
        <v>0</v>
      </c>
      <c r="Q92" s="13"/>
      <c r="R92" s="17">
        <f>SUM(R84:R91)</f>
        <v>-13085749.699999999</v>
      </c>
    </row>
    <row r="93" spans="1:18" x14ac:dyDescent="0.2">
      <c r="C93" s="13"/>
      <c r="E93" s="13"/>
      <c r="G93" s="13"/>
      <c r="I93" s="13"/>
      <c r="K93" s="13"/>
      <c r="M93" s="13"/>
      <c r="O93" s="13"/>
      <c r="Q93" s="13"/>
    </row>
    <row r="94" spans="1:18" x14ac:dyDescent="0.2">
      <c r="A94" s="12" t="s">
        <v>16</v>
      </c>
      <c r="C94" s="13"/>
      <c r="E94" s="13"/>
      <c r="G94" s="13"/>
      <c r="I94" s="13"/>
      <c r="K94" s="13"/>
      <c r="M94" s="13"/>
      <c r="O94" s="13"/>
      <c r="Q94" s="13"/>
    </row>
    <row r="95" spans="1:18" x14ac:dyDescent="0.2">
      <c r="A95" s="3" t="s">
        <v>3910</v>
      </c>
      <c r="B95" s="14">
        <v>-120484.00000000003</v>
      </c>
      <c r="C95" s="13"/>
      <c r="D95" s="111">
        <v>-3907.5</v>
      </c>
      <c r="E95" s="13"/>
      <c r="F95" s="111">
        <v>0</v>
      </c>
      <c r="G95" s="13"/>
      <c r="H95" s="111">
        <v>0</v>
      </c>
      <c r="I95" s="13"/>
      <c r="J95" s="14">
        <v>0</v>
      </c>
      <c r="K95" s="13"/>
      <c r="L95" s="111">
        <v>0</v>
      </c>
      <c r="M95" s="13"/>
      <c r="N95" s="111">
        <v>0</v>
      </c>
      <c r="O95" s="13"/>
      <c r="P95" s="112">
        <v>0</v>
      </c>
      <c r="Q95" s="13"/>
      <c r="R95" s="14">
        <f t="shared" ref="R95:R115" si="4">SUM(B95:P95)</f>
        <v>-124391.50000000003</v>
      </c>
    </row>
    <row r="96" spans="1:18" x14ac:dyDescent="0.2">
      <c r="A96" s="3" t="s">
        <v>3911</v>
      </c>
      <c r="B96" s="14">
        <v>0</v>
      </c>
      <c r="C96" s="13"/>
      <c r="D96" s="111">
        <v>0</v>
      </c>
      <c r="E96" s="13"/>
      <c r="F96" s="111">
        <v>0</v>
      </c>
      <c r="G96" s="13"/>
      <c r="H96" s="111">
        <v>0</v>
      </c>
      <c r="I96" s="13"/>
      <c r="J96" s="14">
        <v>0</v>
      </c>
      <c r="K96" s="13"/>
      <c r="L96" s="111">
        <v>0</v>
      </c>
      <c r="M96" s="13"/>
      <c r="N96" s="111">
        <v>0</v>
      </c>
      <c r="O96" s="13"/>
      <c r="P96" s="112">
        <v>0</v>
      </c>
      <c r="Q96" s="13"/>
      <c r="R96" s="14">
        <f t="shared" si="4"/>
        <v>0</v>
      </c>
    </row>
    <row r="97" spans="1:18" x14ac:dyDescent="0.2">
      <c r="A97" s="3" t="s">
        <v>3912</v>
      </c>
      <c r="B97" s="14">
        <v>0</v>
      </c>
      <c r="C97" s="13"/>
      <c r="D97" s="111">
        <v>0</v>
      </c>
      <c r="E97" s="13"/>
      <c r="F97" s="111">
        <v>0</v>
      </c>
      <c r="G97" s="13"/>
      <c r="H97" s="111">
        <v>0</v>
      </c>
      <c r="I97" s="13"/>
      <c r="J97" s="14">
        <v>0</v>
      </c>
      <c r="K97" s="13"/>
      <c r="L97" s="111">
        <v>0</v>
      </c>
      <c r="M97" s="13"/>
      <c r="N97" s="111">
        <v>0</v>
      </c>
      <c r="O97" s="13"/>
      <c r="P97" s="112">
        <v>0</v>
      </c>
      <c r="Q97" s="13"/>
      <c r="R97" s="14">
        <f t="shared" si="4"/>
        <v>0</v>
      </c>
    </row>
    <row r="98" spans="1:18" x14ac:dyDescent="0.2">
      <c r="A98" s="3" t="s">
        <v>3913</v>
      </c>
      <c r="B98" s="14">
        <v>0</v>
      </c>
      <c r="C98" s="13"/>
      <c r="D98" s="111">
        <v>0</v>
      </c>
      <c r="E98" s="13"/>
      <c r="F98" s="111">
        <v>0</v>
      </c>
      <c r="G98" s="13"/>
      <c r="H98" s="111">
        <v>0</v>
      </c>
      <c r="I98" s="13"/>
      <c r="J98" s="14">
        <v>0</v>
      </c>
      <c r="K98" s="13"/>
      <c r="L98" s="111">
        <v>0</v>
      </c>
      <c r="M98" s="13"/>
      <c r="N98" s="111">
        <v>0</v>
      </c>
      <c r="O98" s="13"/>
      <c r="P98" s="112">
        <v>0</v>
      </c>
      <c r="Q98" s="13"/>
      <c r="R98" s="14">
        <f>SUM(B98:P98)</f>
        <v>0</v>
      </c>
    </row>
    <row r="99" spans="1:18" outlineLevel="1" x14ac:dyDescent="0.2">
      <c r="A99" s="3" t="s">
        <v>3914</v>
      </c>
      <c r="B99" s="14">
        <v>-1901718.9</v>
      </c>
      <c r="C99" s="13"/>
      <c r="D99" s="14">
        <v>-1350435.56</v>
      </c>
      <c r="E99" s="13"/>
      <c r="F99" s="14">
        <v>0</v>
      </c>
      <c r="G99" s="13"/>
      <c r="H99" s="14">
        <v>0</v>
      </c>
      <c r="I99" s="13"/>
      <c r="J99" s="14">
        <v>0</v>
      </c>
      <c r="K99" s="13"/>
      <c r="L99" s="14">
        <v>0</v>
      </c>
      <c r="M99" s="13"/>
      <c r="N99" s="14">
        <v>0</v>
      </c>
      <c r="O99" s="13"/>
      <c r="P99" s="14">
        <v>0</v>
      </c>
      <c r="Q99" s="13"/>
      <c r="R99" s="14">
        <f>SUM(B99:P99)</f>
        <v>-3252154.46</v>
      </c>
    </row>
    <row r="100" spans="1:18" outlineLevel="1" x14ac:dyDescent="0.2">
      <c r="A100" s="3" t="s">
        <v>3915</v>
      </c>
      <c r="B100" s="14">
        <v>-1255072.2899999998</v>
      </c>
      <c r="C100" s="13"/>
      <c r="D100" s="14">
        <v>-53639.46</v>
      </c>
      <c r="E100" s="13"/>
      <c r="F100" s="14">
        <v>0</v>
      </c>
      <c r="G100" s="13"/>
      <c r="H100" s="14">
        <v>0</v>
      </c>
      <c r="I100" s="13"/>
      <c r="J100" s="14">
        <v>0</v>
      </c>
      <c r="K100" s="13"/>
      <c r="L100" s="14">
        <v>0</v>
      </c>
      <c r="M100" s="13"/>
      <c r="N100" s="14">
        <v>0</v>
      </c>
      <c r="O100" s="13"/>
      <c r="P100" s="14">
        <v>0</v>
      </c>
      <c r="Q100" s="13"/>
      <c r="R100" s="14">
        <f t="shared" si="4"/>
        <v>-1308711.7499999998</v>
      </c>
    </row>
    <row r="101" spans="1:18" outlineLevel="1" x14ac:dyDescent="0.2">
      <c r="A101" s="3" t="s">
        <v>3916</v>
      </c>
      <c r="B101" s="14">
        <v>-1281432.97</v>
      </c>
      <c r="C101" s="13"/>
      <c r="D101" s="14">
        <v>-77720.100000000006</v>
      </c>
      <c r="E101" s="13"/>
      <c r="F101" s="14">
        <v>0</v>
      </c>
      <c r="G101" s="13"/>
      <c r="H101" s="14">
        <v>0</v>
      </c>
      <c r="I101" s="13"/>
      <c r="J101" s="14">
        <v>0</v>
      </c>
      <c r="K101" s="13"/>
      <c r="L101" s="14">
        <v>0</v>
      </c>
      <c r="M101" s="13"/>
      <c r="N101" s="14">
        <v>0</v>
      </c>
      <c r="O101" s="13"/>
      <c r="P101" s="14">
        <v>0</v>
      </c>
      <c r="Q101" s="13"/>
      <c r="R101" s="14">
        <f t="shared" si="4"/>
        <v>-1359153.07</v>
      </c>
    </row>
    <row r="102" spans="1:18" outlineLevel="1" x14ac:dyDescent="0.2">
      <c r="A102" s="43" t="s">
        <v>3917</v>
      </c>
      <c r="B102" s="14">
        <v>-329729.20999999996</v>
      </c>
      <c r="C102" s="13"/>
      <c r="D102" s="14">
        <v>-40277.82</v>
      </c>
      <c r="E102" s="13"/>
      <c r="F102" s="14">
        <v>0</v>
      </c>
      <c r="G102" s="13"/>
      <c r="H102" s="14">
        <v>0</v>
      </c>
      <c r="I102" s="13"/>
      <c r="J102" s="14">
        <v>0</v>
      </c>
      <c r="K102" s="13"/>
      <c r="L102" s="14">
        <v>0</v>
      </c>
      <c r="M102" s="13"/>
      <c r="N102" s="14">
        <v>0</v>
      </c>
      <c r="O102" s="13"/>
      <c r="P102" s="14">
        <v>0</v>
      </c>
      <c r="Q102" s="13"/>
      <c r="R102" s="14">
        <f t="shared" si="4"/>
        <v>-370007.02999999997</v>
      </c>
    </row>
    <row r="103" spans="1:18" outlineLevel="1" x14ac:dyDescent="0.2">
      <c r="A103" s="3" t="s">
        <v>3918</v>
      </c>
      <c r="B103" s="14">
        <v>-105028.15000000001</v>
      </c>
      <c r="C103" s="13"/>
      <c r="D103" s="14">
        <v>-8107.8</v>
      </c>
      <c r="E103" s="13"/>
      <c r="F103" s="14">
        <v>0</v>
      </c>
      <c r="G103" s="13"/>
      <c r="H103" s="14">
        <v>0</v>
      </c>
      <c r="I103" s="13"/>
      <c r="J103" s="14">
        <v>0</v>
      </c>
      <c r="K103" s="13"/>
      <c r="L103" s="14">
        <v>0</v>
      </c>
      <c r="M103" s="13"/>
      <c r="N103" s="14">
        <v>0</v>
      </c>
      <c r="O103" s="13"/>
      <c r="P103" s="14">
        <v>0</v>
      </c>
      <c r="Q103" s="13"/>
      <c r="R103" s="14">
        <f t="shared" si="4"/>
        <v>-113135.95000000001</v>
      </c>
    </row>
    <row r="104" spans="1:18" outlineLevel="1" x14ac:dyDescent="0.2">
      <c r="A104" s="3" t="s">
        <v>3919</v>
      </c>
      <c r="B104" s="14">
        <v>-297900.63999999996</v>
      </c>
      <c r="C104" s="13"/>
      <c r="D104" s="14">
        <v>-22934.76</v>
      </c>
      <c r="E104" s="13"/>
      <c r="F104" s="14">
        <v>0</v>
      </c>
      <c r="G104" s="13"/>
      <c r="H104" s="14">
        <v>0</v>
      </c>
      <c r="I104" s="13"/>
      <c r="J104" s="14">
        <v>0</v>
      </c>
      <c r="K104" s="13"/>
      <c r="L104" s="14">
        <v>0</v>
      </c>
      <c r="M104" s="13"/>
      <c r="N104" s="14">
        <v>0</v>
      </c>
      <c r="O104" s="13"/>
      <c r="P104" s="14">
        <v>0</v>
      </c>
      <c r="Q104" s="13"/>
      <c r="R104" s="14">
        <f t="shared" si="4"/>
        <v>-320835.39999999997</v>
      </c>
    </row>
    <row r="105" spans="1:18" outlineLevel="1" x14ac:dyDescent="0.2">
      <c r="A105" s="3" t="s">
        <v>3920</v>
      </c>
      <c r="B105" s="14">
        <v>-1490741.8699999996</v>
      </c>
      <c r="C105" s="13"/>
      <c r="D105" s="14">
        <v>-75776.460000000006</v>
      </c>
      <c r="E105" s="13"/>
      <c r="F105" s="14">
        <v>0</v>
      </c>
      <c r="G105" s="13"/>
      <c r="H105" s="14">
        <v>0</v>
      </c>
      <c r="I105" s="13"/>
      <c r="J105" s="14">
        <v>0</v>
      </c>
      <c r="K105" s="13"/>
      <c r="L105" s="14">
        <v>0</v>
      </c>
      <c r="M105" s="13"/>
      <c r="N105" s="14">
        <v>0</v>
      </c>
      <c r="O105" s="13"/>
      <c r="P105" s="14">
        <v>0</v>
      </c>
      <c r="Q105" s="13"/>
      <c r="R105" s="14">
        <f t="shared" si="4"/>
        <v>-1566518.3299999996</v>
      </c>
    </row>
    <row r="106" spans="1:18" outlineLevel="1" x14ac:dyDescent="0.2">
      <c r="A106" s="3" t="s">
        <v>3921</v>
      </c>
      <c r="B106" s="14">
        <v>-3238539.47</v>
      </c>
      <c r="C106" s="13"/>
      <c r="D106" s="14">
        <v>-125824.2</v>
      </c>
      <c r="E106" s="13"/>
      <c r="F106" s="14">
        <v>0</v>
      </c>
      <c r="G106" s="13"/>
      <c r="H106" s="14">
        <v>0</v>
      </c>
      <c r="I106" s="13"/>
      <c r="J106" s="14">
        <v>0</v>
      </c>
      <c r="K106" s="13"/>
      <c r="L106" s="14">
        <v>0</v>
      </c>
      <c r="M106" s="13"/>
      <c r="N106" s="14">
        <v>0</v>
      </c>
      <c r="O106" s="13"/>
      <c r="P106" s="14">
        <v>0</v>
      </c>
      <c r="Q106" s="13"/>
      <c r="R106" s="14">
        <f t="shared" si="4"/>
        <v>-3364363.6700000004</v>
      </c>
    </row>
    <row r="107" spans="1:18" outlineLevel="1" x14ac:dyDescent="0.2">
      <c r="A107" s="3" t="s">
        <v>3922</v>
      </c>
      <c r="B107" s="14">
        <v>-20073.13</v>
      </c>
      <c r="C107" s="13"/>
      <c r="D107" s="14">
        <v>-39100.080000000002</v>
      </c>
      <c r="E107" s="13"/>
      <c r="F107" s="14">
        <v>0</v>
      </c>
      <c r="G107" s="13"/>
      <c r="H107" s="14">
        <v>0</v>
      </c>
      <c r="I107" s="13"/>
      <c r="J107" s="14">
        <v>0</v>
      </c>
      <c r="K107" s="13"/>
      <c r="L107" s="14">
        <v>0</v>
      </c>
      <c r="M107" s="13"/>
      <c r="N107" s="14">
        <v>0</v>
      </c>
      <c r="O107" s="13"/>
      <c r="P107" s="14">
        <v>0</v>
      </c>
      <c r="Q107" s="13"/>
      <c r="R107" s="14">
        <f t="shared" si="4"/>
        <v>-59173.210000000006</v>
      </c>
    </row>
    <row r="108" spans="1:18" outlineLevel="1" x14ac:dyDescent="0.2">
      <c r="A108" s="3" t="s">
        <v>3923</v>
      </c>
      <c r="B108" s="14">
        <v>-100185.14000000003</v>
      </c>
      <c r="C108" s="13"/>
      <c r="D108" s="14">
        <v>-42333.3</v>
      </c>
      <c r="E108" s="13"/>
      <c r="F108" s="14">
        <v>0</v>
      </c>
      <c r="G108" s="13"/>
      <c r="H108" s="14">
        <v>0</v>
      </c>
      <c r="I108" s="13"/>
      <c r="J108" s="14">
        <v>0</v>
      </c>
      <c r="K108" s="13"/>
      <c r="L108" s="14">
        <v>0</v>
      </c>
      <c r="M108" s="13"/>
      <c r="N108" s="14">
        <v>0</v>
      </c>
      <c r="O108" s="13"/>
      <c r="P108" s="14">
        <v>0</v>
      </c>
      <c r="Q108" s="13"/>
      <c r="R108" s="14">
        <f t="shared" si="4"/>
        <v>-142518.44000000003</v>
      </c>
    </row>
    <row r="109" spans="1:18" outlineLevel="1" x14ac:dyDescent="0.2">
      <c r="A109" s="3" t="s">
        <v>3924</v>
      </c>
      <c r="B109" s="14">
        <v>-1011569.5099999998</v>
      </c>
      <c r="C109" s="13"/>
      <c r="D109" s="14">
        <v>-84007.38</v>
      </c>
      <c r="E109" s="13"/>
      <c r="F109" s="14">
        <v>0</v>
      </c>
      <c r="G109" s="13"/>
      <c r="H109" s="14">
        <v>0</v>
      </c>
      <c r="I109" s="13"/>
      <c r="J109" s="14">
        <v>0</v>
      </c>
      <c r="K109" s="13"/>
      <c r="L109" s="14">
        <v>0</v>
      </c>
      <c r="M109" s="13"/>
      <c r="N109" s="14">
        <v>0</v>
      </c>
      <c r="O109" s="13"/>
      <c r="P109" s="14">
        <v>0</v>
      </c>
      <c r="Q109" s="13"/>
      <c r="R109" s="14">
        <f t="shared" si="4"/>
        <v>-1095576.8899999997</v>
      </c>
    </row>
    <row r="110" spans="1:18" outlineLevel="1" x14ac:dyDescent="0.2">
      <c r="A110" s="3" t="s">
        <v>3925</v>
      </c>
      <c r="B110" s="14">
        <v>-1587652.67</v>
      </c>
      <c r="C110" s="13"/>
      <c r="D110" s="14">
        <v>-137171.28</v>
      </c>
      <c r="E110" s="13"/>
      <c r="F110" s="14">
        <v>0</v>
      </c>
      <c r="G110" s="13"/>
      <c r="H110" s="14">
        <v>0</v>
      </c>
      <c r="I110" s="13"/>
      <c r="J110" s="14">
        <v>0</v>
      </c>
      <c r="K110" s="13"/>
      <c r="L110" s="14">
        <v>0</v>
      </c>
      <c r="M110" s="13"/>
      <c r="N110" s="14">
        <v>0</v>
      </c>
      <c r="O110" s="13"/>
      <c r="P110" s="14">
        <v>0</v>
      </c>
      <c r="Q110" s="13"/>
      <c r="R110" s="14">
        <f t="shared" si="4"/>
        <v>-1724823.95</v>
      </c>
    </row>
    <row r="111" spans="1:18" outlineLevel="1" x14ac:dyDescent="0.2">
      <c r="A111" s="3" t="s">
        <v>3926</v>
      </c>
      <c r="B111" s="14">
        <v>-1852418.76</v>
      </c>
      <c r="C111" s="13"/>
      <c r="D111" s="14">
        <v>-142876.79999999999</v>
      </c>
      <c r="E111" s="13"/>
      <c r="F111" s="14">
        <v>0</v>
      </c>
      <c r="G111" s="13"/>
      <c r="H111" s="14">
        <v>0</v>
      </c>
      <c r="I111" s="13"/>
      <c r="J111" s="14">
        <v>0</v>
      </c>
      <c r="K111" s="13"/>
      <c r="L111" s="14">
        <v>0</v>
      </c>
      <c r="M111" s="13"/>
      <c r="N111" s="14">
        <v>0</v>
      </c>
      <c r="O111" s="13"/>
      <c r="P111" s="14">
        <v>0</v>
      </c>
      <c r="Q111" s="13"/>
      <c r="R111" s="14">
        <f t="shared" si="4"/>
        <v>-1995295.56</v>
      </c>
    </row>
    <row r="112" spans="1:18" outlineLevel="1" x14ac:dyDescent="0.2">
      <c r="A112" s="3" t="s">
        <v>3927</v>
      </c>
      <c r="B112" s="14">
        <v>-1782075.72</v>
      </c>
      <c r="C112" s="13"/>
      <c r="D112" s="14">
        <v>-136728.84</v>
      </c>
      <c r="E112" s="13"/>
      <c r="F112" s="14">
        <v>0</v>
      </c>
      <c r="G112" s="13"/>
      <c r="H112" s="14">
        <v>0</v>
      </c>
      <c r="I112" s="13"/>
      <c r="J112" s="14">
        <v>0</v>
      </c>
      <c r="K112" s="13"/>
      <c r="L112" s="14">
        <v>0</v>
      </c>
      <c r="M112" s="13"/>
      <c r="N112" s="14">
        <v>0</v>
      </c>
      <c r="O112" s="13"/>
      <c r="P112" s="14">
        <v>0</v>
      </c>
      <c r="Q112" s="13"/>
      <c r="R112" s="14">
        <f t="shared" si="4"/>
        <v>-1918804.56</v>
      </c>
    </row>
    <row r="113" spans="1:18" outlineLevel="1" x14ac:dyDescent="0.2">
      <c r="A113" s="3" t="s">
        <v>3928</v>
      </c>
      <c r="B113" s="14">
        <v>-1555602.9300000002</v>
      </c>
      <c r="C113" s="13"/>
      <c r="D113" s="14">
        <v>-133290.35999999999</v>
      </c>
      <c r="E113" s="13"/>
      <c r="F113" s="14">
        <v>0</v>
      </c>
      <c r="G113" s="13"/>
      <c r="H113" s="14">
        <v>0</v>
      </c>
      <c r="I113" s="13"/>
      <c r="J113" s="14">
        <v>0</v>
      </c>
      <c r="K113" s="13"/>
      <c r="L113" s="14">
        <v>0</v>
      </c>
      <c r="M113" s="13"/>
      <c r="N113" s="14">
        <v>0</v>
      </c>
      <c r="O113" s="13"/>
      <c r="P113" s="14">
        <v>0</v>
      </c>
      <c r="Q113" s="13"/>
      <c r="R113" s="14">
        <f t="shared" si="4"/>
        <v>-1688893.29</v>
      </c>
    </row>
    <row r="114" spans="1:18" outlineLevel="1" x14ac:dyDescent="0.2">
      <c r="A114" s="3" t="s">
        <v>3929</v>
      </c>
      <c r="B114" s="14">
        <v>-1551099.69</v>
      </c>
      <c r="C114" s="13"/>
      <c r="D114" s="14">
        <v>-132904.5</v>
      </c>
      <c r="E114" s="13"/>
      <c r="F114" s="14">
        <v>0</v>
      </c>
      <c r="G114" s="13"/>
      <c r="H114" s="14">
        <v>0</v>
      </c>
      <c r="I114" s="13"/>
      <c r="J114" s="14">
        <v>0</v>
      </c>
      <c r="K114" s="13"/>
      <c r="L114" s="14">
        <v>0</v>
      </c>
      <c r="M114" s="13"/>
      <c r="N114" s="14">
        <v>0</v>
      </c>
      <c r="O114" s="13"/>
      <c r="P114" s="14">
        <v>0</v>
      </c>
      <c r="Q114" s="13"/>
      <c r="R114" s="14">
        <f t="shared" si="4"/>
        <v>-1684004.19</v>
      </c>
    </row>
    <row r="115" spans="1:18" outlineLevel="1" x14ac:dyDescent="0.2">
      <c r="A115" s="3" t="s">
        <v>3930</v>
      </c>
      <c r="B115" s="14">
        <v>-1588933.3299999996</v>
      </c>
      <c r="C115" s="13"/>
      <c r="D115" s="14">
        <v>-137281.92000000001</v>
      </c>
      <c r="E115" s="13"/>
      <c r="F115" s="14">
        <v>0</v>
      </c>
      <c r="G115" s="13"/>
      <c r="H115" s="14">
        <v>0</v>
      </c>
      <c r="I115" s="13"/>
      <c r="J115" s="14">
        <v>0</v>
      </c>
      <c r="K115" s="13"/>
      <c r="L115" s="14">
        <v>0</v>
      </c>
      <c r="M115" s="13"/>
      <c r="N115" s="14">
        <v>0</v>
      </c>
      <c r="O115" s="13"/>
      <c r="P115" s="14">
        <v>0</v>
      </c>
      <c r="Q115" s="13"/>
      <c r="R115" s="14">
        <f t="shared" si="4"/>
        <v>-1726215.2499999995</v>
      </c>
    </row>
    <row r="116" spans="1:18" ht="13.5" customHeight="1" x14ac:dyDescent="0.2">
      <c r="A116" s="3" t="s">
        <v>3931</v>
      </c>
      <c r="B116" s="14">
        <v>-20949774.380000003</v>
      </c>
      <c r="C116" s="13"/>
      <c r="D116" s="14">
        <f>SUM(D99:D115)</f>
        <v>-2740410.62</v>
      </c>
      <c r="E116" s="13"/>
      <c r="F116" s="14">
        <f>SUM(F99:F115)</f>
        <v>0</v>
      </c>
      <c r="G116" s="13"/>
      <c r="H116" s="14">
        <f>SUM(H99:H115)</f>
        <v>0</v>
      </c>
      <c r="I116" s="13"/>
      <c r="J116" s="14">
        <f>SUM(J99:J115)</f>
        <v>0</v>
      </c>
      <c r="K116" s="13"/>
      <c r="L116" s="14">
        <f>SUM(L99:L115)</f>
        <v>0</v>
      </c>
      <c r="M116" s="13"/>
      <c r="N116" s="14">
        <f>SUM(N99:N115)</f>
        <v>0</v>
      </c>
      <c r="O116" s="13"/>
      <c r="P116" s="14">
        <f>SUM(P99:P115)</f>
        <v>0</v>
      </c>
      <c r="Q116" s="13"/>
      <c r="R116" s="14">
        <f>SUM(R99:R115)</f>
        <v>-23690185</v>
      </c>
    </row>
    <row r="117" spans="1:18" outlineLevel="1" x14ac:dyDescent="0.2">
      <c r="A117" s="3" t="s">
        <v>3932</v>
      </c>
      <c r="B117" s="14">
        <v>-983987.09000000008</v>
      </c>
      <c r="C117" s="13"/>
      <c r="D117" s="14">
        <v>-682418.1</v>
      </c>
      <c r="E117" s="13"/>
      <c r="F117" s="14">
        <v>0</v>
      </c>
      <c r="G117" s="13"/>
      <c r="H117" s="14">
        <v>0</v>
      </c>
      <c r="I117" s="13"/>
      <c r="J117" s="14">
        <v>0</v>
      </c>
      <c r="K117" s="13"/>
      <c r="L117" s="14">
        <v>0</v>
      </c>
      <c r="M117" s="13"/>
      <c r="N117" s="14">
        <v>0</v>
      </c>
      <c r="O117" s="13"/>
      <c r="P117" s="14">
        <v>0</v>
      </c>
      <c r="Q117" s="13"/>
      <c r="R117" s="14">
        <f>SUM(B117:P117)</f>
        <v>-1666405.19</v>
      </c>
    </row>
    <row r="118" spans="1:18" outlineLevel="1" x14ac:dyDescent="0.2">
      <c r="A118" s="3" t="s">
        <v>3933</v>
      </c>
      <c r="B118" s="14">
        <v>-3372373.26</v>
      </c>
      <c r="C118" s="13"/>
      <c r="D118" s="14">
        <v>-184210.44</v>
      </c>
      <c r="E118" s="13"/>
      <c r="F118" s="14">
        <v>0</v>
      </c>
      <c r="G118" s="13"/>
      <c r="H118" s="14">
        <v>0</v>
      </c>
      <c r="I118" s="13"/>
      <c r="J118" s="14">
        <v>0</v>
      </c>
      <c r="K118" s="13"/>
      <c r="L118" s="14">
        <v>0</v>
      </c>
      <c r="M118" s="13"/>
      <c r="N118" s="14">
        <v>0</v>
      </c>
      <c r="O118" s="13"/>
      <c r="P118" s="14">
        <v>0</v>
      </c>
      <c r="Q118" s="13"/>
      <c r="R118" s="14">
        <f>SUM(B118:P118)</f>
        <v>-3556583.6999999997</v>
      </c>
    </row>
    <row r="119" spans="1:18" outlineLevel="1" x14ac:dyDescent="0.2">
      <c r="A119" s="3" t="s">
        <v>3934</v>
      </c>
      <c r="B119" s="14">
        <v>-84672.430000000008</v>
      </c>
      <c r="C119" s="13"/>
      <c r="D119" s="14">
        <v>-14447.04</v>
      </c>
      <c r="E119" s="13"/>
      <c r="F119" s="14">
        <v>0</v>
      </c>
      <c r="G119" s="13"/>
      <c r="H119" s="14">
        <v>0</v>
      </c>
      <c r="I119" s="13"/>
      <c r="J119" s="14">
        <v>0</v>
      </c>
      <c r="K119" s="13"/>
      <c r="L119" s="14">
        <v>0</v>
      </c>
      <c r="M119" s="13"/>
      <c r="N119" s="14">
        <v>0</v>
      </c>
      <c r="O119" s="13"/>
      <c r="P119" s="14">
        <v>0</v>
      </c>
      <c r="Q119" s="13"/>
      <c r="R119" s="14">
        <f t="shared" ref="R119:R136" si="5">SUM(B119:P119)</f>
        <v>-99119.47</v>
      </c>
    </row>
    <row r="120" spans="1:18" outlineLevel="1" x14ac:dyDescent="0.2">
      <c r="A120" s="3" t="s">
        <v>3935</v>
      </c>
      <c r="B120" s="14">
        <v>-111540.48000000001</v>
      </c>
      <c r="C120" s="13"/>
      <c r="D120" s="14">
        <v>-20521.2</v>
      </c>
      <c r="E120" s="13"/>
      <c r="F120" s="14">
        <v>0</v>
      </c>
      <c r="G120" s="13"/>
      <c r="H120" s="14">
        <v>0</v>
      </c>
      <c r="I120" s="13"/>
      <c r="J120" s="14">
        <v>0</v>
      </c>
      <c r="K120" s="13"/>
      <c r="L120" s="14">
        <v>0</v>
      </c>
      <c r="M120" s="13"/>
      <c r="N120" s="14">
        <v>0</v>
      </c>
      <c r="O120" s="13"/>
      <c r="P120" s="14">
        <v>0</v>
      </c>
      <c r="Q120" s="13"/>
      <c r="R120" s="14">
        <f t="shared" si="5"/>
        <v>-132061.68000000002</v>
      </c>
    </row>
    <row r="121" spans="1:18" outlineLevel="1" x14ac:dyDescent="0.2">
      <c r="A121" s="3" t="s">
        <v>3936</v>
      </c>
      <c r="B121" s="14">
        <v>-298177.63999999996</v>
      </c>
      <c r="C121" s="13"/>
      <c r="D121" s="14">
        <v>-38277.360000000001</v>
      </c>
      <c r="E121" s="13"/>
      <c r="F121" s="14">
        <v>0</v>
      </c>
      <c r="G121" s="13"/>
      <c r="H121" s="14">
        <v>0</v>
      </c>
      <c r="I121" s="13"/>
      <c r="J121" s="14">
        <v>0</v>
      </c>
      <c r="K121" s="13"/>
      <c r="L121" s="14">
        <v>0</v>
      </c>
      <c r="M121" s="13"/>
      <c r="N121" s="14">
        <v>0</v>
      </c>
      <c r="O121" s="13"/>
      <c r="P121" s="14">
        <v>0</v>
      </c>
      <c r="Q121" s="13"/>
      <c r="R121" s="14">
        <f t="shared" si="5"/>
        <v>-336454.99999999994</v>
      </c>
    </row>
    <row r="122" spans="1:18" outlineLevel="1" x14ac:dyDescent="0.2">
      <c r="A122" s="3" t="s">
        <v>3937</v>
      </c>
      <c r="B122" s="14">
        <v>-197072.33999999997</v>
      </c>
      <c r="C122" s="13"/>
      <c r="D122" s="14">
        <v>-60935.64</v>
      </c>
      <c r="E122" s="13"/>
      <c r="F122" s="14">
        <v>0</v>
      </c>
      <c r="G122" s="13"/>
      <c r="H122" s="14">
        <v>0</v>
      </c>
      <c r="I122" s="13"/>
      <c r="J122" s="14">
        <v>0</v>
      </c>
      <c r="K122" s="13"/>
      <c r="L122" s="14">
        <v>0</v>
      </c>
      <c r="M122" s="13"/>
      <c r="N122" s="14">
        <v>0</v>
      </c>
      <c r="O122" s="13"/>
      <c r="P122" s="14">
        <v>0</v>
      </c>
      <c r="Q122" s="13"/>
      <c r="R122" s="14">
        <f t="shared" si="5"/>
        <v>-258007.97999999998</v>
      </c>
    </row>
    <row r="123" spans="1:18" outlineLevel="1" x14ac:dyDescent="0.2">
      <c r="A123" s="3" t="s">
        <v>3938</v>
      </c>
      <c r="B123" s="14">
        <v>-194513.86000000002</v>
      </c>
      <c r="C123" s="13"/>
      <c r="D123" s="14">
        <v>-61377.78</v>
      </c>
      <c r="E123" s="13"/>
      <c r="F123" s="14">
        <v>0</v>
      </c>
      <c r="G123" s="13"/>
      <c r="H123" s="14">
        <v>0</v>
      </c>
      <c r="I123" s="13"/>
      <c r="J123" s="14">
        <v>0</v>
      </c>
      <c r="K123" s="13"/>
      <c r="L123" s="14">
        <v>0</v>
      </c>
      <c r="M123" s="13"/>
      <c r="N123" s="14">
        <v>0</v>
      </c>
      <c r="O123" s="13"/>
      <c r="P123" s="14">
        <v>0</v>
      </c>
      <c r="Q123" s="13"/>
      <c r="R123" s="14">
        <f t="shared" si="5"/>
        <v>-255891.64</v>
      </c>
    </row>
    <row r="124" spans="1:18" outlineLevel="1" x14ac:dyDescent="0.2">
      <c r="A124" s="3" t="s">
        <v>3939</v>
      </c>
      <c r="B124" s="14">
        <v>-138889.59</v>
      </c>
      <c r="C124" s="13"/>
      <c r="D124" s="14">
        <v>-17821.38</v>
      </c>
      <c r="E124" s="13"/>
      <c r="F124" s="14">
        <v>0</v>
      </c>
      <c r="G124" s="13"/>
      <c r="H124" s="14">
        <v>0</v>
      </c>
      <c r="I124" s="13"/>
      <c r="J124" s="14">
        <v>0</v>
      </c>
      <c r="K124" s="13"/>
      <c r="L124" s="14">
        <v>0</v>
      </c>
      <c r="M124" s="13"/>
      <c r="N124" s="14">
        <v>0</v>
      </c>
      <c r="O124" s="13"/>
      <c r="P124" s="14">
        <v>0</v>
      </c>
      <c r="Q124" s="13"/>
      <c r="R124" s="14">
        <f t="shared" si="5"/>
        <v>-156710.97</v>
      </c>
    </row>
    <row r="125" spans="1:18" outlineLevel="1" x14ac:dyDescent="0.2">
      <c r="A125" s="3" t="s">
        <v>3940</v>
      </c>
      <c r="B125" s="14">
        <v>-1305219.5000000002</v>
      </c>
      <c r="C125" s="13"/>
      <c r="D125" s="14">
        <v>-123367.02</v>
      </c>
      <c r="E125" s="13"/>
      <c r="F125" s="14">
        <v>0</v>
      </c>
      <c r="G125" s="13"/>
      <c r="H125" s="14">
        <v>0</v>
      </c>
      <c r="I125" s="13"/>
      <c r="J125" s="14">
        <v>0</v>
      </c>
      <c r="K125" s="13"/>
      <c r="L125" s="14">
        <v>0</v>
      </c>
      <c r="M125" s="13"/>
      <c r="N125" s="14">
        <v>0</v>
      </c>
      <c r="O125" s="13"/>
      <c r="P125" s="14">
        <v>0</v>
      </c>
      <c r="Q125" s="13"/>
      <c r="R125" s="14">
        <f t="shared" si="5"/>
        <v>-1428586.5200000003</v>
      </c>
    </row>
    <row r="126" spans="1:18" outlineLevel="1" x14ac:dyDescent="0.2">
      <c r="A126" s="3" t="s">
        <v>3941</v>
      </c>
      <c r="B126" s="14">
        <v>-5477535.1900000013</v>
      </c>
      <c r="C126" s="13"/>
      <c r="D126" s="14">
        <v>-239178.68</v>
      </c>
      <c r="E126" s="13"/>
      <c r="F126" s="14">
        <v>0</v>
      </c>
      <c r="G126" s="13"/>
      <c r="H126" s="14">
        <v>0</v>
      </c>
      <c r="I126" s="13"/>
      <c r="J126" s="14">
        <v>0</v>
      </c>
      <c r="K126" s="13"/>
      <c r="L126" s="14">
        <v>0</v>
      </c>
      <c r="M126" s="13"/>
      <c r="N126" s="14">
        <v>0</v>
      </c>
      <c r="O126" s="13"/>
      <c r="P126" s="14">
        <v>0</v>
      </c>
      <c r="Q126" s="13"/>
      <c r="R126" s="14">
        <f t="shared" si="5"/>
        <v>-5716713.870000001</v>
      </c>
    </row>
    <row r="127" spans="1:18" outlineLevel="1" x14ac:dyDescent="0.2">
      <c r="A127" s="3" t="s">
        <v>3942</v>
      </c>
      <c r="B127" s="14">
        <v>-240710.12000000002</v>
      </c>
      <c r="C127" s="13"/>
      <c r="D127" s="14">
        <v>-61375.32</v>
      </c>
      <c r="E127" s="13"/>
      <c r="F127" s="14">
        <v>0</v>
      </c>
      <c r="G127" s="13"/>
      <c r="H127" s="14">
        <v>0</v>
      </c>
      <c r="I127" s="13"/>
      <c r="J127" s="14">
        <v>0</v>
      </c>
      <c r="K127" s="13"/>
      <c r="L127" s="14">
        <v>0</v>
      </c>
      <c r="M127" s="13"/>
      <c r="N127" s="14">
        <v>0</v>
      </c>
      <c r="O127" s="13"/>
      <c r="P127" s="14">
        <v>0</v>
      </c>
      <c r="Q127" s="13"/>
      <c r="R127" s="14">
        <f t="shared" si="5"/>
        <v>-302085.44</v>
      </c>
    </row>
    <row r="128" spans="1:18" outlineLevel="1" x14ac:dyDescent="0.2">
      <c r="A128" s="3" t="s">
        <v>3943</v>
      </c>
      <c r="B128" s="14">
        <v>0</v>
      </c>
      <c r="C128" s="13"/>
      <c r="D128" s="14">
        <v>-176159.66</v>
      </c>
      <c r="E128" s="13"/>
      <c r="F128" s="14">
        <v>0</v>
      </c>
      <c r="G128" s="13"/>
      <c r="H128" s="14">
        <v>-86415.29</v>
      </c>
      <c r="I128" s="13"/>
      <c r="J128" s="14">
        <v>0</v>
      </c>
      <c r="K128" s="13"/>
      <c r="L128" s="14">
        <v>0</v>
      </c>
      <c r="M128" s="13"/>
      <c r="N128" s="14">
        <v>0</v>
      </c>
      <c r="O128" s="13"/>
      <c r="P128" s="14">
        <v>0</v>
      </c>
      <c r="Q128" s="13"/>
      <c r="R128" s="14">
        <f t="shared" si="5"/>
        <v>-262574.95</v>
      </c>
    </row>
    <row r="129" spans="1:18" outlineLevel="1" x14ac:dyDescent="0.2">
      <c r="A129" s="3" t="s">
        <v>3944</v>
      </c>
      <c r="B129" s="14">
        <v>-1078224.6900000002</v>
      </c>
      <c r="C129" s="13"/>
      <c r="D129" s="14">
        <v>-105547.1</v>
      </c>
      <c r="E129" s="13"/>
      <c r="F129" s="14">
        <v>19123.07</v>
      </c>
      <c r="G129" s="13"/>
      <c r="H129" s="14">
        <v>86415.29</v>
      </c>
      <c r="I129" s="13"/>
      <c r="J129" s="14">
        <v>0</v>
      </c>
      <c r="K129" s="13"/>
      <c r="L129" s="14">
        <v>13600.15</v>
      </c>
      <c r="M129" s="13"/>
      <c r="N129" s="14">
        <v>0</v>
      </c>
      <c r="O129" s="13"/>
      <c r="P129" s="14">
        <v>0</v>
      </c>
      <c r="Q129" s="13"/>
      <c r="R129" s="14">
        <f t="shared" si="5"/>
        <v>-1064633.2800000003</v>
      </c>
    </row>
    <row r="130" spans="1:18" outlineLevel="1" x14ac:dyDescent="0.2">
      <c r="A130" s="3" t="s">
        <v>3945</v>
      </c>
      <c r="B130" s="14">
        <v>-269375.76</v>
      </c>
      <c r="C130" s="13"/>
      <c r="D130" s="14">
        <v>-23357.759999999998</v>
      </c>
      <c r="E130" s="13"/>
      <c r="F130" s="14">
        <v>0</v>
      </c>
      <c r="G130" s="13"/>
      <c r="H130" s="14">
        <v>0</v>
      </c>
      <c r="I130" s="13"/>
      <c r="J130" s="14">
        <v>0</v>
      </c>
      <c r="K130" s="13"/>
      <c r="L130" s="14">
        <v>0</v>
      </c>
      <c r="M130" s="13"/>
      <c r="N130" s="14">
        <v>0</v>
      </c>
      <c r="O130" s="13"/>
      <c r="P130" s="14">
        <v>0</v>
      </c>
      <c r="Q130" s="13"/>
      <c r="R130" s="14">
        <f t="shared" si="5"/>
        <v>-292733.52</v>
      </c>
    </row>
    <row r="131" spans="1:18" outlineLevel="1" x14ac:dyDescent="0.2">
      <c r="A131" s="3" t="s">
        <v>3946</v>
      </c>
      <c r="B131" s="14">
        <v>-118942.83</v>
      </c>
      <c r="C131" s="13"/>
      <c r="D131" s="14">
        <v>-9068.2800000000007</v>
      </c>
      <c r="E131" s="13"/>
      <c r="F131" s="14">
        <v>0</v>
      </c>
      <c r="G131" s="13"/>
      <c r="H131" s="14">
        <v>0</v>
      </c>
      <c r="I131" s="13"/>
      <c r="J131" s="14">
        <v>0</v>
      </c>
      <c r="K131" s="13"/>
      <c r="L131" s="14">
        <v>0</v>
      </c>
      <c r="M131" s="13"/>
      <c r="N131" s="14">
        <v>0</v>
      </c>
      <c r="O131" s="13"/>
      <c r="P131" s="14">
        <v>0</v>
      </c>
      <c r="Q131" s="13"/>
      <c r="R131" s="14">
        <f t="shared" si="5"/>
        <v>-128011.11</v>
      </c>
    </row>
    <row r="132" spans="1:18" outlineLevel="1" x14ac:dyDescent="0.2">
      <c r="A132" s="3" t="s">
        <v>3947</v>
      </c>
      <c r="B132" s="14">
        <v>-118786.69999999998</v>
      </c>
      <c r="C132" s="13"/>
      <c r="D132" s="14">
        <v>-9055.44</v>
      </c>
      <c r="E132" s="13"/>
      <c r="F132" s="14">
        <v>0</v>
      </c>
      <c r="G132" s="13"/>
      <c r="H132" s="14">
        <v>0</v>
      </c>
      <c r="I132" s="13"/>
      <c r="J132" s="14">
        <v>0</v>
      </c>
      <c r="K132" s="13"/>
      <c r="L132" s="14">
        <v>0</v>
      </c>
      <c r="M132" s="13"/>
      <c r="N132" s="14">
        <v>0</v>
      </c>
      <c r="O132" s="13"/>
      <c r="P132" s="14">
        <v>0</v>
      </c>
      <c r="Q132" s="13"/>
      <c r="R132" s="14">
        <f t="shared" si="5"/>
        <v>-127842.13999999998</v>
      </c>
    </row>
    <row r="133" spans="1:18" outlineLevel="1" x14ac:dyDescent="0.2">
      <c r="A133" s="3" t="s">
        <v>3948</v>
      </c>
      <c r="B133" s="14">
        <v>-252836.06</v>
      </c>
      <c r="C133" s="13"/>
      <c r="D133" s="14">
        <v>-21503.82</v>
      </c>
      <c r="E133" s="13"/>
      <c r="F133" s="14">
        <v>0</v>
      </c>
      <c r="G133" s="13"/>
      <c r="H133" s="14">
        <v>0</v>
      </c>
      <c r="I133" s="13"/>
      <c r="J133" s="14">
        <v>0</v>
      </c>
      <c r="K133" s="13"/>
      <c r="L133" s="14">
        <v>0</v>
      </c>
      <c r="M133" s="13"/>
      <c r="N133" s="14">
        <v>0</v>
      </c>
      <c r="O133" s="13"/>
      <c r="P133" s="14">
        <v>0</v>
      </c>
      <c r="Q133" s="13"/>
      <c r="R133" s="14">
        <f t="shared" si="5"/>
        <v>-274339.88</v>
      </c>
    </row>
    <row r="134" spans="1:18" outlineLevel="1" x14ac:dyDescent="0.2">
      <c r="A134" s="3" t="s">
        <v>3949</v>
      </c>
      <c r="B134" s="14">
        <v>-252104.10999999996</v>
      </c>
      <c r="C134" s="13"/>
      <c r="D134" s="14">
        <v>-21441.599999999999</v>
      </c>
      <c r="E134" s="13"/>
      <c r="F134" s="14">
        <v>0</v>
      </c>
      <c r="G134" s="13"/>
      <c r="H134" s="14">
        <v>0</v>
      </c>
      <c r="I134" s="13"/>
      <c r="J134" s="14">
        <v>0</v>
      </c>
      <c r="K134" s="13"/>
      <c r="L134" s="14">
        <v>0</v>
      </c>
      <c r="M134" s="13"/>
      <c r="N134" s="14">
        <v>0</v>
      </c>
      <c r="O134" s="13"/>
      <c r="P134" s="14">
        <v>0</v>
      </c>
      <c r="Q134" s="13"/>
      <c r="R134" s="14">
        <f t="shared" si="5"/>
        <v>-273545.70999999996</v>
      </c>
    </row>
    <row r="135" spans="1:18" outlineLevel="1" x14ac:dyDescent="0.2">
      <c r="A135" s="3" t="s">
        <v>3950</v>
      </c>
      <c r="B135" s="14">
        <v>-258492.40999999997</v>
      </c>
      <c r="C135" s="13"/>
      <c r="D135" s="14">
        <v>-22177.919999999998</v>
      </c>
      <c r="E135" s="13"/>
      <c r="F135" s="14">
        <v>0</v>
      </c>
      <c r="G135" s="13"/>
      <c r="H135" s="14">
        <v>0</v>
      </c>
      <c r="I135" s="13"/>
      <c r="J135" s="14">
        <v>0</v>
      </c>
      <c r="K135" s="13"/>
      <c r="L135" s="14">
        <v>0</v>
      </c>
      <c r="M135" s="13"/>
      <c r="N135" s="14">
        <v>0</v>
      </c>
      <c r="O135" s="13"/>
      <c r="P135" s="14">
        <v>0</v>
      </c>
      <c r="Q135" s="13"/>
      <c r="R135" s="14">
        <f t="shared" si="5"/>
        <v>-280670.32999999996</v>
      </c>
    </row>
    <row r="136" spans="1:18" outlineLevel="1" x14ac:dyDescent="0.2">
      <c r="A136" s="3" t="s">
        <v>3951</v>
      </c>
      <c r="B136" s="14">
        <v>-2378233.7199999997</v>
      </c>
      <c r="C136" s="13"/>
      <c r="D136" s="14">
        <v>-181433.44</v>
      </c>
      <c r="E136" s="13"/>
      <c r="F136" s="14">
        <v>0</v>
      </c>
      <c r="G136" s="13"/>
      <c r="H136" s="14">
        <v>0</v>
      </c>
      <c r="I136" s="13"/>
      <c r="J136" s="14">
        <v>0</v>
      </c>
      <c r="K136" s="13"/>
      <c r="L136" s="14">
        <v>0</v>
      </c>
      <c r="M136" s="13"/>
      <c r="N136" s="14">
        <v>0</v>
      </c>
      <c r="O136" s="13"/>
      <c r="P136" s="14">
        <v>0</v>
      </c>
      <c r="Q136" s="13"/>
      <c r="R136" s="14">
        <f t="shared" si="5"/>
        <v>-2559667.1599999997</v>
      </c>
    </row>
    <row r="137" spans="1:18" x14ac:dyDescent="0.2">
      <c r="A137" s="3" t="s">
        <v>3952</v>
      </c>
      <c r="B137" s="14">
        <v>-17131687.779999997</v>
      </c>
      <c r="C137" s="13"/>
      <c r="D137" s="14">
        <f>SUM(D117:D136)</f>
        <v>-2073674.98</v>
      </c>
      <c r="E137" s="13"/>
      <c r="F137" s="14">
        <f>SUM(F117:F136)</f>
        <v>19123.07</v>
      </c>
      <c r="G137" s="13"/>
      <c r="H137" s="14">
        <f>SUM(H117:H136)</f>
        <v>0</v>
      </c>
      <c r="I137" s="13"/>
      <c r="J137" s="14">
        <f>SUM(J117:J136)</f>
        <v>0</v>
      </c>
      <c r="K137" s="13"/>
      <c r="L137" s="14">
        <f>SUM(L117:L136)</f>
        <v>13600.15</v>
      </c>
      <c r="M137" s="13"/>
      <c r="N137" s="14">
        <f>SUM(N117:N136)</f>
        <v>0</v>
      </c>
      <c r="O137" s="13"/>
      <c r="P137" s="14">
        <f>SUM(P117:P136)</f>
        <v>0</v>
      </c>
      <c r="Q137" s="13"/>
      <c r="R137" s="14">
        <f>SUM(R117:R136)</f>
        <v>-19172639.539999995</v>
      </c>
    </row>
    <row r="138" spans="1:18" x14ac:dyDescent="0.2">
      <c r="A138" s="3" t="s">
        <v>3953</v>
      </c>
      <c r="B138" s="14">
        <v>2.9103830456733704E-11</v>
      </c>
      <c r="C138" s="13"/>
      <c r="D138" s="111">
        <v>0</v>
      </c>
      <c r="E138" s="13"/>
      <c r="F138" s="111">
        <v>0</v>
      </c>
      <c r="G138" s="13"/>
      <c r="H138" s="111">
        <v>0</v>
      </c>
      <c r="I138" s="13"/>
      <c r="J138" s="14">
        <v>0</v>
      </c>
      <c r="K138" s="13"/>
      <c r="L138" s="111">
        <v>0</v>
      </c>
      <c r="M138" s="13"/>
      <c r="N138" s="111">
        <v>0</v>
      </c>
      <c r="O138" s="13"/>
      <c r="P138" s="112">
        <v>0</v>
      </c>
      <c r="Q138" s="13"/>
      <c r="R138" s="14">
        <f>SUM(B138:P138)</f>
        <v>2.9103830456733704E-11</v>
      </c>
    </row>
    <row r="139" spans="1:18" outlineLevel="1" x14ac:dyDescent="0.2">
      <c r="A139" s="3" t="s">
        <v>3954</v>
      </c>
      <c r="B139" s="14">
        <v>-5977328.9400000004</v>
      </c>
      <c r="C139" s="13"/>
      <c r="D139" s="14">
        <v>-8121279.9900000002</v>
      </c>
      <c r="E139" s="13"/>
      <c r="F139" s="14">
        <v>194956.51</v>
      </c>
      <c r="G139" s="13"/>
      <c r="H139" s="14">
        <v>0</v>
      </c>
      <c r="I139" s="13"/>
      <c r="J139" s="14">
        <v>0</v>
      </c>
      <c r="K139" s="13"/>
      <c r="L139" s="14">
        <v>28836.19</v>
      </c>
      <c r="M139" s="13"/>
      <c r="N139" s="14">
        <v>0</v>
      </c>
      <c r="O139" s="13"/>
      <c r="P139" s="14">
        <v>0</v>
      </c>
      <c r="Q139" s="13"/>
      <c r="R139" s="14">
        <f>SUM(B139:P139)</f>
        <v>-13874816.23</v>
      </c>
    </row>
    <row r="140" spans="1:18" outlineLevel="1" x14ac:dyDescent="0.2">
      <c r="A140" s="3" t="s">
        <v>3955</v>
      </c>
      <c r="B140" s="14">
        <v>-10695542.149999997</v>
      </c>
      <c r="C140" s="13"/>
      <c r="D140" s="14">
        <v>-1068323.9099999999</v>
      </c>
      <c r="E140" s="13"/>
      <c r="F140" s="14">
        <v>4847.7299999999996</v>
      </c>
      <c r="G140" s="13"/>
      <c r="H140" s="14">
        <v>0</v>
      </c>
      <c r="I140" s="13"/>
      <c r="J140" s="14">
        <v>0</v>
      </c>
      <c r="K140" s="13"/>
      <c r="L140" s="14">
        <v>0</v>
      </c>
      <c r="M140" s="13"/>
      <c r="N140" s="14">
        <v>0</v>
      </c>
      <c r="O140" s="13"/>
      <c r="P140" s="14">
        <v>0</v>
      </c>
      <c r="Q140" s="13"/>
      <c r="R140" s="14">
        <f t="shared" ref="R140:R153" si="6">SUM(B140:P140)</f>
        <v>-11759018.329999996</v>
      </c>
    </row>
    <row r="141" spans="1:18" outlineLevel="1" x14ac:dyDescent="0.2">
      <c r="A141" s="3" t="s">
        <v>3956</v>
      </c>
      <c r="B141" s="14">
        <v>-22548694.699999999</v>
      </c>
      <c r="C141" s="13"/>
      <c r="D141" s="14">
        <v>-1616677.73</v>
      </c>
      <c r="E141" s="13"/>
      <c r="F141" s="14">
        <v>11953.55</v>
      </c>
      <c r="G141" s="13"/>
      <c r="H141" s="14">
        <v>0</v>
      </c>
      <c r="I141" s="13"/>
      <c r="J141" s="14">
        <v>0</v>
      </c>
      <c r="K141" s="13"/>
      <c r="L141" s="14">
        <v>0</v>
      </c>
      <c r="M141" s="13"/>
      <c r="N141" s="14">
        <v>0</v>
      </c>
      <c r="O141" s="13"/>
      <c r="P141" s="14">
        <v>0</v>
      </c>
      <c r="Q141" s="13"/>
      <c r="R141" s="14">
        <f t="shared" si="6"/>
        <v>-24153418.879999999</v>
      </c>
    </row>
    <row r="142" spans="1:18" outlineLevel="1" x14ac:dyDescent="0.2">
      <c r="A142" s="3" t="s">
        <v>3957</v>
      </c>
      <c r="B142" s="14">
        <v>-7389767.5199999996</v>
      </c>
      <c r="C142" s="13"/>
      <c r="D142" s="14">
        <v>-637243.97</v>
      </c>
      <c r="E142" s="13"/>
      <c r="F142" s="14">
        <v>6260.62</v>
      </c>
      <c r="G142" s="13"/>
      <c r="H142" s="14">
        <v>0</v>
      </c>
      <c r="I142" s="13"/>
      <c r="J142" s="14">
        <v>0</v>
      </c>
      <c r="K142" s="13"/>
      <c r="L142" s="14">
        <v>0</v>
      </c>
      <c r="M142" s="13"/>
      <c r="N142" s="14">
        <v>0</v>
      </c>
      <c r="O142" s="13"/>
      <c r="P142" s="14">
        <v>0</v>
      </c>
      <c r="Q142" s="13"/>
      <c r="R142" s="14">
        <f t="shared" si="6"/>
        <v>-8020750.8699999992</v>
      </c>
    </row>
    <row r="143" spans="1:18" outlineLevel="1" x14ac:dyDescent="0.2">
      <c r="A143" s="3" t="s">
        <v>3958</v>
      </c>
      <c r="B143" s="14">
        <v>-15935840.900000002</v>
      </c>
      <c r="C143" s="13"/>
      <c r="D143" s="14">
        <v>-1815638.91</v>
      </c>
      <c r="E143" s="13"/>
      <c r="F143" s="14">
        <v>6260.62</v>
      </c>
      <c r="G143" s="13"/>
      <c r="H143" s="14">
        <v>0</v>
      </c>
      <c r="I143" s="13"/>
      <c r="J143" s="14">
        <v>0</v>
      </c>
      <c r="K143" s="13"/>
      <c r="L143" s="14">
        <v>0</v>
      </c>
      <c r="M143" s="13"/>
      <c r="N143" s="14">
        <v>0</v>
      </c>
      <c r="O143" s="13"/>
      <c r="P143" s="14">
        <v>0</v>
      </c>
      <c r="Q143" s="13"/>
      <c r="R143" s="14">
        <f t="shared" si="6"/>
        <v>-17745219.190000001</v>
      </c>
    </row>
    <row r="144" spans="1:18" outlineLevel="1" x14ac:dyDescent="0.2">
      <c r="A144" s="3" t="s">
        <v>3959</v>
      </c>
      <c r="B144" s="14">
        <v>-15170895.98</v>
      </c>
      <c r="C144" s="13"/>
      <c r="D144" s="14">
        <v>-1643946.74</v>
      </c>
      <c r="E144" s="13"/>
      <c r="F144" s="14">
        <v>6260.62</v>
      </c>
      <c r="G144" s="13"/>
      <c r="H144" s="14">
        <v>0</v>
      </c>
      <c r="I144" s="13"/>
      <c r="J144" s="14">
        <v>0</v>
      </c>
      <c r="K144" s="13"/>
      <c r="L144" s="14">
        <v>0</v>
      </c>
      <c r="M144" s="13"/>
      <c r="N144" s="14">
        <v>0</v>
      </c>
      <c r="O144" s="13"/>
      <c r="P144" s="14">
        <v>0</v>
      </c>
      <c r="Q144" s="13"/>
      <c r="R144" s="14">
        <f t="shared" si="6"/>
        <v>-16808582.099999998</v>
      </c>
    </row>
    <row r="145" spans="1:18" outlineLevel="1" x14ac:dyDescent="0.2">
      <c r="A145" s="3" t="s">
        <v>3960</v>
      </c>
      <c r="B145" s="14">
        <v>-16248205.390000004</v>
      </c>
      <c r="C145" s="13"/>
      <c r="D145" s="14">
        <v>-1468889.98</v>
      </c>
      <c r="E145" s="13"/>
      <c r="F145" s="14">
        <v>4847.7299999999996</v>
      </c>
      <c r="G145" s="13"/>
      <c r="H145" s="14">
        <v>0</v>
      </c>
      <c r="I145" s="13"/>
      <c r="J145" s="14">
        <v>0</v>
      </c>
      <c r="K145" s="13"/>
      <c r="L145" s="14">
        <v>0</v>
      </c>
      <c r="M145" s="13"/>
      <c r="N145" s="14">
        <v>0</v>
      </c>
      <c r="O145" s="13"/>
      <c r="P145" s="14">
        <v>0</v>
      </c>
      <c r="Q145" s="13"/>
      <c r="R145" s="14">
        <f t="shared" si="6"/>
        <v>-17712247.640000004</v>
      </c>
    </row>
    <row r="146" spans="1:18" outlineLevel="1" x14ac:dyDescent="0.2">
      <c r="A146" s="3" t="s">
        <v>3961</v>
      </c>
      <c r="B146" s="14">
        <v>-13085098.43</v>
      </c>
      <c r="C146" s="13"/>
      <c r="D146" s="14">
        <v>-1154428.9099999999</v>
      </c>
      <c r="E146" s="13"/>
      <c r="F146" s="14">
        <v>334140.19</v>
      </c>
      <c r="G146" s="13"/>
      <c r="H146" s="14">
        <v>0</v>
      </c>
      <c r="I146" s="13"/>
      <c r="J146" s="14">
        <v>0</v>
      </c>
      <c r="K146" s="13"/>
      <c r="L146" s="14">
        <v>2181.64</v>
      </c>
      <c r="M146" s="13"/>
      <c r="N146" s="14">
        <v>0</v>
      </c>
      <c r="O146" s="13"/>
      <c r="P146" s="14">
        <v>0</v>
      </c>
      <c r="Q146" s="13"/>
      <c r="R146" s="14">
        <f t="shared" si="6"/>
        <v>-13903205.51</v>
      </c>
    </row>
    <row r="147" spans="1:18" outlineLevel="1" x14ac:dyDescent="0.2">
      <c r="A147" s="3" t="s">
        <v>3962</v>
      </c>
      <c r="B147" s="14">
        <v>-6502643.0700000003</v>
      </c>
      <c r="C147" s="13"/>
      <c r="D147" s="14">
        <v>-966208.5</v>
      </c>
      <c r="E147" s="13"/>
      <c r="F147" s="14">
        <v>0</v>
      </c>
      <c r="G147" s="13"/>
      <c r="H147" s="14">
        <v>0</v>
      </c>
      <c r="I147" s="13"/>
      <c r="J147" s="14">
        <v>0</v>
      </c>
      <c r="K147" s="13"/>
      <c r="L147" s="14">
        <v>0</v>
      </c>
      <c r="M147" s="13"/>
      <c r="N147" s="14">
        <v>0</v>
      </c>
      <c r="O147" s="13"/>
      <c r="P147" s="14">
        <v>0</v>
      </c>
      <c r="Q147" s="13"/>
      <c r="R147" s="14">
        <f t="shared" si="6"/>
        <v>-7468851.5700000003</v>
      </c>
    </row>
    <row r="148" spans="1:18" outlineLevel="1" x14ac:dyDescent="0.2">
      <c r="A148" s="3" t="s">
        <v>3963</v>
      </c>
      <c r="B148" s="14">
        <v>-9263866.2999999989</v>
      </c>
      <c r="C148" s="13"/>
      <c r="D148" s="14">
        <v>-1048364.37</v>
      </c>
      <c r="E148" s="13"/>
      <c r="F148" s="14">
        <v>25268.42</v>
      </c>
      <c r="G148" s="13"/>
      <c r="H148" s="14">
        <v>0</v>
      </c>
      <c r="I148" s="13"/>
      <c r="J148" s="14">
        <v>0</v>
      </c>
      <c r="K148" s="13"/>
      <c r="L148" s="14">
        <v>0</v>
      </c>
      <c r="M148" s="13"/>
      <c r="N148" s="14">
        <v>0</v>
      </c>
      <c r="O148" s="13"/>
      <c r="P148" s="14">
        <v>0</v>
      </c>
      <c r="Q148" s="13"/>
      <c r="R148" s="14">
        <f t="shared" si="6"/>
        <v>-10286962.249999998</v>
      </c>
    </row>
    <row r="149" spans="1:18" outlineLevel="1" x14ac:dyDescent="0.2">
      <c r="A149" s="3" t="s">
        <v>3964</v>
      </c>
      <c r="B149" s="14">
        <v>-14486704.189999999</v>
      </c>
      <c r="C149" s="13"/>
      <c r="D149" s="14">
        <v>-1471398.65</v>
      </c>
      <c r="E149" s="13"/>
      <c r="F149" s="14">
        <v>807166.86</v>
      </c>
      <c r="G149" s="13"/>
      <c r="H149" s="14">
        <v>0</v>
      </c>
      <c r="I149" s="13"/>
      <c r="J149" s="14">
        <v>0</v>
      </c>
      <c r="K149" s="13"/>
      <c r="L149" s="14">
        <v>0</v>
      </c>
      <c r="M149" s="13"/>
      <c r="N149" s="14">
        <v>0</v>
      </c>
      <c r="O149" s="13"/>
      <c r="P149" s="14">
        <v>0</v>
      </c>
      <c r="Q149" s="13"/>
      <c r="R149" s="14">
        <f t="shared" si="6"/>
        <v>-15150935.98</v>
      </c>
    </row>
    <row r="150" spans="1:18" outlineLevel="1" x14ac:dyDescent="0.2">
      <c r="A150" s="3" t="s">
        <v>3965</v>
      </c>
      <c r="B150" s="14">
        <v>-14956571.410000004</v>
      </c>
      <c r="C150" s="13"/>
      <c r="D150" s="14">
        <v>-1491138.8</v>
      </c>
      <c r="E150" s="13"/>
      <c r="F150" s="14">
        <v>1156116.99</v>
      </c>
      <c r="G150" s="13"/>
      <c r="H150" s="14">
        <v>-147932.57</v>
      </c>
      <c r="I150" s="13"/>
      <c r="J150" s="14">
        <v>0</v>
      </c>
      <c r="K150" s="13"/>
      <c r="L150" s="14">
        <v>225954.14</v>
      </c>
      <c r="M150" s="13"/>
      <c r="N150" s="14">
        <v>0</v>
      </c>
      <c r="O150" s="13"/>
      <c r="P150" s="14">
        <v>0</v>
      </c>
      <c r="Q150" s="13"/>
      <c r="R150" s="14">
        <f t="shared" si="6"/>
        <v>-15213571.650000004</v>
      </c>
    </row>
    <row r="151" spans="1:18" outlineLevel="1" x14ac:dyDescent="0.2">
      <c r="A151" s="3" t="s">
        <v>3966</v>
      </c>
      <c r="B151" s="14">
        <v>-9670326.8199999984</v>
      </c>
      <c r="C151" s="13"/>
      <c r="D151" s="14">
        <v>-1103290.8</v>
      </c>
      <c r="E151" s="13"/>
      <c r="F151" s="14">
        <v>0</v>
      </c>
      <c r="G151" s="13"/>
      <c r="H151" s="14">
        <v>147932.57</v>
      </c>
      <c r="I151" s="13"/>
      <c r="J151" s="14">
        <v>0</v>
      </c>
      <c r="K151" s="13"/>
      <c r="L151" s="14">
        <v>0</v>
      </c>
      <c r="M151" s="13"/>
      <c r="N151" s="14">
        <v>0</v>
      </c>
      <c r="O151" s="13"/>
      <c r="P151" s="14">
        <v>0</v>
      </c>
      <c r="Q151" s="13"/>
      <c r="R151" s="14">
        <f t="shared" si="6"/>
        <v>-10625685.049999999</v>
      </c>
    </row>
    <row r="152" spans="1:18" outlineLevel="1" x14ac:dyDescent="0.2">
      <c r="A152" s="3" t="s">
        <v>3967</v>
      </c>
      <c r="B152" s="14">
        <v>-9077517.6799999997</v>
      </c>
      <c r="C152" s="13"/>
      <c r="D152" s="14">
        <v>-1064202.8400000001</v>
      </c>
      <c r="E152" s="13"/>
      <c r="F152" s="14">
        <v>0</v>
      </c>
      <c r="G152" s="13"/>
      <c r="H152" s="14">
        <v>0</v>
      </c>
      <c r="I152" s="13"/>
      <c r="J152" s="14">
        <v>0</v>
      </c>
      <c r="K152" s="13"/>
      <c r="L152" s="14">
        <v>0</v>
      </c>
      <c r="M152" s="13"/>
      <c r="N152" s="14">
        <v>0</v>
      </c>
      <c r="O152" s="13"/>
      <c r="P152" s="14">
        <v>0</v>
      </c>
      <c r="Q152" s="13"/>
      <c r="R152" s="14">
        <f t="shared" si="6"/>
        <v>-10141720.52</v>
      </c>
    </row>
    <row r="153" spans="1:18" outlineLevel="1" x14ac:dyDescent="0.2">
      <c r="A153" s="3" t="s">
        <v>3968</v>
      </c>
      <c r="B153" s="14">
        <v>-9392054.7100000009</v>
      </c>
      <c r="C153" s="13"/>
      <c r="D153" s="14">
        <v>-1047839.94</v>
      </c>
      <c r="E153" s="13"/>
      <c r="F153" s="14">
        <v>0</v>
      </c>
      <c r="G153" s="13"/>
      <c r="H153" s="14">
        <v>0</v>
      </c>
      <c r="I153" s="13"/>
      <c r="J153" s="14">
        <v>0</v>
      </c>
      <c r="K153" s="13"/>
      <c r="L153" s="14">
        <v>0</v>
      </c>
      <c r="M153" s="13"/>
      <c r="N153" s="14">
        <v>0</v>
      </c>
      <c r="O153" s="13"/>
      <c r="P153" s="14">
        <v>0</v>
      </c>
      <c r="Q153" s="13"/>
      <c r="R153" s="14">
        <f t="shared" si="6"/>
        <v>-10439894.65</v>
      </c>
    </row>
    <row r="154" spans="1:18" x14ac:dyDescent="0.2">
      <c r="A154" s="3" t="s">
        <v>3969</v>
      </c>
      <c r="B154" s="14">
        <v>-180401058.19</v>
      </c>
      <c r="C154" s="13"/>
      <c r="D154" s="14">
        <f>SUM(D139:D153)</f>
        <v>-25718874.040000003</v>
      </c>
      <c r="E154" s="13"/>
      <c r="F154" s="14">
        <f>SUM(F139:F153)</f>
        <v>2558079.84</v>
      </c>
      <c r="G154" s="13"/>
      <c r="H154" s="14">
        <f>SUM(H139:H153)</f>
        <v>0</v>
      </c>
      <c r="I154" s="13"/>
      <c r="J154" s="14">
        <f>SUM(J139:J153)</f>
        <v>0</v>
      </c>
      <c r="K154" s="13"/>
      <c r="L154" s="14">
        <f>SUM(L139:L153)</f>
        <v>256971.97</v>
      </c>
      <c r="M154" s="13"/>
      <c r="N154" s="14">
        <f>SUM(N139:N153)</f>
        <v>0</v>
      </c>
      <c r="O154" s="13"/>
      <c r="P154" s="14">
        <f>SUM(P139:P153)</f>
        <v>0</v>
      </c>
      <c r="Q154" s="13"/>
      <c r="R154" s="14">
        <f>SUM(R139:R153)</f>
        <v>-203304880.42000002</v>
      </c>
    </row>
    <row r="155" spans="1:18" outlineLevel="1" x14ac:dyDescent="0.2">
      <c r="A155" s="3" t="s">
        <v>3970</v>
      </c>
      <c r="B155" s="14">
        <v>-4638824.71</v>
      </c>
      <c r="C155" s="13"/>
      <c r="D155" s="14">
        <v>-1737312.6</v>
      </c>
      <c r="E155" s="13"/>
      <c r="F155" s="14">
        <v>0</v>
      </c>
      <c r="G155" s="13"/>
      <c r="H155" s="14">
        <v>0</v>
      </c>
      <c r="I155" s="13"/>
      <c r="J155" s="14">
        <v>0</v>
      </c>
      <c r="K155" s="13"/>
      <c r="L155" s="14">
        <v>0</v>
      </c>
      <c r="M155" s="13"/>
      <c r="N155" s="14">
        <v>0</v>
      </c>
      <c r="O155" s="13"/>
      <c r="P155" s="14">
        <v>0</v>
      </c>
      <c r="Q155" s="13"/>
      <c r="R155" s="14">
        <f>SUM(B155:P155)</f>
        <v>-6376137.3100000005</v>
      </c>
    </row>
    <row r="156" spans="1:18" outlineLevel="1" x14ac:dyDescent="0.2">
      <c r="A156" s="3" t="s">
        <v>3971</v>
      </c>
      <c r="B156" s="14">
        <v>-3255853.2300000004</v>
      </c>
      <c r="C156" s="13"/>
      <c r="D156" s="14">
        <v>-138702.42000000001</v>
      </c>
      <c r="E156" s="13"/>
      <c r="F156" s="14">
        <v>55656.82</v>
      </c>
      <c r="G156" s="13"/>
      <c r="H156" s="14">
        <v>0</v>
      </c>
      <c r="I156" s="13"/>
      <c r="J156" s="14">
        <v>0</v>
      </c>
      <c r="K156" s="13"/>
      <c r="L156" s="14">
        <v>4867.79</v>
      </c>
      <c r="M156" s="13"/>
      <c r="N156" s="14">
        <v>0</v>
      </c>
      <c r="O156" s="13"/>
      <c r="P156" s="14">
        <v>0</v>
      </c>
      <c r="Q156" s="13"/>
      <c r="R156" s="14">
        <f t="shared" ref="R156:R171" si="7">SUM(B156:P156)</f>
        <v>-3334031.0400000005</v>
      </c>
    </row>
    <row r="157" spans="1:18" outlineLevel="1" x14ac:dyDescent="0.2">
      <c r="A157" s="3" t="s">
        <v>3972</v>
      </c>
      <c r="B157" s="14">
        <v>-3045753.92</v>
      </c>
      <c r="C157" s="13"/>
      <c r="D157" s="14">
        <v>-261192.64</v>
      </c>
      <c r="E157" s="13"/>
      <c r="F157" s="14">
        <v>192604.16</v>
      </c>
      <c r="G157" s="13"/>
      <c r="H157" s="14">
        <v>0</v>
      </c>
      <c r="I157" s="13"/>
      <c r="J157" s="14">
        <v>0</v>
      </c>
      <c r="K157" s="13"/>
      <c r="L157" s="14">
        <v>4867.79</v>
      </c>
      <c r="M157" s="13"/>
      <c r="N157" s="14">
        <v>0</v>
      </c>
      <c r="O157" s="13"/>
      <c r="P157" s="14">
        <v>0</v>
      </c>
      <c r="Q157" s="13"/>
      <c r="R157" s="14">
        <f t="shared" si="7"/>
        <v>-3109474.61</v>
      </c>
    </row>
    <row r="158" spans="1:18" outlineLevel="1" x14ac:dyDescent="0.2">
      <c r="A158" s="3" t="s">
        <v>3973</v>
      </c>
      <c r="B158" s="14">
        <v>-1430018.2999999998</v>
      </c>
      <c r="C158" s="13"/>
      <c r="D158" s="14">
        <v>-108652.74</v>
      </c>
      <c r="E158" s="13"/>
      <c r="F158" s="14">
        <v>0</v>
      </c>
      <c r="G158" s="13"/>
      <c r="H158" s="14">
        <v>0</v>
      </c>
      <c r="I158" s="13"/>
      <c r="J158" s="14">
        <v>0</v>
      </c>
      <c r="K158" s="13"/>
      <c r="L158" s="14">
        <v>0</v>
      </c>
      <c r="M158" s="13"/>
      <c r="N158" s="14">
        <v>0</v>
      </c>
      <c r="O158" s="13"/>
      <c r="P158" s="14">
        <v>0</v>
      </c>
      <c r="Q158" s="13"/>
      <c r="R158" s="14">
        <f t="shared" si="7"/>
        <v>-1538671.0399999998</v>
      </c>
    </row>
    <row r="159" spans="1:18" outlineLevel="1" x14ac:dyDescent="0.2">
      <c r="A159" s="3" t="s">
        <v>3974</v>
      </c>
      <c r="B159" s="14">
        <v>-2126883.36</v>
      </c>
      <c r="C159" s="13"/>
      <c r="D159" s="14">
        <v>-141413.74</v>
      </c>
      <c r="E159" s="13"/>
      <c r="F159" s="14">
        <v>0</v>
      </c>
      <c r="G159" s="13"/>
      <c r="H159" s="14">
        <v>0</v>
      </c>
      <c r="I159" s="13"/>
      <c r="J159" s="14">
        <v>0</v>
      </c>
      <c r="K159" s="13"/>
      <c r="L159" s="14">
        <v>0</v>
      </c>
      <c r="M159" s="13"/>
      <c r="N159" s="14">
        <v>0</v>
      </c>
      <c r="O159" s="13"/>
      <c r="P159" s="14">
        <v>0</v>
      </c>
      <c r="Q159" s="13"/>
      <c r="R159" s="14">
        <f t="shared" si="7"/>
        <v>-2268297.0999999996</v>
      </c>
    </row>
    <row r="160" spans="1:18" outlineLevel="1" x14ac:dyDescent="0.2">
      <c r="A160" s="3" t="s">
        <v>3975</v>
      </c>
      <c r="B160" s="14">
        <v>-2106468.71</v>
      </c>
      <c r="C160" s="13"/>
      <c r="D160" s="14">
        <v>-143825.73000000001</v>
      </c>
      <c r="E160" s="13"/>
      <c r="F160" s="14">
        <v>0</v>
      </c>
      <c r="G160" s="13"/>
      <c r="H160" s="14">
        <v>0</v>
      </c>
      <c r="I160" s="13"/>
      <c r="J160" s="14">
        <v>0</v>
      </c>
      <c r="K160" s="13"/>
      <c r="L160" s="14">
        <v>0</v>
      </c>
      <c r="M160" s="13"/>
      <c r="N160" s="14">
        <v>0</v>
      </c>
      <c r="O160" s="13"/>
      <c r="P160" s="14">
        <v>0</v>
      </c>
      <c r="Q160" s="13"/>
      <c r="R160" s="14">
        <f t="shared" si="7"/>
        <v>-2250294.44</v>
      </c>
    </row>
    <row r="161" spans="1:18" outlineLevel="1" x14ac:dyDescent="0.2">
      <c r="A161" s="3" t="s">
        <v>3976</v>
      </c>
      <c r="B161" s="14">
        <v>-3605211.2299999995</v>
      </c>
      <c r="C161" s="13"/>
      <c r="D161" s="14">
        <v>-187510.13</v>
      </c>
      <c r="E161" s="13"/>
      <c r="F161" s="14">
        <v>55656.82</v>
      </c>
      <c r="G161" s="13"/>
      <c r="H161" s="14">
        <v>0</v>
      </c>
      <c r="I161" s="13"/>
      <c r="J161" s="14">
        <v>0</v>
      </c>
      <c r="K161" s="13"/>
      <c r="L161" s="14">
        <v>4867.79</v>
      </c>
      <c r="M161" s="13"/>
      <c r="N161" s="14">
        <v>0</v>
      </c>
      <c r="O161" s="13"/>
      <c r="P161" s="14">
        <v>0</v>
      </c>
      <c r="Q161" s="13"/>
      <c r="R161" s="14">
        <f t="shared" si="7"/>
        <v>-3732196.7499999995</v>
      </c>
    </row>
    <row r="162" spans="1:18" outlineLevel="1" x14ac:dyDescent="0.2">
      <c r="A162" s="3" t="s">
        <v>3977</v>
      </c>
      <c r="B162" s="14">
        <v>-3730373.6500000004</v>
      </c>
      <c r="C162" s="13"/>
      <c r="D162" s="14">
        <v>-143247.20000000001</v>
      </c>
      <c r="E162" s="13"/>
      <c r="F162" s="14">
        <v>55148.36</v>
      </c>
      <c r="G162" s="13"/>
      <c r="H162" s="14">
        <v>0</v>
      </c>
      <c r="I162" s="13"/>
      <c r="J162" s="14">
        <v>0</v>
      </c>
      <c r="K162" s="13"/>
      <c r="L162" s="14">
        <v>4867.79</v>
      </c>
      <c r="M162" s="13"/>
      <c r="N162" s="14">
        <v>0</v>
      </c>
      <c r="O162" s="13"/>
      <c r="P162" s="14">
        <v>0</v>
      </c>
      <c r="Q162" s="13"/>
      <c r="R162" s="14">
        <f>SUM(B162:P162)</f>
        <v>-3813604.7000000007</v>
      </c>
    </row>
    <row r="163" spans="1:18" outlineLevel="1" x14ac:dyDescent="0.2">
      <c r="A163" s="43" t="s">
        <v>3978</v>
      </c>
      <c r="B163" s="14">
        <v>-327054.75</v>
      </c>
      <c r="C163" s="13"/>
      <c r="D163" s="14">
        <v>-620607.71</v>
      </c>
      <c r="E163" s="13"/>
      <c r="F163" s="14">
        <v>0</v>
      </c>
      <c r="G163" s="13"/>
      <c r="H163" s="14">
        <v>0</v>
      </c>
      <c r="I163" s="13"/>
      <c r="J163" s="14">
        <v>0</v>
      </c>
      <c r="K163" s="13"/>
      <c r="L163" s="14">
        <v>0</v>
      </c>
      <c r="M163" s="13"/>
      <c r="N163" s="14">
        <v>0</v>
      </c>
      <c r="O163" s="13"/>
      <c r="P163" s="14">
        <v>0</v>
      </c>
      <c r="Q163" s="13"/>
      <c r="R163" s="14">
        <f>SUM(B163:P163)</f>
        <v>-947662.46</v>
      </c>
    </row>
    <row r="164" spans="1:18" outlineLevel="1" x14ac:dyDescent="0.2">
      <c r="A164" s="3" t="s">
        <v>3979</v>
      </c>
      <c r="B164" s="14">
        <v>-2392759.4499999997</v>
      </c>
      <c r="C164" s="13"/>
      <c r="D164" s="14">
        <v>-97629.78</v>
      </c>
      <c r="E164" s="13"/>
      <c r="F164" s="14">
        <v>0</v>
      </c>
      <c r="G164" s="13"/>
      <c r="H164" s="14">
        <v>0</v>
      </c>
      <c r="I164" s="13"/>
      <c r="J164" s="14">
        <v>0</v>
      </c>
      <c r="K164" s="13"/>
      <c r="L164" s="14">
        <v>0</v>
      </c>
      <c r="M164" s="13"/>
      <c r="N164" s="14">
        <v>0</v>
      </c>
      <c r="O164" s="13"/>
      <c r="P164" s="14">
        <v>0</v>
      </c>
      <c r="Q164" s="13"/>
      <c r="R164" s="14">
        <f t="shared" si="7"/>
        <v>-2490389.2299999995</v>
      </c>
    </row>
    <row r="165" spans="1:18" outlineLevel="1" x14ac:dyDescent="0.2">
      <c r="A165" s="3" t="s">
        <v>3980</v>
      </c>
      <c r="B165" s="14">
        <v>-2458859.7199999997</v>
      </c>
      <c r="C165" s="13"/>
      <c r="D165" s="14">
        <v>-209854.24</v>
      </c>
      <c r="E165" s="13"/>
      <c r="F165" s="14">
        <v>0</v>
      </c>
      <c r="G165" s="13"/>
      <c r="H165" s="14">
        <v>0</v>
      </c>
      <c r="I165" s="13"/>
      <c r="J165" s="14">
        <v>0</v>
      </c>
      <c r="K165" s="13"/>
      <c r="L165" s="14">
        <v>0</v>
      </c>
      <c r="M165" s="13"/>
      <c r="N165" s="14">
        <v>0</v>
      </c>
      <c r="O165" s="13"/>
      <c r="P165" s="14">
        <v>0</v>
      </c>
      <c r="Q165" s="13"/>
      <c r="R165" s="14">
        <f t="shared" si="7"/>
        <v>-2668713.96</v>
      </c>
    </row>
    <row r="166" spans="1:18" outlineLevel="1" x14ac:dyDescent="0.2">
      <c r="A166" s="3" t="s">
        <v>3981</v>
      </c>
      <c r="B166" s="14">
        <v>-1253036.6599999997</v>
      </c>
      <c r="C166" s="13"/>
      <c r="D166" s="14">
        <v>-108525.41</v>
      </c>
      <c r="E166" s="13"/>
      <c r="F166" s="14">
        <v>5987.03</v>
      </c>
      <c r="G166" s="13"/>
      <c r="H166" s="14">
        <v>0</v>
      </c>
      <c r="I166" s="13"/>
      <c r="J166" s="14">
        <v>0</v>
      </c>
      <c r="K166" s="13"/>
      <c r="L166" s="14">
        <v>0</v>
      </c>
      <c r="M166" s="13"/>
      <c r="N166" s="14">
        <v>0</v>
      </c>
      <c r="O166" s="13"/>
      <c r="P166" s="14">
        <v>0</v>
      </c>
      <c r="Q166" s="13"/>
      <c r="R166" s="14">
        <f t="shared" si="7"/>
        <v>-1355575.0399999996</v>
      </c>
    </row>
    <row r="167" spans="1:18" outlineLevel="1" x14ac:dyDescent="0.2">
      <c r="A167" s="3" t="s">
        <v>3982</v>
      </c>
      <c r="B167" s="14">
        <v>-1825765.2400000002</v>
      </c>
      <c r="C167" s="13"/>
      <c r="D167" s="14">
        <v>-146651.6</v>
      </c>
      <c r="E167" s="13"/>
      <c r="F167" s="14">
        <v>7291.86</v>
      </c>
      <c r="G167" s="13"/>
      <c r="H167" s="14">
        <v>0</v>
      </c>
      <c r="I167" s="13"/>
      <c r="J167" s="14">
        <v>0</v>
      </c>
      <c r="K167" s="13"/>
      <c r="L167" s="14">
        <v>0</v>
      </c>
      <c r="M167" s="13"/>
      <c r="N167" s="14">
        <v>0</v>
      </c>
      <c r="O167" s="13"/>
      <c r="P167" s="14">
        <v>0</v>
      </c>
      <c r="Q167" s="13"/>
      <c r="R167" s="14">
        <f t="shared" si="7"/>
        <v>-1965124.9800000002</v>
      </c>
    </row>
    <row r="168" spans="1:18" outlineLevel="1" x14ac:dyDescent="0.2">
      <c r="A168" s="3" t="s">
        <v>3983</v>
      </c>
      <c r="B168" s="14">
        <v>-1823124.9799999997</v>
      </c>
      <c r="C168" s="13"/>
      <c r="D168" s="14">
        <v>-142702.38</v>
      </c>
      <c r="E168" s="13"/>
      <c r="F168" s="14">
        <v>87742.05</v>
      </c>
      <c r="G168" s="13"/>
      <c r="H168" s="14">
        <v>0</v>
      </c>
      <c r="I168" s="13"/>
      <c r="J168" s="14">
        <v>0</v>
      </c>
      <c r="K168" s="13"/>
      <c r="L168" s="14">
        <v>0</v>
      </c>
      <c r="M168" s="13"/>
      <c r="N168" s="14">
        <v>0</v>
      </c>
      <c r="O168" s="13"/>
      <c r="P168" s="14">
        <v>0</v>
      </c>
      <c r="Q168" s="13"/>
      <c r="R168" s="14">
        <f t="shared" si="7"/>
        <v>-1878085.3099999998</v>
      </c>
    </row>
    <row r="169" spans="1:18" outlineLevel="1" x14ac:dyDescent="0.2">
      <c r="A169" s="3" t="s">
        <v>3984</v>
      </c>
      <c r="B169" s="14">
        <v>-1258476.0499999998</v>
      </c>
      <c r="C169" s="13"/>
      <c r="D169" s="14">
        <v>-108080.48</v>
      </c>
      <c r="E169" s="13"/>
      <c r="F169" s="14">
        <v>5248.1</v>
      </c>
      <c r="G169" s="13"/>
      <c r="H169" s="14">
        <v>0</v>
      </c>
      <c r="I169" s="13"/>
      <c r="J169" s="14">
        <v>0</v>
      </c>
      <c r="K169" s="13"/>
      <c r="L169" s="14">
        <v>0</v>
      </c>
      <c r="M169" s="13"/>
      <c r="N169" s="14">
        <v>0</v>
      </c>
      <c r="O169" s="13"/>
      <c r="P169" s="14">
        <v>0</v>
      </c>
      <c r="Q169" s="13"/>
      <c r="R169" s="14">
        <f t="shared" si="7"/>
        <v>-1361308.4299999997</v>
      </c>
    </row>
    <row r="170" spans="1:18" outlineLevel="1" x14ac:dyDescent="0.2">
      <c r="A170" s="3" t="s">
        <v>3985</v>
      </c>
      <c r="B170" s="14">
        <v>-1253224.6600000001</v>
      </c>
      <c r="C170" s="13"/>
      <c r="D170" s="14">
        <v>-107633.98</v>
      </c>
      <c r="E170" s="13"/>
      <c r="F170" s="14">
        <v>5220.6499999999996</v>
      </c>
      <c r="G170" s="13"/>
      <c r="H170" s="14">
        <v>0</v>
      </c>
      <c r="I170" s="13"/>
      <c r="J170" s="14">
        <v>0</v>
      </c>
      <c r="K170" s="13"/>
      <c r="L170" s="14">
        <v>0</v>
      </c>
      <c r="M170" s="13"/>
      <c r="N170" s="14">
        <v>0</v>
      </c>
      <c r="O170" s="13"/>
      <c r="P170" s="14">
        <v>0</v>
      </c>
      <c r="Q170" s="13"/>
      <c r="R170" s="14">
        <f t="shared" si="7"/>
        <v>-1355637.9900000002</v>
      </c>
    </row>
    <row r="171" spans="1:18" outlineLevel="1" x14ac:dyDescent="0.2">
      <c r="A171" s="3" t="s">
        <v>3986</v>
      </c>
      <c r="B171" s="14">
        <v>-830688.58999999985</v>
      </c>
      <c r="C171" s="13"/>
      <c r="D171" s="14">
        <v>-125768.81</v>
      </c>
      <c r="E171" s="13"/>
      <c r="F171" s="14">
        <v>5443.26</v>
      </c>
      <c r="G171" s="13"/>
      <c r="H171" s="14">
        <v>0</v>
      </c>
      <c r="I171" s="13"/>
      <c r="J171" s="14">
        <v>0</v>
      </c>
      <c r="K171" s="13"/>
      <c r="L171" s="14">
        <v>121215.17</v>
      </c>
      <c r="M171" s="13"/>
      <c r="N171" s="14">
        <v>0</v>
      </c>
      <c r="O171" s="13"/>
      <c r="P171" s="14">
        <v>0</v>
      </c>
      <c r="Q171" s="13"/>
      <c r="R171" s="14">
        <f t="shared" si="7"/>
        <v>-829798.96999999986</v>
      </c>
    </row>
    <row r="172" spans="1:18" x14ac:dyDescent="0.2">
      <c r="A172" s="3" t="s">
        <v>3987</v>
      </c>
      <c r="B172" s="14">
        <v>-37362377.209999993</v>
      </c>
      <c r="C172" s="13"/>
      <c r="D172" s="14">
        <f>SUM(D155:D171)</f>
        <v>-4529311.5900000008</v>
      </c>
      <c r="E172" s="13"/>
      <c r="F172" s="14">
        <f>SUM(F155:F171)</f>
        <v>475999.11</v>
      </c>
      <c r="G172" s="13"/>
      <c r="H172" s="14">
        <f>SUM(H155:H171)</f>
        <v>0</v>
      </c>
      <c r="I172" s="13"/>
      <c r="J172" s="14">
        <f>SUM(J155:J171)</f>
        <v>0</v>
      </c>
      <c r="K172" s="13"/>
      <c r="L172" s="14">
        <f>SUM(L155:L171)</f>
        <v>140686.32999999999</v>
      </c>
      <c r="M172" s="13"/>
      <c r="N172" s="14">
        <f>SUM(N155:N171)</f>
        <v>0</v>
      </c>
      <c r="O172" s="13"/>
      <c r="P172" s="14">
        <f>SUM(P155:P171)</f>
        <v>0</v>
      </c>
      <c r="Q172" s="13"/>
      <c r="R172" s="14">
        <f>SUM(R155:R171)</f>
        <v>-41275003.359999999</v>
      </c>
    </row>
    <row r="173" spans="1:18" outlineLevel="1" x14ac:dyDescent="0.2">
      <c r="A173" s="3" t="s">
        <v>3988</v>
      </c>
      <c r="B173" s="14">
        <v>-1091288.03</v>
      </c>
      <c r="C173" s="13"/>
      <c r="D173" s="14">
        <v>-548977.97</v>
      </c>
      <c r="E173" s="13"/>
      <c r="F173" s="14">
        <v>0</v>
      </c>
      <c r="G173" s="13"/>
      <c r="H173" s="14">
        <v>0</v>
      </c>
      <c r="I173" s="13"/>
      <c r="J173" s="14">
        <v>0</v>
      </c>
      <c r="K173" s="13"/>
      <c r="L173" s="14">
        <v>0</v>
      </c>
      <c r="M173" s="13"/>
      <c r="N173" s="14">
        <v>0</v>
      </c>
      <c r="O173" s="13"/>
      <c r="P173" s="14">
        <v>0</v>
      </c>
      <c r="Q173" s="13"/>
      <c r="R173" s="14">
        <f>SUM(B173:P173)</f>
        <v>-1640266</v>
      </c>
    </row>
    <row r="174" spans="1:18" outlineLevel="1" x14ac:dyDescent="0.2">
      <c r="A174" s="3" t="s">
        <v>3989</v>
      </c>
      <c r="B174" s="14">
        <v>-1757009.7300000002</v>
      </c>
      <c r="C174" s="13"/>
      <c r="D174" s="14">
        <v>-109873.44</v>
      </c>
      <c r="E174" s="13"/>
      <c r="F174" s="14">
        <v>0</v>
      </c>
      <c r="G174" s="13"/>
      <c r="H174" s="14">
        <v>0</v>
      </c>
      <c r="I174" s="13"/>
      <c r="J174" s="14">
        <v>0</v>
      </c>
      <c r="K174" s="13"/>
      <c r="L174" s="14">
        <v>0</v>
      </c>
      <c r="M174" s="13"/>
      <c r="N174" s="14">
        <v>0</v>
      </c>
      <c r="O174" s="13"/>
      <c r="P174" s="14">
        <v>0</v>
      </c>
      <c r="Q174" s="13"/>
      <c r="R174" s="14">
        <f t="shared" ref="R174:R189" si="8">SUM(B174:P174)</f>
        <v>-1866883.1700000002</v>
      </c>
    </row>
    <row r="175" spans="1:18" outlineLevel="1" x14ac:dyDescent="0.2">
      <c r="A175" s="3" t="s">
        <v>3990</v>
      </c>
      <c r="B175" s="14">
        <v>-1487507.5799999998</v>
      </c>
      <c r="C175" s="13"/>
      <c r="D175" s="14">
        <v>-113509.5</v>
      </c>
      <c r="E175" s="13"/>
      <c r="F175" s="14">
        <v>0</v>
      </c>
      <c r="G175" s="13"/>
      <c r="H175" s="14">
        <v>0</v>
      </c>
      <c r="I175" s="13"/>
      <c r="J175" s="14">
        <v>0</v>
      </c>
      <c r="K175" s="13"/>
      <c r="L175" s="14">
        <v>0</v>
      </c>
      <c r="M175" s="13"/>
      <c r="N175" s="14">
        <v>0</v>
      </c>
      <c r="O175" s="13"/>
      <c r="P175" s="14">
        <v>0</v>
      </c>
      <c r="Q175" s="13"/>
      <c r="R175" s="14">
        <f t="shared" si="8"/>
        <v>-1601017.0799999998</v>
      </c>
    </row>
    <row r="176" spans="1:18" outlineLevel="1" x14ac:dyDescent="0.2">
      <c r="A176" s="3" t="s">
        <v>3991</v>
      </c>
      <c r="B176" s="14">
        <v>-1093615.17</v>
      </c>
      <c r="C176" s="13"/>
      <c r="D176" s="14">
        <v>-93910.98</v>
      </c>
      <c r="E176" s="13"/>
      <c r="F176" s="14">
        <v>0</v>
      </c>
      <c r="G176" s="13"/>
      <c r="H176" s="14">
        <v>0</v>
      </c>
      <c r="I176" s="13"/>
      <c r="J176" s="14">
        <v>0</v>
      </c>
      <c r="K176" s="13"/>
      <c r="L176" s="14">
        <v>0</v>
      </c>
      <c r="M176" s="13"/>
      <c r="N176" s="14">
        <v>0</v>
      </c>
      <c r="O176" s="13"/>
      <c r="P176" s="14">
        <v>0</v>
      </c>
      <c r="Q176" s="13"/>
      <c r="R176" s="14">
        <f t="shared" si="8"/>
        <v>-1187526.1499999999</v>
      </c>
    </row>
    <row r="177" spans="1:18" outlineLevel="1" x14ac:dyDescent="0.2">
      <c r="A177" s="3" t="s">
        <v>3992</v>
      </c>
      <c r="B177" s="14">
        <v>-1068287.95</v>
      </c>
      <c r="C177" s="13"/>
      <c r="D177" s="14">
        <v>-85484.59</v>
      </c>
      <c r="E177" s="13"/>
      <c r="F177" s="14">
        <v>0</v>
      </c>
      <c r="G177" s="13"/>
      <c r="H177" s="14">
        <v>0</v>
      </c>
      <c r="I177" s="13"/>
      <c r="J177" s="14">
        <v>0</v>
      </c>
      <c r="K177" s="13"/>
      <c r="L177" s="14">
        <v>0</v>
      </c>
      <c r="M177" s="13"/>
      <c r="N177" s="14">
        <v>0</v>
      </c>
      <c r="O177" s="13"/>
      <c r="P177" s="14">
        <v>0</v>
      </c>
      <c r="Q177" s="13"/>
      <c r="R177" s="14">
        <f t="shared" si="8"/>
        <v>-1153772.54</v>
      </c>
    </row>
    <row r="178" spans="1:18" outlineLevel="1" x14ac:dyDescent="0.2">
      <c r="A178" s="3" t="s">
        <v>3993</v>
      </c>
      <c r="B178" s="14">
        <v>-1045488.6799999999</v>
      </c>
      <c r="C178" s="13"/>
      <c r="D178" s="14">
        <v>-83959.56</v>
      </c>
      <c r="E178" s="13"/>
      <c r="F178" s="14">
        <v>0</v>
      </c>
      <c r="G178" s="13"/>
      <c r="H178" s="14">
        <v>0</v>
      </c>
      <c r="I178" s="13"/>
      <c r="J178" s="14">
        <v>0</v>
      </c>
      <c r="K178" s="13"/>
      <c r="L178" s="14">
        <v>0</v>
      </c>
      <c r="M178" s="13"/>
      <c r="N178" s="14">
        <v>0</v>
      </c>
      <c r="O178" s="13"/>
      <c r="P178" s="14">
        <v>0</v>
      </c>
      <c r="Q178" s="13"/>
      <c r="R178" s="14">
        <f t="shared" si="8"/>
        <v>-1129448.24</v>
      </c>
    </row>
    <row r="179" spans="1:18" outlineLevel="1" x14ac:dyDescent="0.2">
      <c r="A179" s="3" t="s">
        <v>3994</v>
      </c>
      <c r="B179" s="14">
        <v>-1884820.1099999996</v>
      </c>
      <c r="C179" s="13"/>
      <c r="D179" s="14">
        <v>-164154.72</v>
      </c>
      <c r="E179" s="13"/>
      <c r="F179" s="14">
        <v>0</v>
      </c>
      <c r="G179" s="13"/>
      <c r="H179" s="14">
        <v>0</v>
      </c>
      <c r="I179" s="13"/>
      <c r="J179" s="14">
        <v>0</v>
      </c>
      <c r="K179" s="13"/>
      <c r="L179" s="14">
        <v>0</v>
      </c>
      <c r="M179" s="13"/>
      <c r="N179" s="14">
        <v>0</v>
      </c>
      <c r="O179" s="13"/>
      <c r="P179" s="14">
        <v>0</v>
      </c>
      <c r="Q179" s="13"/>
      <c r="R179" s="14">
        <f t="shared" si="8"/>
        <v>-2048974.8299999996</v>
      </c>
    </row>
    <row r="180" spans="1:18" outlineLevel="1" x14ac:dyDescent="0.2">
      <c r="A180" s="3" t="s">
        <v>3995</v>
      </c>
      <c r="B180" s="14">
        <v>-2636910.3000000003</v>
      </c>
      <c r="C180" s="13"/>
      <c r="D180" s="14">
        <v>-158648.19</v>
      </c>
      <c r="E180" s="13"/>
      <c r="F180" s="14">
        <v>0</v>
      </c>
      <c r="G180" s="13"/>
      <c r="H180" s="14">
        <v>0</v>
      </c>
      <c r="I180" s="13"/>
      <c r="J180" s="14">
        <v>0</v>
      </c>
      <c r="K180" s="13"/>
      <c r="L180" s="14">
        <v>0</v>
      </c>
      <c r="M180" s="13"/>
      <c r="N180" s="14">
        <v>0</v>
      </c>
      <c r="O180" s="13"/>
      <c r="P180" s="14">
        <v>0</v>
      </c>
      <c r="Q180" s="13"/>
      <c r="R180" s="14">
        <f t="shared" si="8"/>
        <v>-2795558.49</v>
      </c>
    </row>
    <row r="181" spans="1:18" outlineLevel="1" x14ac:dyDescent="0.2">
      <c r="A181" s="43" t="s">
        <v>3996</v>
      </c>
      <c r="B181" s="14">
        <v>-15968.27</v>
      </c>
      <c r="C181" s="13"/>
      <c r="D181" s="14">
        <v>-29884.55</v>
      </c>
      <c r="E181" s="13"/>
      <c r="F181" s="14">
        <v>0</v>
      </c>
      <c r="G181" s="13"/>
      <c r="H181" s="14">
        <v>0</v>
      </c>
      <c r="I181" s="13"/>
      <c r="J181" s="14">
        <v>0</v>
      </c>
      <c r="K181" s="13"/>
      <c r="L181" s="14">
        <v>0</v>
      </c>
      <c r="M181" s="13"/>
      <c r="N181" s="14">
        <v>0</v>
      </c>
      <c r="O181" s="13"/>
      <c r="P181" s="14">
        <v>0</v>
      </c>
      <c r="Q181" s="13"/>
      <c r="R181" s="14">
        <f t="shared" si="8"/>
        <v>-45852.82</v>
      </c>
    </row>
    <row r="182" spans="1:18" outlineLevel="1" x14ac:dyDescent="0.2">
      <c r="A182" s="3" t="s">
        <v>3997</v>
      </c>
      <c r="B182" s="14">
        <v>-168144.88000000003</v>
      </c>
      <c r="C182" s="13"/>
      <c r="D182" s="14">
        <v>-121704.84</v>
      </c>
      <c r="E182" s="13"/>
      <c r="F182" s="14">
        <v>0</v>
      </c>
      <c r="G182" s="13"/>
      <c r="H182" s="14">
        <v>0</v>
      </c>
      <c r="I182" s="13"/>
      <c r="J182" s="14">
        <v>0</v>
      </c>
      <c r="K182" s="13"/>
      <c r="L182" s="14">
        <v>0</v>
      </c>
      <c r="M182" s="13"/>
      <c r="N182" s="14">
        <v>0</v>
      </c>
      <c r="O182" s="13"/>
      <c r="P182" s="14">
        <v>0</v>
      </c>
      <c r="Q182" s="13"/>
      <c r="R182" s="14">
        <f t="shared" si="8"/>
        <v>-289849.72000000003</v>
      </c>
    </row>
    <row r="183" spans="1:18" outlineLevel="1" x14ac:dyDescent="0.2">
      <c r="A183" s="3" t="s">
        <v>3998</v>
      </c>
      <c r="B183" s="14">
        <v>-1231788.8700000001</v>
      </c>
      <c r="C183" s="13"/>
      <c r="D183" s="14">
        <v>-95361.66</v>
      </c>
      <c r="E183" s="13"/>
      <c r="F183" s="14">
        <v>0</v>
      </c>
      <c r="G183" s="13"/>
      <c r="H183" s="14">
        <v>0</v>
      </c>
      <c r="I183" s="13"/>
      <c r="J183" s="14">
        <v>0</v>
      </c>
      <c r="K183" s="13"/>
      <c r="L183" s="14">
        <v>0</v>
      </c>
      <c r="M183" s="13"/>
      <c r="N183" s="14">
        <v>0</v>
      </c>
      <c r="O183" s="13"/>
      <c r="P183" s="14">
        <v>0</v>
      </c>
      <c r="Q183" s="13"/>
      <c r="R183" s="14">
        <f t="shared" si="8"/>
        <v>-1327150.53</v>
      </c>
    </row>
    <row r="184" spans="1:18" outlineLevel="1" x14ac:dyDescent="0.2">
      <c r="A184" s="3" t="s">
        <v>3999</v>
      </c>
      <c r="B184" s="14">
        <v>-2796446.6600000006</v>
      </c>
      <c r="C184" s="13"/>
      <c r="D184" s="14">
        <v>-302573.96000000002</v>
      </c>
      <c r="E184" s="13"/>
      <c r="F184" s="14">
        <v>0</v>
      </c>
      <c r="G184" s="13"/>
      <c r="H184" s="14">
        <v>0</v>
      </c>
      <c r="I184" s="13"/>
      <c r="J184" s="14">
        <v>0</v>
      </c>
      <c r="K184" s="13"/>
      <c r="L184" s="14">
        <v>0</v>
      </c>
      <c r="M184" s="13"/>
      <c r="N184" s="14">
        <v>0</v>
      </c>
      <c r="O184" s="13"/>
      <c r="P184" s="14">
        <v>0</v>
      </c>
      <c r="Q184" s="13"/>
      <c r="R184" s="14">
        <f t="shared" si="8"/>
        <v>-3099020.6200000006</v>
      </c>
    </row>
    <row r="185" spans="1:18" outlineLevel="1" x14ac:dyDescent="0.2">
      <c r="A185" s="3" t="s">
        <v>4000</v>
      </c>
      <c r="B185" s="14">
        <v>-783762.95000000007</v>
      </c>
      <c r="C185" s="13"/>
      <c r="D185" s="14">
        <v>-70494.960000000006</v>
      </c>
      <c r="E185" s="13"/>
      <c r="F185" s="14">
        <v>0</v>
      </c>
      <c r="G185" s="13"/>
      <c r="H185" s="14">
        <v>0</v>
      </c>
      <c r="I185" s="13"/>
      <c r="J185" s="14">
        <v>0</v>
      </c>
      <c r="K185" s="13"/>
      <c r="L185" s="14">
        <v>0</v>
      </c>
      <c r="M185" s="13"/>
      <c r="N185" s="14">
        <v>0</v>
      </c>
      <c r="O185" s="13"/>
      <c r="P185" s="14">
        <v>0</v>
      </c>
      <c r="Q185" s="13"/>
      <c r="R185" s="14">
        <f t="shared" si="8"/>
        <v>-854257.91</v>
      </c>
    </row>
    <row r="186" spans="1:18" outlineLevel="1" x14ac:dyDescent="0.2">
      <c r="A186" s="3" t="s">
        <v>4001</v>
      </c>
      <c r="B186" s="14">
        <v>-1828998.74</v>
      </c>
      <c r="C186" s="13"/>
      <c r="D186" s="14">
        <v>-189251.7</v>
      </c>
      <c r="E186" s="13"/>
      <c r="F186" s="14">
        <v>0</v>
      </c>
      <c r="G186" s="13"/>
      <c r="H186" s="14">
        <v>0</v>
      </c>
      <c r="I186" s="13"/>
      <c r="J186" s="14">
        <v>0</v>
      </c>
      <c r="K186" s="13"/>
      <c r="L186" s="14">
        <v>0</v>
      </c>
      <c r="M186" s="13"/>
      <c r="N186" s="14">
        <v>0</v>
      </c>
      <c r="O186" s="13"/>
      <c r="P186" s="14">
        <v>0</v>
      </c>
      <c r="Q186" s="13"/>
      <c r="R186" s="14">
        <f t="shared" si="8"/>
        <v>-2018250.44</v>
      </c>
    </row>
    <row r="187" spans="1:18" outlineLevel="1" x14ac:dyDescent="0.2">
      <c r="A187" s="3" t="s">
        <v>4002</v>
      </c>
      <c r="B187" s="14">
        <v>-1351081.9500000002</v>
      </c>
      <c r="C187" s="13"/>
      <c r="D187" s="14">
        <v>-142665.35999999999</v>
      </c>
      <c r="E187" s="13"/>
      <c r="F187" s="14">
        <v>0</v>
      </c>
      <c r="G187" s="13"/>
      <c r="H187" s="14">
        <v>0</v>
      </c>
      <c r="I187" s="13"/>
      <c r="J187" s="14">
        <v>0</v>
      </c>
      <c r="K187" s="13"/>
      <c r="L187" s="14">
        <v>0</v>
      </c>
      <c r="M187" s="13"/>
      <c r="N187" s="14">
        <v>0</v>
      </c>
      <c r="O187" s="13"/>
      <c r="P187" s="14">
        <v>0</v>
      </c>
      <c r="Q187" s="13"/>
      <c r="R187" s="14">
        <f t="shared" si="8"/>
        <v>-1493747.31</v>
      </c>
    </row>
    <row r="188" spans="1:18" outlineLevel="1" x14ac:dyDescent="0.2">
      <c r="A188" s="3" t="s">
        <v>4003</v>
      </c>
      <c r="B188" s="14">
        <v>-1346498.9000000001</v>
      </c>
      <c r="C188" s="13"/>
      <c r="D188" s="14">
        <v>-122774.94</v>
      </c>
      <c r="E188" s="13"/>
      <c r="F188" s="14">
        <v>0</v>
      </c>
      <c r="G188" s="13"/>
      <c r="H188" s="14">
        <v>0</v>
      </c>
      <c r="I188" s="13"/>
      <c r="J188" s="14">
        <v>0</v>
      </c>
      <c r="K188" s="13"/>
      <c r="L188" s="14">
        <v>0</v>
      </c>
      <c r="M188" s="13"/>
      <c r="N188" s="14">
        <v>0</v>
      </c>
      <c r="O188" s="13"/>
      <c r="P188" s="14">
        <v>0</v>
      </c>
      <c r="Q188" s="13"/>
      <c r="R188" s="14">
        <f t="shared" si="8"/>
        <v>-1469273.84</v>
      </c>
    </row>
    <row r="189" spans="1:18" outlineLevel="1" x14ac:dyDescent="0.2">
      <c r="A189" s="3" t="s">
        <v>4004</v>
      </c>
      <c r="B189" s="14">
        <v>-1377834.9000000001</v>
      </c>
      <c r="C189" s="13"/>
      <c r="D189" s="14">
        <v>-122248.08</v>
      </c>
      <c r="E189" s="13"/>
      <c r="F189" s="14">
        <v>0</v>
      </c>
      <c r="G189" s="13"/>
      <c r="H189" s="14">
        <v>0</v>
      </c>
      <c r="I189" s="13"/>
      <c r="J189" s="14">
        <v>0</v>
      </c>
      <c r="K189" s="13"/>
      <c r="L189" s="14">
        <v>0</v>
      </c>
      <c r="M189" s="13"/>
      <c r="N189" s="14">
        <v>0</v>
      </c>
      <c r="O189" s="13"/>
      <c r="P189" s="14">
        <v>0</v>
      </c>
      <c r="Q189" s="13"/>
      <c r="R189" s="14">
        <f t="shared" si="8"/>
        <v>-1500082.9800000002</v>
      </c>
    </row>
    <row r="190" spans="1:18" x14ac:dyDescent="0.2">
      <c r="A190" s="3" t="s">
        <v>4005</v>
      </c>
      <c r="B190" s="14">
        <v>-22965453.669999994</v>
      </c>
      <c r="C190" s="13"/>
      <c r="D190" s="14">
        <f>SUM(D173:D189)</f>
        <v>-2555478.9999999995</v>
      </c>
      <c r="E190" s="13"/>
      <c r="F190" s="14">
        <f>SUM(F173:F189)</f>
        <v>0</v>
      </c>
      <c r="G190" s="13"/>
      <c r="H190" s="14">
        <f>SUM(H173:H189)</f>
        <v>0</v>
      </c>
      <c r="I190" s="13"/>
      <c r="J190" s="14">
        <f>SUM(J173:J189)</f>
        <v>0</v>
      </c>
      <c r="K190" s="13"/>
      <c r="L190" s="14">
        <f>SUM(L173:L189)</f>
        <v>0</v>
      </c>
      <c r="M190" s="13"/>
      <c r="N190" s="14">
        <f>SUM(N173:N189)</f>
        <v>0</v>
      </c>
      <c r="O190" s="13"/>
      <c r="P190" s="14">
        <f>SUM(P173:P189)</f>
        <v>0</v>
      </c>
      <c r="Q190" s="13"/>
      <c r="R190" s="14">
        <f>SUM(R173:R189)</f>
        <v>-25520932.670000002</v>
      </c>
    </row>
    <row r="191" spans="1:18" outlineLevel="1" x14ac:dyDescent="0.2">
      <c r="A191" s="3" t="s">
        <v>4006</v>
      </c>
      <c r="B191" s="14">
        <v>0</v>
      </c>
      <c r="C191" s="13"/>
      <c r="D191" s="14">
        <v>0</v>
      </c>
      <c r="E191" s="13"/>
      <c r="F191" s="14">
        <v>0</v>
      </c>
      <c r="G191" s="13"/>
      <c r="H191" s="14">
        <v>0</v>
      </c>
      <c r="I191" s="13"/>
      <c r="J191" s="14">
        <v>0</v>
      </c>
      <c r="K191" s="13"/>
      <c r="L191" s="14">
        <v>0</v>
      </c>
      <c r="M191" s="13"/>
      <c r="N191" s="14">
        <v>0</v>
      </c>
      <c r="O191" s="13"/>
      <c r="P191" s="14">
        <v>0</v>
      </c>
      <c r="Q191" s="13"/>
      <c r="R191" s="14">
        <f t="shared" ref="R191:R199" si="9">SUM(B191:P191)</f>
        <v>0</v>
      </c>
    </row>
    <row r="192" spans="1:18" outlineLevel="1" x14ac:dyDescent="0.2">
      <c r="A192" s="3" t="s">
        <v>4007</v>
      </c>
      <c r="B192" s="14">
        <v>0</v>
      </c>
      <c r="C192" s="13"/>
      <c r="D192" s="14">
        <v>0</v>
      </c>
      <c r="E192" s="13"/>
      <c r="F192" s="14">
        <v>0</v>
      </c>
      <c r="G192" s="13"/>
      <c r="H192" s="14">
        <v>0</v>
      </c>
      <c r="I192" s="13"/>
      <c r="J192" s="14">
        <v>0</v>
      </c>
      <c r="K192" s="13"/>
      <c r="L192" s="14">
        <v>0</v>
      </c>
      <c r="M192" s="13"/>
      <c r="N192" s="14">
        <v>0</v>
      </c>
      <c r="O192" s="13"/>
      <c r="P192" s="14">
        <v>0</v>
      </c>
      <c r="Q192" s="13"/>
      <c r="R192" s="14">
        <f t="shared" si="9"/>
        <v>0</v>
      </c>
    </row>
    <row r="193" spans="1:18" outlineLevel="1" x14ac:dyDescent="0.2">
      <c r="A193" s="3" t="s">
        <v>4008</v>
      </c>
      <c r="B193" s="14">
        <v>0</v>
      </c>
      <c r="C193" s="13"/>
      <c r="D193" s="14">
        <v>0</v>
      </c>
      <c r="E193" s="13"/>
      <c r="F193" s="14">
        <v>0</v>
      </c>
      <c r="G193" s="13"/>
      <c r="H193" s="14">
        <v>0</v>
      </c>
      <c r="I193" s="13"/>
      <c r="J193" s="14">
        <v>0</v>
      </c>
      <c r="K193" s="13"/>
      <c r="L193" s="14">
        <v>0</v>
      </c>
      <c r="M193" s="13"/>
      <c r="N193" s="14">
        <v>0</v>
      </c>
      <c r="O193" s="13"/>
      <c r="P193" s="14">
        <v>0</v>
      </c>
      <c r="Q193" s="13"/>
      <c r="R193" s="14">
        <f t="shared" si="9"/>
        <v>0</v>
      </c>
    </row>
    <row r="194" spans="1:18" outlineLevel="1" x14ac:dyDescent="0.2">
      <c r="A194" s="3" t="s">
        <v>4009</v>
      </c>
      <c r="B194" s="14">
        <v>0</v>
      </c>
      <c r="C194" s="13"/>
      <c r="D194" s="14">
        <v>0</v>
      </c>
      <c r="E194" s="13"/>
      <c r="F194" s="14">
        <v>0</v>
      </c>
      <c r="G194" s="13"/>
      <c r="H194" s="14">
        <v>0</v>
      </c>
      <c r="I194" s="13"/>
      <c r="J194" s="14">
        <v>0</v>
      </c>
      <c r="K194" s="13"/>
      <c r="L194" s="14">
        <v>0</v>
      </c>
      <c r="M194" s="13"/>
      <c r="N194" s="14">
        <v>0</v>
      </c>
      <c r="O194" s="13"/>
      <c r="P194" s="14">
        <v>0</v>
      </c>
      <c r="Q194" s="13"/>
      <c r="R194" s="14">
        <f t="shared" si="9"/>
        <v>0</v>
      </c>
    </row>
    <row r="195" spans="1:18" outlineLevel="1" x14ac:dyDescent="0.2">
      <c r="A195" s="3" t="s">
        <v>4010</v>
      </c>
      <c r="B195" s="14">
        <v>0</v>
      </c>
      <c r="C195" s="13"/>
      <c r="D195" s="14">
        <v>0</v>
      </c>
      <c r="E195" s="13"/>
      <c r="F195" s="14">
        <v>0</v>
      </c>
      <c r="G195" s="13"/>
      <c r="H195" s="14">
        <v>0</v>
      </c>
      <c r="I195" s="13"/>
      <c r="J195" s="14">
        <v>0</v>
      </c>
      <c r="K195" s="13"/>
      <c r="L195" s="14">
        <v>0</v>
      </c>
      <c r="M195" s="13"/>
      <c r="N195" s="14">
        <v>0</v>
      </c>
      <c r="O195" s="13"/>
      <c r="P195" s="14">
        <v>0</v>
      </c>
      <c r="Q195" s="13"/>
      <c r="R195" s="14">
        <f t="shared" si="9"/>
        <v>0</v>
      </c>
    </row>
    <row r="196" spans="1:18" outlineLevel="1" x14ac:dyDescent="0.2">
      <c r="A196" s="3" t="s">
        <v>4011</v>
      </c>
      <c r="B196" s="14">
        <v>0</v>
      </c>
      <c r="C196" s="13"/>
      <c r="D196" s="14">
        <v>0</v>
      </c>
      <c r="E196" s="13"/>
      <c r="F196" s="14">
        <v>0</v>
      </c>
      <c r="G196" s="13"/>
      <c r="H196" s="14">
        <v>0</v>
      </c>
      <c r="I196" s="13"/>
      <c r="J196" s="14">
        <v>0</v>
      </c>
      <c r="K196" s="13"/>
      <c r="L196" s="14">
        <v>0</v>
      </c>
      <c r="M196" s="13"/>
      <c r="N196" s="14">
        <v>0</v>
      </c>
      <c r="O196" s="13"/>
      <c r="P196" s="14">
        <v>0</v>
      </c>
      <c r="Q196" s="13"/>
      <c r="R196" s="14">
        <f t="shared" si="9"/>
        <v>0</v>
      </c>
    </row>
    <row r="197" spans="1:18" outlineLevel="1" x14ac:dyDescent="0.2">
      <c r="A197" s="3" t="s">
        <v>4012</v>
      </c>
      <c r="B197" s="14">
        <v>0</v>
      </c>
      <c r="C197" s="13"/>
      <c r="D197" s="14">
        <v>0</v>
      </c>
      <c r="E197" s="13"/>
      <c r="F197" s="14">
        <v>0</v>
      </c>
      <c r="G197" s="13"/>
      <c r="H197" s="14">
        <v>0</v>
      </c>
      <c r="I197" s="13"/>
      <c r="J197" s="14">
        <v>0</v>
      </c>
      <c r="K197" s="13"/>
      <c r="L197" s="14">
        <v>0</v>
      </c>
      <c r="M197" s="13"/>
      <c r="N197" s="14">
        <v>0</v>
      </c>
      <c r="O197" s="13"/>
      <c r="P197" s="14">
        <v>0</v>
      </c>
      <c r="Q197" s="13"/>
      <c r="R197" s="14">
        <f t="shared" si="9"/>
        <v>0</v>
      </c>
    </row>
    <row r="198" spans="1:18" outlineLevel="1" x14ac:dyDescent="0.2">
      <c r="A198" s="3" t="s">
        <v>4013</v>
      </c>
      <c r="B198" s="14">
        <v>0</v>
      </c>
      <c r="C198" s="13"/>
      <c r="D198" s="14">
        <v>0</v>
      </c>
      <c r="E198" s="13"/>
      <c r="F198" s="14">
        <v>0</v>
      </c>
      <c r="G198" s="13"/>
      <c r="H198" s="14">
        <v>0</v>
      </c>
      <c r="I198" s="13"/>
      <c r="J198" s="14">
        <v>0</v>
      </c>
      <c r="K198" s="13"/>
      <c r="L198" s="14">
        <v>0</v>
      </c>
      <c r="M198" s="13"/>
      <c r="N198" s="14">
        <v>0</v>
      </c>
      <c r="O198" s="13"/>
      <c r="P198" s="14">
        <v>0</v>
      </c>
      <c r="Q198" s="13"/>
      <c r="R198" s="14">
        <f t="shared" si="9"/>
        <v>0</v>
      </c>
    </row>
    <row r="199" spans="1:18" outlineLevel="1" x14ac:dyDescent="0.2">
      <c r="A199" s="3" t="s">
        <v>4014</v>
      </c>
      <c r="B199" s="14">
        <v>0</v>
      </c>
      <c r="C199" s="13"/>
      <c r="D199" s="14">
        <v>0</v>
      </c>
      <c r="E199" s="13"/>
      <c r="F199" s="14">
        <v>0</v>
      </c>
      <c r="G199" s="13"/>
      <c r="H199" s="14">
        <v>0</v>
      </c>
      <c r="I199" s="13"/>
      <c r="J199" s="14">
        <v>0</v>
      </c>
      <c r="K199" s="13"/>
      <c r="L199" s="14">
        <v>0</v>
      </c>
      <c r="M199" s="13"/>
      <c r="N199" s="14">
        <v>0</v>
      </c>
      <c r="O199" s="13"/>
      <c r="P199" s="14">
        <v>0</v>
      </c>
      <c r="Q199" s="13"/>
      <c r="R199" s="14">
        <f t="shared" si="9"/>
        <v>0</v>
      </c>
    </row>
    <row r="200" spans="1:18" x14ac:dyDescent="0.2">
      <c r="A200" s="3" t="s">
        <v>4015</v>
      </c>
      <c r="B200" s="14">
        <v>0</v>
      </c>
      <c r="D200" s="14">
        <f>SUM(D191:D199)</f>
        <v>0</v>
      </c>
      <c r="F200" s="14">
        <f>SUM(F191:F199)</f>
        <v>0</v>
      </c>
      <c r="H200" s="14">
        <f>SUM(H191:H199)</f>
        <v>0</v>
      </c>
      <c r="J200" s="14">
        <f>SUM(J191:J199)</f>
        <v>0</v>
      </c>
      <c r="L200" s="14">
        <f>SUM(L191:L199)</f>
        <v>0</v>
      </c>
      <c r="N200" s="14">
        <f>SUM(N191:N199)</f>
        <v>0</v>
      </c>
      <c r="P200" s="14">
        <f>SUM(P191:P199)</f>
        <v>0</v>
      </c>
      <c r="R200" s="14">
        <f>SUM(R191:R199)</f>
        <v>0</v>
      </c>
    </row>
    <row r="201" spans="1:18" outlineLevel="1" x14ac:dyDescent="0.2">
      <c r="A201" s="3" t="s">
        <v>4016</v>
      </c>
      <c r="B201" s="14">
        <v>-40040.050000000003</v>
      </c>
      <c r="C201" s="13"/>
      <c r="D201" s="14">
        <v>-94093.5</v>
      </c>
      <c r="E201" s="13"/>
      <c r="F201" s="14">
        <v>0</v>
      </c>
      <c r="G201" s="13"/>
      <c r="H201" s="14">
        <v>0</v>
      </c>
      <c r="I201" s="13"/>
      <c r="J201" s="14">
        <v>0</v>
      </c>
      <c r="K201" s="13"/>
      <c r="L201" s="14">
        <v>0</v>
      </c>
      <c r="M201" s="13"/>
      <c r="N201" s="14">
        <v>0</v>
      </c>
      <c r="O201" s="13"/>
      <c r="P201" s="14">
        <v>0</v>
      </c>
      <c r="Q201" s="13"/>
      <c r="R201" s="14">
        <f t="shared" ref="R201:R216" si="10">SUM(B201:P201)</f>
        <v>-134133.54999999999</v>
      </c>
    </row>
    <row r="202" spans="1:18" outlineLevel="1" x14ac:dyDescent="0.2">
      <c r="A202" s="3" t="s">
        <v>4017</v>
      </c>
      <c r="B202" s="14">
        <v>-142087.96000000002</v>
      </c>
      <c r="C202" s="13"/>
      <c r="D202" s="14">
        <v>-7676.94</v>
      </c>
      <c r="E202" s="13"/>
      <c r="F202" s="14">
        <v>0</v>
      </c>
      <c r="G202" s="13"/>
      <c r="H202" s="14">
        <v>0</v>
      </c>
      <c r="I202" s="13"/>
      <c r="J202" s="14">
        <v>0</v>
      </c>
      <c r="K202" s="13"/>
      <c r="L202" s="14">
        <v>0</v>
      </c>
      <c r="M202" s="13"/>
      <c r="N202" s="14">
        <v>0</v>
      </c>
      <c r="O202" s="13"/>
      <c r="P202" s="14">
        <v>0</v>
      </c>
      <c r="Q202" s="13"/>
      <c r="R202" s="14">
        <f t="shared" si="10"/>
        <v>-149764.90000000002</v>
      </c>
    </row>
    <row r="203" spans="1:18" outlineLevel="1" x14ac:dyDescent="0.2">
      <c r="A203" s="3" t="s">
        <v>4018</v>
      </c>
      <c r="B203" s="14">
        <v>-337223.43000000005</v>
      </c>
      <c r="C203" s="13"/>
      <c r="D203" s="14">
        <v>-28903.86</v>
      </c>
      <c r="E203" s="13"/>
      <c r="F203" s="14">
        <v>0</v>
      </c>
      <c r="G203" s="13"/>
      <c r="H203" s="14">
        <v>0</v>
      </c>
      <c r="I203" s="13"/>
      <c r="J203" s="14">
        <v>0</v>
      </c>
      <c r="K203" s="13"/>
      <c r="L203" s="14">
        <v>0</v>
      </c>
      <c r="M203" s="13"/>
      <c r="N203" s="14">
        <v>0</v>
      </c>
      <c r="O203" s="13"/>
      <c r="P203" s="14">
        <v>0</v>
      </c>
      <c r="Q203" s="13"/>
      <c r="R203" s="14">
        <f t="shared" si="10"/>
        <v>-366127.29000000004</v>
      </c>
    </row>
    <row r="204" spans="1:18" outlineLevel="1" x14ac:dyDescent="0.2">
      <c r="A204" s="3" t="s">
        <v>4019</v>
      </c>
      <c r="B204" s="14">
        <v>-1150236.3599999999</v>
      </c>
      <c r="C204" s="13"/>
      <c r="D204" s="14">
        <v>-83742.44</v>
      </c>
      <c r="E204" s="13"/>
      <c r="F204" s="14">
        <v>20882.060000000001</v>
      </c>
      <c r="G204" s="13"/>
      <c r="H204" s="14">
        <v>0</v>
      </c>
      <c r="I204" s="13"/>
      <c r="J204" s="14">
        <v>0</v>
      </c>
      <c r="K204" s="13"/>
      <c r="L204" s="14">
        <v>0</v>
      </c>
      <c r="M204" s="13"/>
      <c r="N204" s="14">
        <v>0</v>
      </c>
      <c r="O204" s="13"/>
      <c r="P204" s="14">
        <v>0</v>
      </c>
      <c r="Q204" s="13"/>
      <c r="R204" s="14">
        <f t="shared" si="10"/>
        <v>-1213096.7399999998</v>
      </c>
    </row>
    <row r="205" spans="1:18" outlineLevel="1" x14ac:dyDescent="0.2">
      <c r="A205" s="3" t="s">
        <v>4020</v>
      </c>
      <c r="B205" s="14">
        <v>-31213.940000000002</v>
      </c>
      <c r="C205" s="13"/>
      <c r="D205" s="14">
        <v>-5316.3</v>
      </c>
      <c r="E205" s="13"/>
      <c r="F205" s="14">
        <v>0</v>
      </c>
      <c r="G205" s="13"/>
      <c r="H205" s="14">
        <v>0</v>
      </c>
      <c r="I205" s="13"/>
      <c r="J205" s="14">
        <v>0</v>
      </c>
      <c r="K205" s="13"/>
      <c r="L205" s="14">
        <v>0</v>
      </c>
      <c r="M205" s="13"/>
      <c r="N205" s="14">
        <v>0</v>
      </c>
      <c r="O205" s="13"/>
      <c r="P205" s="14">
        <v>0</v>
      </c>
      <c r="Q205" s="13"/>
      <c r="R205" s="14">
        <f t="shared" si="10"/>
        <v>-36530.240000000005</v>
      </c>
    </row>
    <row r="206" spans="1:18" outlineLevel="1" x14ac:dyDescent="0.2">
      <c r="A206" s="3" t="s">
        <v>4021</v>
      </c>
      <c r="B206" s="14">
        <v>-25117.98</v>
      </c>
      <c r="C206" s="13"/>
      <c r="D206" s="14">
        <v>-4282.8</v>
      </c>
      <c r="E206" s="13"/>
      <c r="F206" s="14">
        <v>0</v>
      </c>
      <c r="G206" s="13"/>
      <c r="H206" s="14">
        <v>0</v>
      </c>
      <c r="I206" s="13"/>
      <c r="J206" s="14">
        <v>0</v>
      </c>
      <c r="K206" s="13"/>
      <c r="L206" s="14">
        <v>0</v>
      </c>
      <c r="M206" s="13"/>
      <c r="N206" s="14">
        <v>0</v>
      </c>
      <c r="O206" s="13"/>
      <c r="P206" s="14">
        <v>0</v>
      </c>
      <c r="Q206" s="13"/>
      <c r="R206" s="14">
        <f t="shared" si="10"/>
        <v>-29400.78</v>
      </c>
    </row>
    <row r="207" spans="1:18" outlineLevel="1" x14ac:dyDescent="0.2">
      <c r="A207" s="3" t="s">
        <v>4022</v>
      </c>
      <c r="B207" s="14">
        <v>-194030.3</v>
      </c>
      <c r="C207" s="13"/>
      <c r="D207" s="14">
        <v>-15814.92</v>
      </c>
      <c r="E207" s="13"/>
      <c r="F207" s="14">
        <v>0</v>
      </c>
      <c r="G207" s="13"/>
      <c r="H207" s="14">
        <v>0</v>
      </c>
      <c r="I207" s="13"/>
      <c r="J207" s="14">
        <v>0</v>
      </c>
      <c r="K207" s="13"/>
      <c r="L207" s="14">
        <v>0</v>
      </c>
      <c r="M207" s="13"/>
      <c r="N207" s="14">
        <v>0</v>
      </c>
      <c r="O207" s="13"/>
      <c r="P207" s="14">
        <v>0</v>
      </c>
      <c r="Q207" s="13"/>
      <c r="R207" s="14">
        <f t="shared" si="10"/>
        <v>-209845.22</v>
      </c>
    </row>
    <row r="208" spans="1:18" outlineLevel="1" x14ac:dyDescent="0.2">
      <c r="A208" s="3" t="s">
        <v>4023</v>
      </c>
      <c r="B208" s="14">
        <v>-485482.85999999987</v>
      </c>
      <c r="C208" s="13"/>
      <c r="D208" s="14">
        <v>-25711.32</v>
      </c>
      <c r="E208" s="13"/>
      <c r="F208" s="14">
        <v>0</v>
      </c>
      <c r="G208" s="13"/>
      <c r="H208" s="14">
        <v>0</v>
      </c>
      <c r="I208" s="13"/>
      <c r="J208" s="14">
        <v>0</v>
      </c>
      <c r="K208" s="13"/>
      <c r="L208" s="14">
        <v>0</v>
      </c>
      <c r="M208" s="13"/>
      <c r="N208" s="14">
        <v>0</v>
      </c>
      <c r="O208" s="13"/>
      <c r="P208" s="14">
        <v>0</v>
      </c>
      <c r="Q208" s="13"/>
      <c r="R208" s="14">
        <f t="shared" si="10"/>
        <v>-511194.17999999988</v>
      </c>
    </row>
    <row r="209" spans="1:18" outlineLevel="1" x14ac:dyDescent="0.2">
      <c r="A209" s="3" t="s">
        <v>4024</v>
      </c>
      <c r="B209" s="14">
        <v>-6862.08</v>
      </c>
      <c r="C209" s="13"/>
      <c r="D209" s="14">
        <v>-13246.75</v>
      </c>
      <c r="E209" s="13"/>
      <c r="F209" s="14">
        <v>0</v>
      </c>
      <c r="G209" s="13"/>
      <c r="H209" s="14">
        <v>0</v>
      </c>
      <c r="I209" s="13"/>
      <c r="J209" s="14">
        <v>0</v>
      </c>
      <c r="K209" s="13"/>
      <c r="L209" s="14">
        <v>0</v>
      </c>
      <c r="M209" s="13"/>
      <c r="N209" s="14">
        <v>0</v>
      </c>
      <c r="O209" s="13"/>
      <c r="P209" s="14">
        <v>0</v>
      </c>
      <c r="Q209" s="13"/>
      <c r="R209" s="14">
        <f t="shared" si="10"/>
        <v>-20108.830000000002</v>
      </c>
    </row>
    <row r="210" spans="1:18" outlineLevel="1" x14ac:dyDescent="0.2">
      <c r="A210" s="3" t="s">
        <v>4025</v>
      </c>
      <c r="B210" s="14">
        <v>-36724.740000000005</v>
      </c>
      <c r="C210" s="13"/>
      <c r="D210" s="14">
        <v>-9911.16</v>
      </c>
      <c r="E210" s="13"/>
      <c r="F210" s="14">
        <v>0</v>
      </c>
      <c r="G210" s="13"/>
      <c r="H210" s="14">
        <v>0</v>
      </c>
      <c r="I210" s="13"/>
      <c r="J210" s="14">
        <v>0</v>
      </c>
      <c r="K210" s="13"/>
      <c r="L210" s="14">
        <v>0</v>
      </c>
      <c r="M210" s="13"/>
      <c r="N210" s="14">
        <v>0</v>
      </c>
      <c r="O210" s="13"/>
      <c r="P210" s="14">
        <v>0</v>
      </c>
      <c r="Q210" s="13"/>
      <c r="R210" s="14">
        <f t="shared" si="10"/>
        <v>-46635.900000000009</v>
      </c>
    </row>
    <row r="211" spans="1:18" outlineLevel="1" x14ac:dyDescent="0.2">
      <c r="A211" s="3" t="s">
        <v>4026</v>
      </c>
      <c r="B211" s="14">
        <v>-588534.74</v>
      </c>
      <c r="C211" s="13"/>
      <c r="D211" s="14">
        <v>-42817.01</v>
      </c>
      <c r="E211" s="13"/>
      <c r="F211" s="14">
        <v>6710.88</v>
      </c>
      <c r="G211" s="13"/>
      <c r="H211" s="14">
        <v>0</v>
      </c>
      <c r="I211" s="13"/>
      <c r="J211" s="14">
        <v>0</v>
      </c>
      <c r="K211" s="13"/>
      <c r="L211" s="14">
        <v>0</v>
      </c>
      <c r="M211" s="13"/>
      <c r="N211" s="14">
        <v>0</v>
      </c>
      <c r="O211" s="13"/>
      <c r="P211" s="14">
        <v>0</v>
      </c>
      <c r="Q211" s="13"/>
      <c r="R211" s="14">
        <f t="shared" si="10"/>
        <v>-624640.87</v>
      </c>
    </row>
    <row r="212" spans="1:18" outlineLevel="1" x14ac:dyDescent="0.2">
      <c r="A212" s="3" t="s">
        <v>4027</v>
      </c>
      <c r="B212" s="14">
        <v>-13154.679999999997</v>
      </c>
      <c r="C212" s="13"/>
      <c r="D212" s="14">
        <v>-1907.16</v>
      </c>
      <c r="E212" s="13"/>
      <c r="F212" s="14">
        <v>0</v>
      </c>
      <c r="G212" s="13"/>
      <c r="H212" s="14">
        <v>0</v>
      </c>
      <c r="I212" s="13"/>
      <c r="J212" s="14">
        <v>0</v>
      </c>
      <c r="K212" s="13"/>
      <c r="L212" s="14">
        <v>0</v>
      </c>
      <c r="M212" s="13"/>
      <c r="N212" s="14">
        <v>0</v>
      </c>
      <c r="O212" s="13"/>
      <c r="P212" s="14">
        <v>0</v>
      </c>
      <c r="Q212" s="13"/>
      <c r="R212" s="14">
        <f t="shared" si="10"/>
        <v>-15061.839999999997</v>
      </c>
    </row>
    <row r="213" spans="1:18" outlineLevel="1" x14ac:dyDescent="0.2">
      <c r="A213" s="3" t="s">
        <v>4028</v>
      </c>
      <c r="B213" s="14">
        <v>-14021.18</v>
      </c>
      <c r="C213" s="13"/>
      <c r="D213" s="14">
        <v>-1155.6600000000001</v>
      </c>
      <c r="E213" s="13"/>
      <c r="F213" s="14">
        <v>0</v>
      </c>
      <c r="G213" s="13"/>
      <c r="H213" s="14">
        <v>0</v>
      </c>
      <c r="I213" s="13"/>
      <c r="J213" s="14">
        <v>0</v>
      </c>
      <c r="K213" s="13"/>
      <c r="L213" s="14">
        <v>0</v>
      </c>
      <c r="M213" s="13"/>
      <c r="N213" s="14">
        <v>0</v>
      </c>
      <c r="O213" s="13"/>
      <c r="P213" s="14">
        <v>0</v>
      </c>
      <c r="Q213" s="13"/>
      <c r="R213" s="14">
        <f t="shared" si="10"/>
        <v>-15176.84</v>
      </c>
    </row>
    <row r="214" spans="1:18" outlineLevel="1" x14ac:dyDescent="0.2">
      <c r="A214" s="3" t="s">
        <v>4029</v>
      </c>
      <c r="B214" s="14">
        <v>-4004.6400000000003</v>
      </c>
      <c r="C214" s="13"/>
      <c r="D214" s="14">
        <v>-344.82</v>
      </c>
      <c r="E214" s="13"/>
      <c r="F214" s="14">
        <v>0</v>
      </c>
      <c r="G214" s="13"/>
      <c r="H214" s="14">
        <v>0</v>
      </c>
      <c r="I214" s="13"/>
      <c r="J214" s="14">
        <v>0</v>
      </c>
      <c r="K214" s="13"/>
      <c r="L214" s="14">
        <v>0</v>
      </c>
      <c r="M214" s="13"/>
      <c r="N214" s="14">
        <v>0</v>
      </c>
      <c r="O214" s="13"/>
      <c r="P214" s="14">
        <v>0</v>
      </c>
      <c r="Q214" s="13"/>
      <c r="R214" s="14">
        <f t="shared" si="10"/>
        <v>-4349.46</v>
      </c>
    </row>
    <row r="215" spans="1:18" outlineLevel="1" x14ac:dyDescent="0.2">
      <c r="A215" s="3" t="s">
        <v>4030</v>
      </c>
      <c r="B215" s="14">
        <v>-3991.6500000000005</v>
      </c>
      <c r="C215" s="13"/>
      <c r="D215" s="14">
        <v>-343.8</v>
      </c>
      <c r="E215" s="13"/>
      <c r="F215" s="14">
        <v>0</v>
      </c>
      <c r="G215" s="13"/>
      <c r="H215" s="14">
        <v>0</v>
      </c>
      <c r="I215" s="13"/>
      <c r="J215" s="14">
        <v>0</v>
      </c>
      <c r="K215" s="13"/>
      <c r="L215" s="14">
        <v>0</v>
      </c>
      <c r="M215" s="13"/>
      <c r="N215" s="14">
        <v>0</v>
      </c>
      <c r="O215" s="13"/>
      <c r="P215" s="14">
        <v>0</v>
      </c>
      <c r="Q215" s="13"/>
      <c r="R215" s="14">
        <f t="shared" si="10"/>
        <v>-4335.4500000000007</v>
      </c>
    </row>
    <row r="216" spans="1:18" outlineLevel="1" x14ac:dyDescent="0.2">
      <c r="A216" s="3" t="s">
        <v>4031</v>
      </c>
      <c r="B216" s="14">
        <v>-4083.54</v>
      </c>
      <c r="C216" s="13"/>
      <c r="D216" s="14">
        <v>-354.96</v>
      </c>
      <c r="E216" s="13"/>
      <c r="F216" s="14">
        <v>0</v>
      </c>
      <c r="G216" s="13"/>
      <c r="H216" s="14">
        <v>0</v>
      </c>
      <c r="I216" s="13"/>
      <c r="J216" s="14">
        <v>0</v>
      </c>
      <c r="K216" s="13"/>
      <c r="L216" s="14">
        <v>0</v>
      </c>
      <c r="M216" s="13"/>
      <c r="N216" s="14">
        <v>0</v>
      </c>
      <c r="O216" s="13"/>
      <c r="P216" s="14">
        <v>0</v>
      </c>
      <c r="Q216" s="13"/>
      <c r="R216" s="14">
        <f t="shared" si="10"/>
        <v>-4438.5</v>
      </c>
    </row>
    <row r="217" spans="1:18" x14ac:dyDescent="0.2">
      <c r="A217" s="3" t="s">
        <v>4032</v>
      </c>
      <c r="B217" s="14">
        <v>-3076810.1300000008</v>
      </c>
      <c r="C217" s="13"/>
      <c r="D217" s="14">
        <f>SUM(D201:D216)</f>
        <v>-335623.39999999991</v>
      </c>
      <c r="E217" s="13"/>
      <c r="F217" s="14">
        <f>SUM(F201:F216)</f>
        <v>27592.940000000002</v>
      </c>
      <c r="G217" s="13"/>
      <c r="H217" s="14">
        <f>SUM(H201:H216)</f>
        <v>0</v>
      </c>
      <c r="I217" s="13"/>
      <c r="J217" s="14">
        <f>SUM(J201:J216)</f>
        <v>0</v>
      </c>
      <c r="K217" s="13"/>
      <c r="L217" s="14">
        <f>SUM(L201:L216)</f>
        <v>0</v>
      </c>
      <c r="M217" s="13"/>
      <c r="N217" s="14">
        <f>SUM(N201:N216)</f>
        <v>0</v>
      </c>
      <c r="O217" s="13"/>
      <c r="P217" s="14">
        <f>SUM(P201:P216)</f>
        <v>0</v>
      </c>
      <c r="Q217" s="13"/>
      <c r="R217" s="14">
        <f>SUM(R201:R216)</f>
        <v>-3384840.5899999994</v>
      </c>
    </row>
    <row r="218" spans="1:18" x14ac:dyDescent="0.2">
      <c r="A218" s="3" t="s">
        <v>4033</v>
      </c>
      <c r="B218" s="16">
        <v>-32972.980000000003</v>
      </c>
      <c r="C218" s="13"/>
      <c r="D218" s="111">
        <v>-20404.599999999999</v>
      </c>
      <c r="E218" s="13"/>
      <c r="F218" s="111">
        <v>0</v>
      </c>
      <c r="G218" s="13"/>
      <c r="H218" s="111">
        <v>0</v>
      </c>
      <c r="I218" s="13"/>
      <c r="J218" s="16">
        <v>0</v>
      </c>
      <c r="K218" s="13"/>
      <c r="L218" s="111">
        <v>0</v>
      </c>
      <c r="M218" s="13"/>
      <c r="N218" s="111">
        <v>0</v>
      </c>
      <c r="O218" s="13"/>
      <c r="P218" s="112">
        <v>0</v>
      </c>
      <c r="Q218" s="13"/>
      <c r="R218" s="16">
        <f>SUM(B218:P218)</f>
        <v>-53377.58</v>
      </c>
    </row>
    <row r="219" spans="1:18" x14ac:dyDescent="0.2">
      <c r="A219" s="3" t="s">
        <v>4034</v>
      </c>
      <c r="B219" s="17">
        <f>B218+B217+B190+B172+B154+B138+B137+B116+B98+B96+B95+B200</f>
        <v>-282040618.33999997</v>
      </c>
      <c r="C219" s="13"/>
      <c r="D219" s="18">
        <f>D218+D217+D190+D172+D154+D138+D137+D116+D98+D96+D95+D200</f>
        <v>-37977685.729999997</v>
      </c>
      <c r="E219" s="13"/>
      <c r="F219" s="18">
        <f>F218+F217+F190+F172+F154+F138+F137+F116+F98+F96+F95+F200</f>
        <v>3080794.9599999995</v>
      </c>
      <c r="G219" s="13"/>
      <c r="H219" s="18">
        <f>H218+H217+H190+H172+H154+H138+H137+H116+H98+H96+H95+H200</f>
        <v>0</v>
      </c>
      <c r="I219" s="13"/>
      <c r="J219" s="17">
        <f>J218+J217+J190+J172+J154+J138+J137+J116+J98+J96+J95+J200</f>
        <v>0</v>
      </c>
      <c r="K219" s="13"/>
      <c r="L219" s="18">
        <f>L218+L217+L190+L172+L154+L138+L137+L116+L98+L96+L95+L200</f>
        <v>411258.45</v>
      </c>
      <c r="M219" s="13"/>
      <c r="N219" s="18">
        <f>N218+N217+N190+N172+N154+N138+N137+N116+N98+N96+N95+N200</f>
        <v>0</v>
      </c>
      <c r="O219" s="13"/>
      <c r="P219" s="18">
        <f>P218+P217+P190+P172+P154+P138+P137+P116+P98+P96+P95+P200</f>
        <v>0</v>
      </c>
      <c r="Q219" s="13"/>
      <c r="R219" s="17">
        <f>R218+R217+R190+R172+R154+R138+R137+R116+R98+R96+R95+R200</f>
        <v>-316526250.66000003</v>
      </c>
    </row>
    <row r="220" spans="1:18" x14ac:dyDescent="0.2">
      <c r="C220" s="13"/>
      <c r="E220" s="13"/>
      <c r="G220" s="13"/>
      <c r="I220" s="13"/>
      <c r="K220" s="13"/>
      <c r="M220" s="13"/>
      <c r="O220" s="13"/>
      <c r="Q220" s="13"/>
    </row>
    <row r="221" spans="1:18" x14ac:dyDescent="0.2">
      <c r="A221" s="12" t="s">
        <v>17</v>
      </c>
      <c r="C221" s="13"/>
      <c r="E221" s="13"/>
      <c r="G221" s="13"/>
      <c r="I221" s="13"/>
      <c r="K221" s="13"/>
      <c r="M221" s="13"/>
      <c r="O221" s="13"/>
      <c r="Q221" s="13"/>
    </row>
    <row r="222" spans="1:18" outlineLevel="1" x14ac:dyDescent="0.2">
      <c r="A222" s="3" t="s">
        <v>4035</v>
      </c>
      <c r="B222" s="14">
        <v>0</v>
      </c>
      <c r="C222" s="13"/>
      <c r="D222" s="14">
        <v>0</v>
      </c>
      <c r="E222" s="13"/>
      <c r="F222" s="14">
        <v>0</v>
      </c>
      <c r="G222" s="13"/>
      <c r="H222" s="14">
        <v>0</v>
      </c>
      <c r="I222" s="13"/>
      <c r="J222" s="14">
        <v>0</v>
      </c>
      <c r="K222" s="13"/>
      <c r="L222" s="14">
        <v>0</v>
      </c>
      <c r="M222" s="13"/>
      <c r="N222" s="14">
        <v>0</v>
      </c>
      <c r="O222" s="13"/>
      <c r="P222" s="14">
        <v>0</v>
      </c>
      <c r="Q222" s="13"/>
      <c r="R222" s="14">
        <f t="shared" ref="R222:R230" si="11">SUM(B222:P222)</f>
        <v>0</v>
      </c>
    </row>
    <row r="223" spans="1:18" outlineLevel="1" x14ac:dyDescent="0.2">
      <c r="A223" s="3" t="s">
        <v>4036</v>
      </c>
      <c r="B223" s="14">
        <v>0</v>
      </c>
      <c r="C223" s="13"/>
      <c r="D223" s="14">
        <v>0</v>
      </c>
      <c r="E223" s="13"/>
      <c r="F223" s="14">
        <v>0</v>
      </c>
      <c r="G223" s="13"/>
      <c r="H223" s="14">
        <v>0</v>
      </c>
      <c r="I223" s="13"/>
      <c r="J223" s="14">
        <v>0</v>
      </c>
      <c r="K223" s="13"/>
      <c r="L223" s="14">
        <v>0</v>
      </c>
      <c r="M223" s="13"/>
      <c r="N223" s="14">
        <v>0</v>
      </c>
      <c r="O223" s="13"/>
      <c r="P223" s="14">
        <v>0</v>
      </c>
      <c r="Q223" s="13"/>
      <c r="R223" s="14">
        <f t="shared" si="11"/>
        <v>0</v>
      </c>
    </row>
    <row r="224" spans="1:18" outlineLevel="1" x14ac:dyDescent="0.2">
      <c r="A224" s="3" t="s">
        <v>4037</v>
      </c>
      <c r="B224" s="14">
        <v>0</v>
      </c>
      <c r="C224" s="13"/>
      <c r="D224" s="14">
        <v>0</v>
      </c>
      <c r="E224" s="13"/>
      <c r="F224" s="14">
        <v>0</v>
      </c>
      <c r="G224" s="13"/>
      <c r="H224" s="14">
        <v>0</v>
      </c>
      <c r="I224" s="13"/>
      <c r="J224" s="14">
        <v>0</v>
      </c>
      <c r="K224" s="13"/>
      <c r="L224" s="14">
        <v>0</v>
      </c>
      <c r="M224" s="13"/>
      <c r="N224" s="14">
        <v>0</v>
      </c>
      <c r="O224" s="13"/>
      <c r="P224" s="14">
        <v>0</v>
      </c>
      <c r="Q224" s="13"/>
      <c r="R224" s="14">
        <f t="shared" si="11"/>
        <v>0</v>
      </c>
    </row>
    <row r="225" spans="1:20" outlineLevel="1" x14ac:dyDescent="0.2">
      <c r="A225" s="43" t="s">
        <v>4038</v>
      </c>
      <c r="B225" s="14">
        <v>0</v>
      </c>
      <c r="C225" s="13"/>
      <c r="D225" s="14">
        <v>0</v>
      </c>
      <c r="E225" s="13"/>
      <c r="F225" s="14">
        <v>0</v>
      </c>
      <c r="G225" s="13"/>
      <c r="H225" s="14">
        <v>0</v>
      </c>
      <c r="I225" s="13"/>
      <c r="J225" s="14">
        <v>0</v>
      </c>
      <c r="K225" s="13"/>
      <c r="L225" s="14">
        <v>0</v>
      </c>
      <c r="M225" s="13"/>
      <c r="N225" s="14">
        <v>0</v>
      </c>
      <c r="O225" s="13"/>
      <c r="P225" s="14">
        <v>0</v>
      </c>
      <c r="Q225" s="13"/>
      <c r="R225" s="14">
        <f>SUM(B225:P225)</f>
        <v>0</v>
      </c>
    </row>
    <row r="226" spans="1:20" outlineLevel="1" x14ac:dyDescent="0.2">
      <c r="A226" s="3" t="s">
        <v>4039</v>
      </c>
      <c r="B226" s="14">
        <v>0</v>
      </c>
      <c r="C226" s="13"/>
      <c r="D226" s="14">
        <v>0</v>
      </c>
      <c r="E226" s="13"/>
      <c r="F226" s="14">
        <v>0</v>
      </c>
      <c r="G226" s="13"/>
      <c r="H226" s="14">
        <v>0</v>
      </c>
      <c r="I226" s="13"/>
      <c r="J226" s="14">
        <v>0</v>
      </c>
      <c r="K226" s="13"/>
      <c r="L226" s="14">
        <v>0</v>
      </c>
      <c r="M226" s="13"/>
      <c r="N226" s="14">
        <v>0</v>
      </c>
      <c r="O226" s="13"/>
      <c r="P226" s="14">
        <v>0</v>
      </c>
      <c r="Q226" s="13"/>
      <c r="R226" s="14">
        <f t="shared" si="11"/>
        <v>0</v>
      </c>
    </row>
    <row r="227" spans="1:20" outlineLevel="1" x14ac:dyDescent="0.2">
      <c r="A227" s="3" t="s">
        <v>4040</v>
      </c>
      <c r="B227" s="14">
        <v>0</v>
      </c>
      <c r="C227" s="13"/>
      <c r="D227" s="14">
        <v>0</v>
      </c>
      <c r="E227" s="13"/>
      <c r="F227" s="14">
        <v>0</v>
      </c>
      <c r="G227" s="13"/>
      <c r="H227" s="14">
        <v>0</v>
      </c>
      <c r="I227" s="13"/>
      <c r="J227" s="14">
        <v>0</v>
      </c>
      <c r="K227" s="13"/>
      <c r="L227" s="14">
        <v>0</v>
      </c>
      <c r="M227" s="13"/>
      <c r="N227" s="14">
        <v>0</v>
      </c>
      <c r="O227" s="13"/>
      <c r="P227" s="14">
        <v>0</v>
      </c>
      <c r="Q227" s="13"/>
      <c r="R227" s="14">
        <f t="shared" si="11"/>
        <v>0</v>
      </c>
    </row>
    <row r="228" spans="1:20" outlineLevel="1" x14ac:dyDescent="0.2">
      <c r="A228" s="3" t="s">
        <v>4041</v>
      </c>
      <c r="B228" s="14">
        <v>0</v>
      </c>
      <c r="C228" s="13"/>
      <c r="D228" s="14">
        <v>0</v>
      </c>
      <c r="E228" s="13"/>
      <c r="F228" s="14">
        <v>0</v>
      </c>
      <c r="G228" s="13"/>
      <c r="H228" s="14">
        <v>0</v>
      </c>
      <c r="I228" s="13"/>
      <c r="J228" s="14">
        <v>0</v>
      </c>
      <c r="K228" s="13"/>
      <c r="L228" s="14">
        <v>0</v>
      </c>
      <c r="M228" s="13"/>
      <c r="N228" s="14">
        <v>0</v>
      </c>
      <c r="O228" s="13"/>
      <c r="P228" s="14">
        <v>0</v>
      </c>
      <c r="Q228" s="13"/>
      <c r="R228" s="14">
        <f t="shared" si="11"/>
        <v>0</v>
      </c>
    </row>
    <row r="229" spans="1:20" outlineLevel="1" x14ac:dyDescent="0.2">
      <c r="A229" s="3" t="s">
        <v>4042</v>
      </c>
      <c r="B229" s="14">
        <v>0</v>
      </c>
      <c r="C229" s="13"/>
      <c r="D229" s="14">
        <v>0</v>
      </c>
      <c r="E229" s="13"/>
      <c r="F229" s="14">
        <v>0</v>
      </c>
      <c r="G229" s="13"/>
      <c r="H229" s="14">
        <v>0</v>
      </c>
      <c r="I229" s="13"/>
      <c r="J229" s="14">
        <v>0</v>
      </c>
      <c r="K229" s="13"/>
      <c r="L229" s="14">
        <v>0</v>
      </c>
      <c r="M229" s="13"/>
      <c r="N229" s="14">
        <v>0</v>
      </c>
      <c r="O229" s="13"/>
      <c r="P229" s="14">
        <v>0</v>
      </c>
      <c r="Q229" s="13"/>
      <c r="R229" s="14">
        <f t="shared" si="11"/>
        <v>0</v>
      </c>
    </row>
    <row r="230" spans="1:20" outlineLevel="1" x14ac:dyDescent="0.2">
      <c r="A230" s="3" t="s">
        <v>4043</v>
      </c>
      <c r="B230" s="14">
        <v>0</v>
      </c>
      <c r="C230" s="13"/>
      <c r="D230" s="14">
        <v>0</v>
      </c>
      <c r="E230" s="13"/>
      <c r="F230" s="14">
        <v>0</v>
      </c>
      <c r="G230" s="13"/>
      <c r="H230" s="14">
        <v>0</v>
      </c>
      <c r="I230" s="13"/>
      <c r="J230" s="14">
        <v>0</v>
      </c>
      <c r="K230" s="13"/>
      <c r="L230" s="14">
        <v>0</v>
      </c>
      <c r="M230" s="13"/>
      <c r="N230" s="14">
        <v>0</v>
      </c>
      <c r="O230" s="13"/>
      <c r="P230" s="14">
        <v>0</v>
      </c>
      <c r="Q230" s="13"/>
      <c r="R230" s="14">
        <f t="shared" si="11"/>
        <v>0</v>
      </c>
    </row>
    <row r="231" spans="1:20" x14ac:dyDescent="0.2">
      <c r="A231" s="3" t="s">
        <v>4044</v>
      </c>
      <c r="B231" s="14">
        <v>0</v>
      </c>
      <c r="C231" s="13"/>
      <c r="D231" s="14">
        <f>SUM(D222:D230)</f>
        <v>0</v>
      </c>
      <c r="E231" s="13"/>
      <c r="F231" s="14">
        <f>SUM(F222:F230)</f>
        <v>0</v>
      </c>
      <c r="G231" s="13"/>
      <c r="H231" s="14">
        <f>SUM(H222:H230)</f>
        <v>0</v>
      </c>
      <c r="I231" s="13"/>
      <c r="J231" s="14">
        <f>SUM(J222:J230)</f>
        <v>0</v>
      </c>
      <c r="K231" s="13"/>
      <c r="L231" s="14">
        <f>SUM(L222:L230)</f>
        <v>0</v>
      </c>
      <c r="M231" s="13"/>
      <c r="N231" s="14">
        <f>SUM(N222:N230)</f>
        <v>0</v>
      </c>
      <c r="O231" s="13"/>
      <c r="P231" s="14">
        <f>SUM(P222:P230)</f>
        <v>0</v>
      </c>
      <c r="Q231" s="13"/>
      <c r="R231" s="14">
        <f>SUM(R222:R230)</f>
        <v>0</v>
      </c>
      <c r="T231" s="13"/>
    </row>
    <row r="232" spans="1:20" outlineLevel="1" x14ac:dyDescent="0.2">
      <c r="A232" s="3" t="s">
        <v>4045</v>
      </c>
      <c r="B232" s="14">
        <v>-4847707.379999999</v>
      </c>
      <c r="C232" s="13"/>
      <c r="D232" s="14">
        <v>-2104.6799999999998</v>
      </c>
      <c r="E232" s="13"/>
      <c r="F232" s="14">
        <v>0</v>
      </c>
      <c r="G232" s="13"/>
      <c r="H232" s="14">
        <v>0</v>
      </c>
      <c r="I232" s="13"/>
      <c r="J232" s="14">
        <v>0</v>
      </c>
      <c r="K232" s="13"/>
      <c r="L232" s="14">
        <v>0</v>
      </c>
      <c r="M232" s="13"/>
      <c r="N232" s="14">
        <v>0</v>
      </c>
      <c r="O232" s="13"/>
      <c r="P232" s="14">
        <v>0</v>
      </c>
      <c r="Q232" s="13"/>
      <c r="R232" s="14">
        <f t="shared" ref="R232:R265" si="12">SUM(B232:P232)</f>
        <v>-4849812.0599999987</v>
      </c>
    </row>
    <row r="233" spans="1:20" outlineLevel="1" x14ac:dyDescent="0.2">
      <c r="A233" s="3" t="s">
        <v>4046</v>
      </c>
      <c r="B233" s="14">
        <v>-2022225.9800000002</v>
      </c>
      <c r="C233" s="13"/>
      <c r="D233" s="14">
        <v>-14551.32</v>
      </c>
      <c r="E233" s="13"/>
      <c r="F233" s="14">
        <v>0</v>
      </c>
      <c r="G233" s="13"/>
      <c r="H233" s="14">
        <v>0</v>
      </c>
      <c r="I233" s="13"/>
      <c r="J233" s="14">
        <v>0</v>
      </c>
      <c r="K233" s="13"/>
      <c r="L233" s="14">
        <v>0</v>
      </c>
      <c r="M233" s="13"/>
      <c r="N233" s="14">
        <v>0</v>
      </c>
      <c r="O233" s="13"/>
      <c r="P233" s="14">
        <v>0</v>
      </c>
      <c r="Q233" s="13"/>
      <c r="R233" s="14">
        <f t="shared" si="12"/>
        <v>-2036777.3000000003</v>
      </c>
    </row>
    <row r="234" spans="1:20" outlineLevel="1" x14ac:dyDescent="0.2">
      <c r="A234" s="3" t="s">
        <v>4047</v>
      </c>
      <c r="B234" s="14">
        <v>-14416507.200000001</v>
      </c>
      <c r="C234" s="13"/>
      <c r="D234" s="14">
        <v>-396498.06</v>
      </c>
      <c r="E234" s="13"/>
      <c r="F234" s="14">
        <v>32379.599999999999</v>
      </c>
      <c r="G234" s="13"/>
      <c r="H234" s="14">
        <v>0</v>
      </c>
      <c r="I234" s="13"/>
      <c r="J234" s="14">
        <v>0</v>
      </c>
      <c r="K234" s="13"/>
      <c r="L234" s="14">
        <v>6533.84</v>
      </c>
      <c r="M234" s="13"/>
      <c r="N234" s="14">
        <v>0</v>
      </c>
      <c r="O234" s="13"/>
      <c r="P234" s="14">
        <v>0</v>
      </c>
      <c r="Q234" s="13"/>
      <c r="R234" s="14">
        <f t="shared" si="12"/>
        <v>-14774091.820000002</v>
      </c>
    </row>
    <row r="235" spans="1:20" outlineLevel="1" x14ac:dyDescent="0.2">
      <c r="A235" s="3" t="s">
        <v>4048</v>
      </c>
      <c r="B235" s="14">
        <v>0</v>
      </c>
      <c r="C235" s="13"/>
      <c r="D235" s="14">
        <v>0</v>
      </c>
      <c r="E235" s="13"/>
      <c r="F235" s="14">
        <v>0</v>
      </c>
      <c r="G235" s="13"/>
      <c r="H235" s="14">
        <v>0</v>
      </c>
      <c r="I235" s="13"/>
      <c r="J235" s="14">
        <v>0</v>
      </c>
      <c r="K235" s="13"/>
      <c r="L235" s="14">
        <v>0</v>
      </c>
      <c r="M235" s="13"/>
      <c r="N235" s="14">
        <v>0</v>
      </c>
      <c r="O235" s="13"/>
      <c r="P235" s="14">
        <v>0</v>
      </c>
      <c r="Q235" s="13"/>
      <c r="R235" s="14">
        <f t="shared" si="12"/>
        <v>0</v>
      </c>
    </row>
    <row r="236" spans="1:20" outlineLevel="1" x14ac:dyDescent="0.2">
      <c r="A236" s="3" t="s">
        <v>4049</v>
      </c>
      <c r="B236" s="14">
        <v>-3097.1699999999996</v>
      </c>
      <c r="C236" s="13"/>
      <c r="D236" s="14">
        <v>-799.68</v>
      </c>
      <c r="E236" s="13"/>
      <c r="F236" s="14">
        <v>0</v>
      </c>
      <c r="G236" s="13"/>
      <c r="H236" s="14">
        <v>0</v>
      </c>
      <c r="I236" s="13"/>
      <c r="J236" s="14">
        <v>0</v>
      </c>
      <c r="K236" s="13"/>
      <c r="L236" s="14">
        <v>0</v>
      </c>
      <c r="M236" s="13"/>
      <c r="N236" s="14">
        <v>0</v>
      </c>
      <c r="O236" s="13"/>
      <c r="P236" s="14">
        <v>0</v>
      </c>
      <c r="Q236" s="13"/>
      <c r="R236" s="14">
        <f t="shared" si="12"/>
        <v>-3896.8499999999995</v>
      </c>
    </row>
    <row r="237" spans="1:20" outlineLevel="1" x14ac:dyDescent="0.2">
      <c r="A237" s="3" t="s">
        <v>4050</v>
      </c>
      <c r="B237" s="14">
        <v>0</v>
      </c>
      <c r="C237" s="13"/>
      <c r="D237" s="14">
        <v>-32284.57</v>
      </c>
      <c r="E237" s="13"/>
      <c r="F237" s="14">
        <v>0</v>
      </c>
      <c r="G237" s="13"/>
      <c r="H237" s="14">
        <v>0</v>
      </c>
      <c r="I237" s="13"/>
      <c r="J237" s="14">
        <v>0</v>
      </c>
      <c r="K237" s="13"/>
      <c r="M237" s="13"/>
      <c r="O237" s="13"/>
      <c r="Q237" s="13"/>
      <c r="R237" s="14">
        <f t="shared" si="12"/>
        <v>-32284.57</v>
      </c>
    </row>
    <row r="238" spans="1:20" outlineLevel="1" x14ac:dyDescent="0.2">
      <c r="A238" s="3" t="s">
        <v>4051</v>
      </c>
      <c r="B238" s="14">
        <v>-10594283.159999998</v>
      </c>
      <c r="C238" s="13"/>
      <c r="D238" s="14">
        <v>-2067174.9</v>
      </c>
      <c r="E238" s="13"/>
      <c r="F238" s="14">
        <v>0</v>
      </c>
      <c r="G238" s="13"/>
      <c r="H238" s="14">
        <v>0</v>
      </c>
      <c r="I238" s="13"/>
      <c r="J238" s="14">
        <v>0</v>
      </c>
      <c r="K238" s="13"/>
      <c r="L238" s="14">
        <v>0</v>
      </c>
      <c r="M238" s="13"/>
      <c r="N238" s="14">
        <v>0</v>
      </c>
      <c r="O238" s="13"/>
      <c r="P238" s="14">
        <v>0</v>
      </c>
      <c r="Q238" s="13"/>
      <c r="R238" s="14">
        <f t="shared" si="12"/>
        <v>-12661458.059999999</v>
      </c>
    </row>
    <row r="239" spans="1:20" outlineLevel="1" x14ac:dyDescent="0.2">
      <c r="A239" s="3" t="s">
        <v>4052</v>
      </c>
      <c r="B239" s="14">
        <v>-4.6566128730773926E-10</v>
      </c>
      <c r="C239" s="13"/>
      <c r="D239" s="14">
        <v>0</v>
      </c>
      <c r="E239" s="13"/>
      <c r="F239" s="14">
        <v>0</v>
      </c>
      <c r="G239" s="13"/>
      <c r="H239" s="14">
        <v>0</v>
      </c>
      <c r="I239" s="13"/>
      <c r="J239" s="14">
        <v>0</v>
      </c>
      <c r="K239" s="13"/>
      <c r="L239" s="14">
        <v>0</v>
      </c>
      <c r="M239" s="13"/>
      <c r="N239" s="14">
        <v>0</v>
      </c>
      <c r="O239" s="13"/>
      <c r="P239" s="14">
        <v>0</v>
      </c>
      <c r="Q239" s="13"/>
      <c r="R239" s="14">
        <f t="shared" si="12"/>
        <v>-4.6566128730773926E-10</v>
      </c>
    </row>
    <row r="240" spans="1:20" outlineLevel="1" x14ac:dyDescent="0.2">
      <c r="A240" s="3" t="s">
        <v>4053</v>
      </c>
      <c r="B240" s="14">
        <v>-17487269.510000009</v>
      </c>
      <c r="C240" s="13"/>
      <c r="D240" s="14">
        <v>-62853.69</v>
      </c>
      <c r="E240" s="13"/>
      <c r="F240" s="14">
        <v>99881.48</v>
      </c>
      <c r="G240" s="13"/>
      <c r="H240" s="14">
        <v>0</v>
      </c>
      <c r="I240" s="13"/>
      <c r="J240" s="14">
        <v>0</v>
      </c>
      <c r="K240" s="13"/>
      <c r="L240" s="14">
        <v>249890.84</v>
      </c>
      <c r="M240" s="13"/>
      <c r="N240" s="14">
        <v>0</v>
      </c>
      <c r="O240" s="13"/>
      <c r="P240" s="14">
        <v>0</v>
      </c>
      <c r="Q240" s="13"/>
      <c r="R240" s="14">
        <f t="shared" si="12"/>
        <v>-17200350.88000001</v>
      </c>
    </row>
    <row r="241" spans="1:18" outlineLevel="1" x14ac:dyDescent="0.2">
      <c r="A241" s="3" t="s">
        <v>4054</v>
      </c>
      <c r="B241" s="14">
        <v>1.8189894035458565E-12</v>
      </c>
      <c r="C241" s="13"/>
      <c r="D241" s="14">
        <v>0</v>
      </c>
      <c r="E241" s="13"/>
      <c r="F241" s="14">
        <v>0</v>
      </c>
      <c r="G241" s="13"/>
      <c r="H241" s="14">
        <v>0</v>
      </c>
      <c r="I241" s="13"/>
      <c r="J241" s="14">
        <v>0</v>
      </c>
      <c r="K241" s="13"/>
      <c r="L241" s="14">
        <v>0</v>
      </c>
      <c r="M241" s="13"/>
      <c r="N241" s="14">
        <v>0</v>
      </c>
      <c r="O241" s="13"/>
      <c r="P241" s="14">
        <v>0</v>
      </c>
      <c r="Q241" s="13"/>
      <c r="R241" s="14">
        <f t="shared" si="12"/>
        <v>1.8189894035458565E-12</v>
      </c>
    </row>
    <row r="242" spans="1:18" outlineLevel="1" x14ac:dyDescent="0.2">
      <c r="A242" s="3" t="s">
        <v>4055</v>
      </c>
      <c r="B242" s="14">
        <v>-7417563.3500000006</v>
      </c>
      <c r="C242" s="13"/>
      <c r="D242" s="14">
        <v>-91949.28</v>
      </c>
      <c r="E242" s="13"/>
      <c r="F242" s="14">
        <v>0</v>
      </c>
      <c r="G242" s="13"/>
      <c r="H242" s="14">
        <v>0</v>
      </c>
      <c r="I242" s="13"/>
      <c r="J242" s="14">
        <v>0</v>
      </c>
      <c r="K242" s="13"/>
      <c r="L242" s="14">
        <v>0</v>
      </c>
      <c r="M242" s="13"/>
      <c r="N242" s="14">
        <v>0</v>
      </c>
      <c r="O242" s="13"/>
      <c r="P242" s="14">
        <v>0</v>
      </c>
      <c r="Q242" s="13"/>
      <c r="R242" s="14">
        <f t="shared" si="12"/>
        <v>-7509512.6300000008</v>
      </c>
    </row>
    <row r="243" spans="1:18" outlineLevel="1" x14ac:dyDescent="0.2">
      <c r="A243" s="3" t="s">
        <v>4056</v>
      </c>
      <c r="B243" s="14">
        <v>-14315444.359999998</v>
      </c>
      <c r="C243" s="13"/>
      <c r="D243" s="14">
        <v>-136304.97</v>
      </c>
      <c r="E243" s="13"/>
      <c r="F243" s="14">
        <v>0</v>
      </c>
      <c r="G243" s="13"/>
      <c r="H243" s="14">
        <v>0</v>
      </c>
      <c r="I243" s="13"/>
      <c r="J243" s="14">
        <v>0</v>
      </c>
      <c r="K243" s="13"/>
      <c r="L243" s="14">
        <v>0</v>
      </c>
      <c r="M243" s="13"/>
      <c r="N243" s="14">
        <v>0</v>
      </c>
      <c r="O243" s="13"/>
      <c r="P243" s="14">
        <v>0</v>
      </c>
      <c r="Q243" s="13"/>
      <c r="R243" s="14">
        <f t="shared" si="12"/>
        <v>-14451749.329999998</v>
      </c>
    </row>
    <row r="244" spans="1:18" outlineLevel="1" x14ac:dyDescent="0.2">
      <c r="A244" s="3" t="s">
        <v>4057</v>
      </c>
      <c r="B244" s="14">
        <v>-33433191.429999996</v>
      </c>
      <c r="C244" s="13"/>
      <c r="D244" s="14">
        <v>-583945</v>
      </c>
      <c r="E244" s="13"/>
      <c r="F244" s="14">
        <v>0</v>
      </c>
      <c r="G244" s="13"/>
      <c r="H244" s="14">
        <v>0</v>
      </c>
      <c r="I244" s="13"/>
      <c r="J244" s="14">
        <v>0</v>
      </c>
      <c r="K244" s="13"/>
      <c r="L244" s="14">
        <v>0</v>
      </c>
      <c r="M244" s="13"/>
      <c r="N244" s="14">
        <v>0</v>
      </c>
      <c r="O244" s="13"/>
      <c r="P244" s="14">
        <v>0</v>
      </c>
      <c r="Q244" s="13"/>
      <c r="R244" s="14">
        <f t="shared" si="12"/>
        <v>-34017136.429999992</v>
      </c>
    </row>
    <row r="245" spans="1:18" outlineLevel="1" x14ac:dyDescent="0.2">
      <c r="A245" s="3" t="s">
        <v>4058</v>
      </c>
      <c r="B245" s="14">
        <v>0</v>
      </c>
      <c r="C245" s="13"/>
      <c r="D245" s="14">
        <v>0</v>
      </c>
      <c r="E245" s="13"/>
      <c r="F245" s="14">
        <v>0</v>
      </c>
      <c r="G245" s="13"/>
      <c r="H245" s="14">
        <v>0</v>
      </c>
      <c r="I245" s="13"/>
      <c r="J245" s="14">
        <v>0</v>
      </c>
      <c r="K245" s="13"/>
      <c r="L245" s="14">
        <v>0</v>
      </c>
      <c r="M245" s="13"/>
      <c r="N245" s="14">
        <v>0</v>
      </c>
      <c r="O245" s="13"/>
      <c r="P245" s="14">
        <v>0</v>
      </c>
      <c r="Q245" s="13"/>
      <c r="R245" s="14">
        <f t="shared" si="12"/>
        <v>0</v>
      </c>
    </row>
    <row r="246" spans="1:18" outlineLevel="1" x14ac:dyDescent="0.2">
      <c r="A246" s="73" t="s">
        <v>4059</v>
      </c>
      <c r="B246" s="14">
        <v>-212107.02</v>
      </c>
      <c r="C246" s="13"/>
      <c r="D246" s="14">
        <v>-124647.3</v>
      </c>
      <c r="E246" s="13"/>
      <c r="F246" s="14">
        <v>0</v>
      </c>
      <c r="G246" s="13"/>
      <c r="H246" s="14">
        <v>0</v>
      </c>
      <c r="I246" s="13"/>
      <c r="J246" s="14">
        <v>0</v>
      </c>
      <c r="K246" s="13"/>
      <c r="L246" s="14">
        <v>0</v>
      </c>
      <c r="M246" s="13"/>
      <c r="N246" s="14">
        <v>0</v>
      </c>
      <c r="O246" s="13"/>
      <c r="P246" s="14">
        <v>0</v>
      </c>
      <c r="Q246" s="13"/>
      <c r="R246" s="14">
        <f t="shared" si="12"/>
        <v>-336754.32</v>
      </c>
    </row>
    <row r="247" spans="1:18" outlineLevel="1" x14ac:dyDescent="0.2">
      <c r="A247" s="3" t="s">
        <v>4060</v>
      </c>
      <c r="B247" s="14">
        <v>-16236191.859999998</v>
      </c>
      <c r="C247" s="13"/>
      <c r="D247" s="14">
        <v>-755498.77</v>
      </c>
      <c r="E247" s="13"/>
      <c r="F247" s="14">
        <v>331483.39</v>
      </c>
      <c r="G247" s="13"/>
      <c r="H247" s="14">
        <v>0</v>
      </c>
      <c r="I247" s="13"/>
      <c r="J247" s="14">
        <v>0</v>
      </c>
      <c r="K247" s="13"/>
      <c r="L247" s="14">
        <v>235028.12</v>
      </c>
      <c r="M247" s="13"/>
      <c r="N247" s="14">
        <v>0</v>
      </c>
      <c r="O247" s="13"/>
      <c r="P247" s="14">
        <v>0</v>
      </c>
      <c r="Q247" s="13"/>
      <c r="R247" s="14">
        <f t="shared" si="12"/>
        <v>-16425179.119999999</v>
      </c>
    </row>
    <row r="248" spans="1:18" outlineLevel="1" x14ac:dyDescent="0.2">
      <c r="A248" s="3" t="s">
        <v>4061</v>
      </c>
      <c r="B248" s="14">
        <v>0</v>
      </c>
      <c r="C248" s="13"/>
      <c r="D248" s="14">
        <v>0</v>
      </c>
      <c r="E248" s="13"/>
      <c r="F248" s="14">
        <v>0</v>
      </c>
      <c r="G248" s="13"/>
      <c r="H248" s="14">
        <v>0</v>
      </c>
      <c r="I248" s="13"/>
      <c r="J248" s="14">
        <v>0</v>
      </c>
      <c r="K248" s="13"/>
      <c r="L248" s="14">
        <v>0</v>
      </c>
      <c r="M248" s="13"/>
      <c r="N248" s="14">
        <v>0</v>
      </c>
      <c r="O248" s="13"/>
      <c r="P248" s="14">
        <v>0</v>
      </c>
      <c r="Q248" s="13"/>
      <c r="R248" s="14">
        <f t="shared" si="12"/>
        <v>0</v>
      </c>
    </row>
    <row r="249" spans="1:18" outlineLevel="1" x14ac:dyDescent="0.2">
      <c r="A249" s="3" t="s">
        <v>4062</v>
      </c>
      <c r="B249" s="14">
        <v>3.637978807091713E-12</v>
      </c>
      <c r="C249" s="13"/>
      <c r="D249" s="14">
        <v>0</v>
      </c>
      <c r="E249" s="13"/>
      <c r="F249" s="14">
        <v>0</v>
      </c>
      <c r="G249" s="13"/>
      <c r="H249" s="14">
        <v>0</v>
      </c>
      <c r="I249" s="13"/>
      <c r="J249" s="14">
        <v>0</v>
      </c>
      <c r="K249" s="13"/>
      <c r="L249" s="14">
        <v>0</v>
      </c>
      <c r="M249" s="13"/>
      <c r="N249" s="14">
        <v>0</v>
      </c>
      <c r="O249" s="13"/>
      <c r="P249" s="14">
        <v>0</v>
      </c>
      <c r="Q249" s="13"/>
      <c r="R249" s="14">
        <f t="shared" si="12"/>
        <v>3.637978807091713E-12</v>
      </c>
    </row>
    <row r="250" spans="1:18" outlineLevel="1" x14ac:dyDescent="0.2">
      <c r="A250" s="43" t="s">
        <v>4063</v>
      </c>
      <c r="B250" s="14">
        <v>-137754.90000000002</v>
      </c>
      <c r="C250" s="13"/>
      <c r="D250" s="14">
        <v>-97906.78</v>
      </c>
      <c r="E250" s="13"/>
      <c r="F250" s="14">
        <v>0</v>
      </c>
      <c r="G250" s="13"/>
      <c r="H250" s="14">
        <v>0</v>
      </c>
      <c r="I250" s="13"/>
      <c r="J250" s="14">
        <v>0</v>
      </c>
      <c r="K250" s="13"/>
      <c r="L250" s="14">
        <v>0</v>
      </c>
      <c r="M250" s="13"/>
      <c r="N250" s="14">
        <v>0</v>
      </c>
      <c r="O250" s="13"/>
      <c r="P250" s="14">
        <v>0</v>
      </c>
      <c r="Q250" s="13"/>
      <c r="R250" s="14">
        <f>SUM(B250:P250)</f>
        <v>-235661.68000000002</v>
      </c>
    </row>
    <row r="251" spans="1:18" outlineLevel="1" x14ac:dyDescent="0.2">
      <c r="A251" s="3" t="s">
        <v>4064</v>
      </c>
      <c r="B251" s="14">
        <v>-13906222.990000004</v>
      </c>
      <c r="C251" s="13"/>
      <c r="D251" s="14">
        <v>-178724.64</v>
      </c>
      <c r="E251" s="13"/>
      <c r="F251" s="14">
        <v>0</v>
      </c>
      <c r="G251" s="13"/>
      <c r="H251" s="14">
        <v>0</v>
      </c>
      <c r="I251" s="13"/>
      <c r="J251" s="14">
        <v>0</v>
      </c>
      <c r="K251" s="13"/>
      <c r="L251" s="14">
        <v>0</v>
      </c>
      <c r="M251" s="13"/>
      <c r="N251" s="14">
        <v>0</v>
      </c>
      <c r="O251" s="13"/>
      <c r="P251" s="14">
        <v>0</v>
      </c>
      <c r="Q251" s="13"/>
      <c r="R251" s="14">
        <f t="shared" si="12"/>
        <v>-14084947.630000005</v>
      </c>
    </row>
    <row r="252" spans="1:18" outlineLevel="1" x14ac:dyDescent="0.2">
      <c r="A252" s="3" t="s">
        <v>4065</v>
      </c>
      <c r="B252" s="14">
        <v>0</v>
      </c>
      <c r="C252" s="13"/>
      <c r="D252" s="14">
        <v>0</v>
      </c>
      <c r="E252" s="13"/>
      <c r="F252" s="14">
        <v>0</v>
      </c>
      <c r="G252" s="13"/>
      <c r="H252" s="14">
        <v>0</v>
      </c>
      <c r="I252" s="13"/>
      <c r="J252" s="14">
        <v>0</v>
      </c>
      <c r="K252" s="13"/>
      <c r="L252" s="14">
        <v>0</v>
      </c>
      <c r="M252" s="13"/>
      <c r="N252" s="14">
        <v>0</v>
      </c>
      <c r="O252" s="13"/>
      <c r="P252" s="14">
        <v>0</v>
      </c>
      <c r="Q252" s="13"/>
      <c r="R252" s="14">
        <f t="shared" si="12"/>
        <v>0</v>
      </c>
    </row>
    <row r="253" spans="1:18" outlineLevel="1" x14ac:dyDescent="0.2">
      <c r="A253" s="3" t="s">
        <v>4066</v>
      </c>
      <c r="B253" s="14">
        <v>0</v>
      </c>
      <c r="C253" s="13"/>
      <c r="D253" s="14">
        <v>0</v>
      </c>
      <c r="E253" s="13"/>
      <c r="F253" s="14">
        <v>0</v>
      </c>
      <c r="G253" s="13"/>
      <c r="H253" s="14">
        <v>0</v>
      </c>
      <c r="I253" s="13"/>
      <c r="J253" s="14">
        <v>0</v>
      </c>
      <c r="K253" s="13"/>
      <c r="L253" s="14">
        <v>0</v>
      </c>
      <c r="M253" s="13"/>
      <c r="N253" s="14">
        <v>0</v>
      </c>
      <c r="O253" s="13"/>
      <c r="P253" s="14">
        <v>0</v>
      </c>
      <c r="Q253" s="13"/>
      <c r="R253" s="14">
        <f t="shared" si="12"/>
        <v>0</v>
      </c>
    </row>
    <row r="254" spans="1:18" outlineLevel="1" x14ac:dyDescent="0.2">
      <c r="A254" s="3" t="s">
        <v>4067</v>
      </c>
      <c r="B254" s="14">
        <v>-1746255.1999999995</v>
      </c>
      <c r="C254" s="13"/>
      <c r="D254" s="14">
        <v>0</v>
      </c>
      <c r="E254" s="13"/>
      <c r="F254" s="14">
        <v>0</v>
      </c>
      <c r="G254" s="13"/>
      <c r="H254" s="14">
        <v>0</v>
      </c>
      <c r="I254" s="13"/>
      <c r="J254" s="14">
        <v>0</v>
      </c>
      <c r="K254" s="13"/>
      <c r="L254" s="14">
        <v>0</v>
      </c>
      <c r="M254" s="13"/>
      <c r="N254" s="14">
        <v>0</v>
      </c>
      <c r="O254" s="13"/>
      <c r="P254" s="14">
        <v>0</v>
      </c>
      <c r="Q254" s="13"/>
      <c r="R254" s="14">
        <f t="shared" si="12"/>
        <v>-1746255.1999999995</v>
      </c>
    </row>
    <row r="255" spans="1:18" outlineLevel="1" x14ac:dyDescent="0.2">
      <c r="A255" s="3" t="s">
        <v>4068</v>
      </c>
      <c r="B255" s="14">
        <v>-2808512.16</v>
      </c>
      <c r="C255" s="13"/>
      <c r="D255" s="14">
        <v>0</v>
      </c>
      <c r="E255" s="13"/>
      <c r="F255" s="14">
        <v>0</v>
      </c>
      <c r="G255" s="13"/>
      <c r="H255" s="14">
        <v>131376.18</v>
      </c>
      <c r="I255" s="13"/>
      <c r="J255" s="14">
        <v>0</v>
      </c>
      <c r="K255" s="13"/>
      <c r="L255" s="14">
        <v>0</v>
      </c>
      <c r="M255" s="13"/>
      <c r="N255" s="14">
        <v>0</v>
      </c>
      <c r="O255" s="13"/>
      <c r="P255" s="14">
        <v>0</v>
      </c>
      <c r="Q255" s="13"/>
      <c r="R255" s="14">
        <f t="shared" si="12"/>
        <v>-2677135.98</v>
      </c>
    </row>
    <row r="256" spans="1:18" outlineLevel="1" x14ac:dyDescent="0.2">
      <c r="A256" s="3" t="s">
        <v>4069</v>
      </c>
      <c r="B256" s="14">
        <v>-4238817.22</v>
      </c>
      <c r="C256" s="13"/>
      <c r="D256" s="14">
        <v>-131784.6</v>
      </c>
      <c r="E256" s="13"/>
      <c r="F256" s="14">
        <v>0</v>
      </c>
      <c r="G256" s="13"/>
      <c r="H256" s="14">
        <v>105666.35</v>
      </c>
      <c r="I256" s="13"/>
      <c r="J256" s="14">
        <v>0</v>
      </c>
      <c r="K256" s="13"/>
      <c r="L256" s="14">
        <v>0</v>
      </c>
      <c r="M256" s="13"/>
      <c r="N256" s="14">
        <v>0</v>
      </c>
      <c r="O256" s="13"/>
      <c r="P256" s="14">
        <v>0</v>
      </c>
      <c r="Q256" s="13"/>
      <c r="R256" s="14">
        <f t="shared" si="12"/>
        <v>-4264935.47</v>
      </c>
    </row>
    <row r="257" spans="1:20" outlineLevel="1" x14ac:dyDescent="0.2">
      <c r="A257" s="3" t="s">
        <v>4070</v>
      </c>
      <c r="B257" s="14">
        <v>0</v>
      </c>
      <c r="C257" s="13"/>
      <c r="D257" s="14">
        <v>0</v>
      </c>
      <c r="E257" s="13"/>
      <c r="F257" s="14">
        <v>0</v>
      </c>
      <c r="G257" s="13"/>
      <c r="H257" s="14">
        <v>0</v>
      </c>
      <c r="I257" s="13"/>
      <c r="J257" s="14">
        <v>0</v>
      </c>
      <c r="K257" s="13"/>
      <c r="L257" s="14">
        <v>0</v>
      </c>
      <c r="M257" s="13"/>
      <c r="N257" s="14">
        <v>0</v>
      </c>
      <c r="O257" s="13"/>
      <c r="P257" s="14">
        <v>0</v>
      </c>
      <c r="Q257" s="13"/>
      <c r="R257" s="14">
        <f t="shared" si="12"/>
        <v>0</v>
      </c>
    </row>
    <row r="258" spans="1:20" outlineLevel="1" x14ac:dyDescent="0.2">
      <c r="A258" s="3" t="s">
        <v>4071</v>
      </c>
      <c r="B258" s="14">
        <v>-39691.319999999949</v>
      </c>
      <c r="C258" s="13"/>
      <c r="D258" s="14">
        <v>0</v>
      </c>
      <c r="E258" s="13"/>
      <c r="F258" s="14">
        <v>0</v>
      </c>
      <c r="G258" s="13"/>
      <c r="H258" s="14">
        <v>0</v>
      </c>
      <c r="I258" s="13"/>
      <c r="J258" s="14">
        <v>0</v>
      </c>
      <c r="K258" s="13"/>
      <c r="L258" s="14">
        <v>0</v>
      </c>
      <c r="M258" s="13"/>
      <c r="N258" s="14">
        <v>0</v>
      </c>
      <c r="O258" s="13"/>
      <c r="P258" s="14">
        <v>0</v>
      </c>
      <c r="Q258" s="13"/>
      <c r="R258" s="14">
        <f t="shared" si="12"/>
        <v>-39691.319999999949</v>
      </c>
    </row>
    <row r="259" spans="1:20" outlineLevel="1" x14ac:dyDescent="0.2">
      <c r="A259" s="3" t="s">
        <v>4072</v>
      </c>
      <c r="B259" s="14">
        <v>-724480.15000000014</v>
      </c>
      <c r="C259" s="13"/>
      <c r="D259" s="14">
        <v>-11679.96</v>
      </c>
      <c r="E259" s="13"/>
      <c r="F259" s="14">
        <v>0</v>
      </c>
      <c r="G259" s="13"/>
      <c r="H259" s="14">
        <v>0</v>
      </c>
      <c r="I259" s="13"/>
      <c r="J259" s="14">
        <v>0</v>
      </c>
      <c r="K259" s="13"/>
      <c r="L259" s="14">
        <v>0</v>
      </c>
      <c r="M259" s="13"/>
      <c r="N259" s="14">
        <v>0</v>
      </c>
      <c r="O259" s="13"/>
      <c r="P259" s="14">
        <v>0</v>
      </c>
      <c r="Q259" s="13"/>
      <c r="R259" s="14">
        <f t="shared" si="12"/>
        <v>-736160.1100000001</v>
      </c>
    </row>
    <row r="260" spans="1:20" outlineLevel="1" x14ac:dyDescent="0.2">
      <c r="A260" s="43" t="s">
        <v>4073</v>
      </c>
      <c r="B260" s="14">
        <v>-3153915.9</v>
      </c>
      <c r="C260" s="13"/>
      <c r="D260" s="14">
        <v>-75567.72</v>
      </c>
      <c r="E260" s="13"/>
      <c r="F260" s="14">
        <v>0</v>
      </c>
      <c r="G260" s="13"/>
      <c r="H260" s="14">
        <v>0</v>
      </c>
      <c r="I260" s="13"/>
      <c r="J260" s="14">
        <v>0</v>
      </c>
      <c r="K260" s="13"/>
      <c r="L260" s="14">
        <v>0</v>
      </c>
      <c r="M260" s="13"/>
      <c r="N260" s="14">
        <v>0</v>
      </c>
      <c r="O260" s="13"/>
      <c r="P260" s="14">
        <v>0</v>
      </c>
      <c r="Q260" s="13"/>
      <c r="R260" s="14">
        <f t="shared" si="12"/>
        <v>-3229483.62</v>
      </c>
    </row>
    <row r="261" spans="1:20" outlineLevel="1" x14ac:dyDescent="0.2">
      <c r="A261" s="3" t="s">
        <v>4074</v>
      </c>
      <c r="B261" s="14">
        <v>-26109936.509999998</v>
      </c>
      <c r="C261" s="13"/>
      <c r="D261" s="14">
        <v>-1827668.85</v>
      </c>
      <c r="E261" s="13"/>
      <c r="F261" s="14">
        <v>98490.35</v>
      </c>
      <c r="G261" s="13"/>
      <c r="H261" s="14">
        <v>0</v>
      </c>
      <c r="I261" s="13"/>
      <c r="J261" s="14">
        <v>0</v>
      </c>
      <c r="K261" s="13"/>
      <c r="L261" s="14">
        <v>5197.43</v>
      </c>
      <c r="M261" s="13"/>
      <c r="N261" s="14">
        <v>0</v>
      </c>
      <c r="O261" s="13"/>
      <c r="P261" s="14">
        <v>-1284.58</v>
      </c>
      <c r="Q261" s="13"/>
      <c r="R261" s="14">
        <f t="shared" si="12"/>
        <v>-27835202.159999996</v>
      </c>
      <c r="T261" s="13"/>
    </row>
    <row r="262" spans="1:20" outlineLevel="1" x14ac:dyDescent="0.2">
      <c r="A262" s="3" t="s">
        <v>4075</v>
      </c>
      <c r="B262" s="14">
        <v>0</v>
      </c>
      <c r="C262" s="13"/>
      <c r="D262" s="14">
        <v>0</v>
      </c>
      <c r="E262" s="13"/>
      <c r="F262" s="14">
        <v>0</v>
      </c>
      <c r="G262" s="13"/>
      <c r="H262" s="14">
        <v>0</v>
      </c>
      <c r="I262" s="13"/>
      <c r="J262" s="14">
        <v>0</v>
      </c>
      <c r="K262" s="13"/>
      <c r="L262" s="14">
        <v>0</v>
      </c>
      <c r="M262" s="13"/>
      <c r="N262" s="14">
        <v>0</v>
      </c>
      <c r="O262" s="13"/>
      <c r="P262" s="14">
        <v>0</v>
      </c>
      <c r="Q262" s="13"/>
      <c r="R262" s="14">
        <f t="shared" si="12"/>
        <v>0</v>
      </c>
      <c r="T262" s="13"/>
    </row>
    <row r="263" spans="1:20" outlineLevel="1" x14ac:dyDescent="0.2">
      <c r="A263" s="73" t="s">
        <v>4076</v>
      </c>
      <c r="B263" s="14">
        <v>-31684.829999999998</v>
      </c>
      <c r="C263" s="13"/>
      <c r="D263" s="14">
        <v>-9069.84</v>
      </c>
      <c r="E263" s="13"/>
      <c r="F263" s="14">
        <v>0</v>
      </c>
      <c r="G263" s="13"/>
      <c r="H263" s="14">
        <v>0</v>
      </c>
      <c r="I263" s="13"/>
      <c r="J263" s="14">
        <v>0</v>
      </c>
      <c r="K263" s="13"/>
      <c r="L263" s="14">
        <v>0</v>
      </c>
      <c r="M263" s="13"/>
      <c r="N263" s="14">
        <v>0</v>
      </c>
      <c r="O263" s="13"/>
      <c r="P263" s="14">
        <v>0</v>
      </c>
      <c r="Q263" s="13"/>
      <c r="R263" s="14">
        <f t="shared" si="12"/>
        <v>-40754.67</v>
      </c>
      <c r="T263" s="13"/>
    </row>
    <row r="264" spans="1:20" outlineLevel="1" x14ac:dyDescent="0.2">
      <c r="A264" s="3" t="s">
        <v>4077</v>
      </c>
      <c r="B264" s="14">
        <v>-554284.6</v>
      </c>
      <c r="C264" s="13"/>
      <c r="D264" s="14">
        <v>0</v>
      </c>
      <c r="E264" s="13"/>
      <c r="F264" s="14">
        <v>0</v>
      </c>
      <c r="G264" s="13"/>
      <c r="H264" s="14">
        <v>0</v>
      </c>
      <c r="I264" s="13"/>
      <c r="J264" s="14">
        <v>0</v>
      </c>
      <c r="K264" s="13"/>
      <c r="L264" s="14">
        <v>0</v>
      </c>
      <c r="M264" s="13"/>
      <c r="N264" s="14">
        <v>0</v>
      </c>
      <c r="O264" s="13"/>
      <c r="P264" s="14">
        <v>0</v>
      </c>
      <c r="Q264" s="13"/>
      <c r="R264" s="14">
        <f t="shared" si="12"/>
        <v>-554284.6</v>
      </c>
    </row>
    <row r="265" spans="1:20" outlineLevel="1" x14ac:dyDescent="0.2">
      <c r="A265" s="3" t="s">
        <v>4078</v>
      </c>
      <c r="B265" s="14">
        <v>-1304218.9899999988</v>
      </c>
      <c r="C265" s="13"/>
      <c r="D265" s="14">
        <v>0</v>
      </c>
      <c r="E265" s="13"/>
      <c r="F265" s="14">
        <v>0</v>
      </c>
      <c r="G265" s="13"/>
      <c r="H265" s="14">
        <v>0</v>
      </c>
      <c r="I265" s="13"/>
      <c r="J265" s="14">
        <v>0</v>
      </c>
      <c r="K265" s="13"/>
      <c r="L265" s="14">
        <v>0</v>
      </c>
      <c r="M265" s="13"/>
      <c r="N265" s="14">
        <v>0</v>
      </c>
      <c r="O265" s="13"/>
      <c r="P265" s="14">
        <v>0</v>
      </c>
      <c r="Q265" s="13"/>
      <c r="R265" s="14">
        <f t="shared" si="12"/>
        <v>-1304218.9899999988</v>
      </c>
    </row>
    <row r="266" spans="1:20" x14ac:dyDescent="0.2">
      <c r="A266" s="3" t="s">
        <v>4079</v>
      </c>
      <c r="B266" s="14">
        <v>-175741363.19</v>
      </c>
      <c r="C266" s="13"/>
      <c r="D266" s="14">
        <f>SUM(D232:D265)</f>
        <v>-6601014.6099999994</v>
      </c>
      <c r="E266" s="13"/>
      <c r="F266" s="14">
        <f>SUM(F232:F265)</f>
        <v>562234.81999999995</v>
      </c>
      <c r="G266" s="13"/>
      <c r="H266" s="14">
        <f>SUM(H232:H265)</f>
        <v>237042.53</v>
      </c>
      <c r="I266" s="13"/>
      <c r="J266" s="14">
        <f>SUM(J232:J265)</f>
        <v>0</v>
      </c>
      <c r="K266" s="13"/>
      <c r="L266" s="14">
        <f>SUM(L232:L265)</f>
        <v>496650.23</v>
      </c>
      <c r="M266" s="13"/>
      <c r="N266" s="14">
        <f>SUM(N232:N265)</f>
        <v>0</v>
      </c>
      <c r="O266" s="13"/>
      <c r="P266" s="14">
        <f>SUM(P232:P265)</f>
        <v>-1284.58</v>
      </c>
      <c r="Q266" s="13"/>
      <c r="R266" s="14">
        <f>SUM(R232:R265)</f>
        <v>-181047734.79999998</v>
      </c>
    </row>
    <row r="267" spans="1:20" outlineLevel="1" x14ac:dyDescent="0.2">
      <c r="A267" s="3" t="s">
        <v>4080</v>
      </c>
      <c r="B267" s="14">
        <v>0</v>
      </c>
      <c r="C267" s="13"/>
      <c r="D267" s="14">
        <v>0</v>
      </c>
      <c r="E267" s="13"/>
      <c r="F267" s="14">
        <v>0</v>
      </c>
      <c r="G267" s="13"/>
      <c r="H267" s="14">
        <v>0</v>
      </c>
      <c r="I267" s="13"/>
      <c r="J267" s="14">
        <v>0</v>
      </c>
      <c r="K267" s="13"/>
      <c r="L267" s="14">
        <v>0</v>
      </c>
      <c r="M267" s="13"/>
      <c r="N267" s="14">
        <v>0</v>
      </c>
      <c r="O267" s="13"/>
      <c r="P267" s="14">
        <v>0</v>
      </c>
      <c r="Q267" s="13"/>
      <c r="R267" s="14">
        <f t="shared" ref="R267:R274" si="13">SUM(B267:P267)</f>
        <v>0</v>
      </c>
    </row>
    <row r="268" spans="1:20" outlineLevel="1" x14ac:dyDescent="0.2">
      <c r="A268" s="3" t="s">
        <v>4081</v>
      </c>
      <c r="B268" s="14">
        <v>0</v>
      </c>
      <c r="C268" s="13"/>
      <c r="D268" s="14">
        <v>0</v>
      </c>
      <c r="E268" s="13"/>
      <c r="F268" s="14">
        <v>0</v>
      </c>
      <c r="G268" s="13"/>
      <c r="H268" s="14">
        <v>0</v>
      </c>
      <c r="I268" s="13"/>
      <c r="J268" s="14">
        <v>0</v>
      </c>
      <c r="K268" s="13"/>
      <c r="L268" s="14">
        <v>0</v>
      </c>
      <c r="M268" s="13"/>
      <c r="N268" s="14">
        <v>0</v>
      </c>
      <c r="O268" s="13"/>
      <c r="P268" s="14">
        <v>0</v>
      </c>
      <c r="Q268" s="13"/>
      <c r="R268" s="14">
        <f>SUM(B268:P268)</f>
        <v>0</v>
      </c>
    </row>
    <row r="269" spans="1:20" outlineLevel="1" x14ac:dyDescent="0.2">
      <c r="A269" s="3" t="s">
        <v>4082</v>
      </c>
      <c r="B269" s="14">
        <v>0</v>
      </c>
      <c r="C269" s="13"/>
      <c r="D269" s="14">
        <v>0</v>
      </c>
      <c r="E269" s="13"/>
      <c r="F269" s="14">
        <v>0</v>
      </c>
      <c r="G269" s="13"/>
      <c r="H269" s="14">
        <v>0</v>
      </c>
      <c r="I269" s="13"/>
      <c r="J269" s="14">
        <v>0</v>
      </c>
      <c r="K269" s="13"/>
      <c r="L269" s="14">
        <v>0</v>
      </c>
      <c r="M269" s="13"/>
      <c r="N269" s="14">
        <v>0</v>
      </c>
      <c r="O269" s="13"/>
      <c r="P269" s="14">
        <v>0</v>
      </c>
      <c r="Q269" s="13"/>
      <c r="R269" s="14">
        <f t="shared" si="13"/>
        <v>0</v>
      </c>
    </row>
    <row r="270" spans="1:20" outlineLevel="1" x14ac:dyDescent="0.2">
      <c r="A270" s="3" t="s">
        <v>4083</v>
      </c>
      <c r="B270" s="14">
        <v>0</v>
      </c>
      <c r="C270" s="13"/>
      <c r="D270" s="14">
        <v>0</v>
      </c>
      <c r="E270" s="13"/>
      <c r="F270" s="14">
        <v>0</v>
      </c>
      <c r="G270" s="13"/>
      <c r="H270" s="14">
        <v>0</v>
      </c>
      <c r="I270" s="13"/>
      <c r="J270" s="14">
        <v>0</v>
      </c>
      <c r="K270" s="13"/>
      <c r="L270" s="14">
        <v>0</v>
      </c>
      <c r="M270" s="13"/>
      <c r="N270" s="14">
        <v>0</v>
      </c>
      <c r="O270" s="13"/>
      <c r="P270" s="14">
        <v>0</v>
      </c>
      <c r="Q270" s="13"/>
      <c r="R270" s="14">
        <f t="shared" si="13"/>
        <v>0</v>
      </c>
    </row>
    <row r="271" spans="1:20" outlineLevel="1" x14ac:dyDescent="0.2">
      <c r="A271" s="3" t="s">
        <v>4084</v>
      </c>
      <c r="B271" s="14">
        <v>0</v>
      </c>
      <c r="C271" s="13"/>
      <c r="D271" s="14">
        <v>0</v>
      </c>
      <c r="E271" s="13"/>
      <c r="F271" s="14">
        <v>0</v>
      </c>
      <c r="G271" s="13"/>
      <c r="H271" s="14">
        <v>0</v>
      </c>
      <c r="I271" s="13"/>
      <c r="J271" s="14">
        <v>0</v>
      </c>
      <c r="K271" s="13"/>
      <c r="L271" s="14">
        <v>0</v>
      </c>
      <c r="M271" s="13"/>
      <c r="N271" s="14">
        <v>0</v>
      </c>
      <c r="O271" s="13"/>
      <c r="P271" s="14">
        <v>0</v>
      </c>
      <c r="Q271" s="13"/>
      <c r="R271" s="14">
        <f t="shared" si="13"/>
        <v>0</v>
      </c>
    </row>
    <row r="272" spans="1:20" outlineLevel="1" x14ac:dyDescent="0.2">
      <c r="A272" s="3" t="s">
        <v>4085</v>
      </c>
      <c r="B272" s="14">
        <v>0</v>
      </c>
      <c r="C272" s="13"/>
      <c r="D272" s="14">
        <v>0</v>
      </c>
      <c r="E272" s="13"/>
      <c r="F272" s="14">
        <v>0</v>
      </c>
      <c r="G272" s="13"/>
      <c r="H272" s="14">
        <v>0</v>
      </c>
      <c r="I272" s="13"/>
      <c r="J272" s="14">
        <v>0</v>
      </c>
      <c r="K272" s="13"/>
      <c r="L272" s="14">
        <v>0</v>
      </c>
      <c r="M272" s="13"/>
      <c r="N272" s="14">
        <v>0</v>
      </c>
      <c r="O272" s="13"/>
      <c r="P272" s="14">
        <v>0</v>
      </c>
      <c r="Q272" s="13"/>
      <c r="R272" s="14">
        <f t="shared" si="13"/>
        <v>0</v>
      </c>
    </row>
    <row r="273" spans="1:18" outlineLevel="1" x14ac:dyDescent="0.2">
      <c r="A273" s="73" t="s">
        <v>4086</v>
      </c>
      <c r="B273" s="14">
        <v>0</v>
      </c>
      <c r="C273" s="13"/>
      <c r="D273" s="14">
        <v>0</v>
      </c>
      <c r="E273" s="13"/>
      <c r="F273" s="14">
        <v>0</v>
      </c>
      <c r="G273" s="13"/>
      <c r="H273" s="14">
        <v>0</v>
      </c>
      <c r="I273" s="13"/>
      <c r="J273" s="14">
        <v>0</v>
      </c>
      <c r="K273" s="13"/>
      <c r="L273" s="14">
        <v>0</v>
      </c>
      <c r="M273" s="13"/>
      <c r="N273" s="14">
        <v>0</v>
      </c>
      <c r="O273" s="13"/>
      <c r="P273" s="14">
        <v>0</v>
      </c>
      <c r="Q273" s="13"/>
      <c r="R273" s="14">
        <f t="shared" si="13"/>
        <v>0</v>
      </c>
    </row>
    <row r="274" spans="1:18" outlineLevel="1" x14ac:dyDescent="0.2">
      <c r="A274" s="3" t="s">
        <v>4087</v>
      </c>
      <c r="B274" s="14">
        <v>0</v>
      </c>
      <c r="C274" s="13"/>
      <c r="D274" s="14">
        <v>0</v>
      </c>
      <c r="E274" s="13"/>
      <c r="F274" s="14">
        <v>0</v>
      </c>
      <c r="G274" s="13"/>
      <c r="H274" s="14">
        <v>0</v>
      </c>
      <c r="I274" s="13"/>
      <c r="J274" s="14">
        <v>0</v>
      </c>
      <c r="K274" s="13"/>
      <c r="L274" s="14">
        <v>0</v>
      </c>
      <c r="M274" s="13"/>
      <c r="N274" s="14">
        <v>0</v>
      </c>
      <c r="O274" s="13"/>
      <c r="P274" s="14">
        <v>0</v>
      </c>
      <c r="Q274" s="13"/>
      <c r="R274" s="14">
        <f t="shared" si="13"/>
        <v>0</v>
      </c>
    </row>
    <row r="275" spans="1:18" x14ac:dyDescent="0.2">
      <c r="A275" s="3" t="s">
        <v>4088</v>
      </c>
      <c r="B275" s="14">
        <v>0</v>
      </c>
      <c r="C275" s="13"/>
      <c r="D275" s="14">
        <f>SUM(D267:D274)</f>
        <v>0</v>
      </c>
      <c r="E275" s="13"/>
      <c r="F275" s="14">
        <f>SUM(F267:F274)</f>
        <v>0</v>
      </c>
      <c r="G275" s="13"/>
      <c r="H275" s="14">
        <f>SUM(H267:H274)</f>
        <v>0</v>
      </c>
      <c r="I275" s="13"/>
      <c r="J275" s="14">
        <f>SUM(J267:J274)</f>
        <v>0</v>
      </c>
      <c r="K275" s="13"/>
      <c r="L275" s="14">
        <f>SUM(L267:L274)</f>
        <v>0</v>
      </c>
      <c r="M275" s="13"/>
      <c r="N275" s="14">
        <f>SUM(N267:N274)</f>
        <v>0</v>
      </c>
      <c r="O275" s="13"/>
      <c r="P275" s="14">
        <f>SUM(P267:P274)</f>
        <v>0</v>
      </c>
      <c r="Q275" s="13"/>
      <c r="R275" s="14">
        <f>SUM(R267:R274)</f>
        <v>0</v>
      </c>
    </row>
    <row r="276" spans="1:18" outlineLevel="1" x14ac:dyDescent="0.2">
      <c r="A276" s="3" t="s">
        <v>4089</v>
      </c>
      <c r="B276" s="14">
        <v>-32269385.860000003</v>
      </c>
      <c r="C276" s="13"/>
      <c r="D276" s="14">
        <v>-1231075.1399999999</v>
      </c>
      <c r="E276" s="13"/>
      <c r="F276" s="14">
        <v>23938.67</v>
      </c>
      <c r="G276" s="14"/>
      <c r="H276" s="14">
        <v>12290258.449999999</v>
      </c>
      <c r="I276" s="14">
        <v>0</v>
      </c>
      <c r="J276" s="14">
        <v>0</v>
      </c>
      <c r="K276" s="14">
        <v>0</v>
      </c>
      <c r="L276" s="14">
        <v>40048.47</v>
      </c>
      <c r="M276" s="13"/>
      <c r="N276" s="14">
        <v>0</v>
      </c>
      <c r="O276" s="13"/>
      <c r="P276" s="14">
        <v>0</v>
      </c>
      <c r="Q276" s="13"/>
      <c r="R276" s="14">
        <f t="shared" ref="R276:R339" si="14">SUM(B276:P276)</f>
        <v>-21146215.410000004</v>
      </c>
    </row>
    <row r="277" spans="1:18" outlineLevel="1" x14ac:dyDescent="0.2">
      <c r="A277" s="3" t="s">
        <v>4090</v>
      </c>
      <c r="B277" s="14">
        <v>0</v>
      </c>
      <c r="C277" s="13"/>
      <c r="D277" s="14">
        <v>0</v>
      </c>
      <c r="E277" s="13"/>
      <c r="F277" s="14">
        <v>0</v>
      </c>
      <c r="G277" s="14"/>
      <c r="H277" s="14">
        <v>-12290258.449999999</v>
      </c>
      <c r="I277" s="14"/>
      <c r="J277" s="14">
        <v>0</v>
      </c>
      <c r="K277" s="14"/>
      <c r="L277" s="14">
        <v>0</v>
      </c>
      <c r="M277" s="13"/>
      <c r="N277" s="14">
        <v>0</v>
      </c>
      <c r="O277" s="13"/>
      <c r="P277" s="14">
        <v>0</v>
      </c>
      <c r="Q277" s="13"/>
      <c r="R277" s="14">
        <f t="shared" si="14"/>
        <v>-12290258.449999999</v>
      </c>
    </row>
    <row r="278" spans="1:18" outlineLevel="1" x14ac:dyDescent="0.2">
      <c r="A278" s="3" t="s">
        <v>4091</v>
      </c>
      <c r="B278" s="14">
        <v>0</v>
      </c>
      <c r="C278" s="13"/>
      <c r="D278" s="14">
        <v>0</v>
      </c>
      <c r="E278" s="13"/>
      <c r="F278" s="14">
        <v>0</v>
      </c>
      <c r="G278" s="14"/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/>
      <c r="N278" s="14">
        <v>0</v>
      </c>
      <c r="O278" s="14"/>
      <c r="P278" s="14">
        <v>0</v>
      </c>
      <c r="Q278" s="13"/>
      <c r="R278" s="14">
        <f t="shared" si="14"/>
        <v>0</v>
      </c>
    </row>
    <row r="279" spans="1:18" outlineLevel="1" x14ac:dyDescent="0.2">
      <c r="A279" s="3" t="s">
        <v>4092</v>
      </c>
      <c r="B279" s="14">
        <v>-20016045.609999999</v>
      </c>
      <c r="C279" s="13"/>
      <c r="D279" s="14">
        <v>-1292331.9099999999</v>
      </c>
      <c r="E279" s="13"/>
      <c r="F279" s="14">
        <v>65890.899999999994</v>
      </c>
      <c r="G279" s="14"/>
      <c r="H279" s="14">
        <v>0</v>
      </c>
      <c r="I279" s="14">
        <v>0</v>
      </c>
      <c r="J279" s="14">
        <v>0</v>
      </c>
      <c r="K279" s="14">
        <v>0</v>
      </c>
      <c r="L279" s="14">
        <v>10726.95</v>
      </c>
      <c r="M279" s="14"/>
      <c r="N279" s="14">
        <v>0</v>
      </c>
      <c r="O279" s="14"/>
      <c r="P279" s="14">
        <v>0</v>
      </c>
      <c r="Q279" s="13"/>
      <c r="R279" s="14">
        <f t="shared" si="14"/>
        <v>-21231759.670000002</v>
      </c>
    </row>
    <row r="280" spans="1:18" outlineLevel="1" x14ac:dyDescent="0.2">
      <c r="A280" s="3" t="s">
        <v>4093</v>
      </c>
      <c r="B280" s="14">
        <v>0</v>
      </c>
      <c r="C280" s="13"/>
      <c r="D280" s="14">
        <v>0</v>
      </c>
      <c r="E280" s="13"/>
      <c r="F280" s="14">
        <v>0</v>
      </c>
      <c r="G280" s="14"/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/>
      <c r="N280" s="14">
        <v>0</v>
      </c>
      <c r="O280" s="14"/>
      <c r="P280" s="14">
        <v>0</v>
      </c>
      <c r="Q280" s="13"/>
      <c r="R280" s="14">
        <f t="shared" si="14"/>
        <v>0</v>
      </c>
    </row>
    <row r="281" spans="1:18" outlineLevel="1" x14ac:dyDescent="0.2">
      <c r="A281" s="3" t="s">
        <v>4094</v>
      </c>
      <c r="B281" s="14">
        <v>0</v>
      </c>
      <c r="C281" s="13"/>
      <c r="D281" s="14">
        <v>0</v>
      </c>
      <c r="E281" s="13"/>
      <c r="F281" s="14">
        <v>0</v>
      </c>
      <c r="G281" s="14"/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/>
      <c r="N281" s="14">
        <v>0</v>
      </c>
      <c r="O281" s="14"/>
      <c r="P281" s="14">
        <v>0</v>
      </c>
      <c r="Q281" s="13"/>
      <c r="R281" s="14">
        <f t="shared" si="14"/>
        <v>0</v>
      </c>
    </row>
    <row r="282" spans="1:18" outlineLevel="1" x14ac:dyDescent="0.2">
      <c r="A282" s="3" t="s">
        <v>4095</v>
      </c>
      <c r="B282" s="14">
        <v>-74967708.230000019</v>
      </c>
      <c r="C282" s="13"/>
      <c r="D282" s="14">
        <v>-3503055.32</v>
      </c>
      <c r="E282" s="13"/>
      <c r="F282" s="14">
        <v>198220.64</v>
      </c>
      <c r="G282" s="14"/>
      <c r="H282" s="14">
        <v>5142557.67</v>
      </c>
      <c r="I282" s="14">
        <v>0</v>
      </c>
      <c r="J282" s="14">
        <v>0</v>
      </c>
      <c r="K282" s="14">
        <v>0</v>
      </c>
      <c r="L282" s="14">
        <v>3659291.21</v>
      </c>
      <c r="M282" s="14"/>
      <c r="N282" s="14">
        <v>0</v>
      </c>
      <c r="O282" s="14"/>
      <c r="P282" s="14">
        <v>0</v>
      </c>
      <c r="Q282" s="13"/>
      <c r="R282" s="14">
        <f t="shared" si="14"/>
        <v>-69470694.030000016</v>
      </c>
    </row>
    <row r="283" spans="1:18" outlineLevel="1" x14ac:dyDescent="0.2">
      <c r="A283" s="3" t="s">
        <v>4096</v>
      </c>
      <c r="B283" s="14">
        <v>0</v>
      </c>
      <c r="C283" s="13"/>
      <c r="D283" s="14">
        <v>0</v>
      </c>
      <c r="E283" s="13"/>
      <c r="F283" s="14">
        <v>0</v>
      </c>
      <c r="G283" s="14"/>
      <c r="H283" s="14">
        <v>-5142557.67</v>
      </c>
      <c r="I283" s="14"/>
      <c r="J283" s="14">
        <v>0</v>
      </c>
      <c r="K283" s="14"/>
      <c r="L283" s="14">
        <v>0</v>
      </c>
      <c r="M283" s="14"/>
      <c r="N283" s="14">
        <v>0</v>
      </c>
      <c r="O283" s="14"/>
      <c r="P283" s="14">
        <v>0</v>
      </c>
      <c r="Q283" s="13"/>
      <c r="R283" s="14">
        <f t="shared" si="14"/>
        <v>-5142557.67</v>
      </c>
    </row>
    <row r="284" spans="1:18" outlineLevel="1" x14ac:dyDescent="0.2">
      <c r="A284" s="3" t="s">
        <v>4097</v>
      </c>
      <c r="B284" s="14">
        <v>0</v>
      </c>
      <c r="C284" s="13"/>
      <c r="D284" s="14">
        <v>0</v>
      </c>
      <c r="E284" s="13"/>
      <c r="F284" s="14">
        <v>0</v>
      </c>
      <c r="G284" s="14"/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/>
      <c r="N284" s="14">
        <v>0</v>
      </c>
      <c r="O284" s="14"/>
      <c r="P284" s="14">
        <v>0</v>
      </c>
      <c r="Q284" s="13"/>
      <c r="R284" s="14">
        <f t="shared" si="14"/>
        <v>0</v>
      </c>
    </row>
    <row r="285" spans="1:18" outlineLevel="1" x14ac:dyDescent="0.2">
      <c r="A285" s="3" t="s">
        <v>4098</v>
      </c>
      <c r="B285" s="14">
        <v>0</v>
      </c>
      <c r="C285" s="13"/>
      <c r="D285" s="14">
        <v>0</v>
      </c>
      <c r="E285" s="13"/>
      <c r="F285" s="14">
        <v>0</v>
      </c>
      <c r="G285" s="14"/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/>
      <c r="N285" s="14">
        <v>0</v>
      </c>
      <c r="O285" s="14"/>
      <c r="P285" s="14">
        <v>0</v>
      </c>
      <c r="Q285" s="13"/>
      <c r="R285" s="14">
        <f t="shared" si="14"/>
        <v>0</v>
      </c>
    </row>
    <row r="286" spans="1:18" outlineLevel="1" x14ac:dyDescent="0.2">
      <c r="A286" s="3" t="s">
        <v>4099</v>
      </c>
      <c r="B286" s="14">
        <v>-10017119.970000001</v>
      </c>
      <c r="C286" s="13"/>
      <c r="D286" s="14">
        <v>-2977681.29</v>
      </c>
      <c r="E286" s="13"/>
      <c r="F286" s="14">
        <v>1187413.3500000001</v>
      </c>
      <c r="G286" s="14"/>
      <c r="H286" s="14">
        <v>0</v>
      </c>
      <c r="I286" s="14">
        <v>0</v>
      </c>
      <c r="J286" s="14">
        <v>0</v>
      </c>
      <c r="K286" s="14">
        <v>0</v>
      </c>
      <c r="L286" s="14">
        <v>171251.87</v>
      </c>
      <c r="M286" s="14"/>
      <c r="N286" s="14">
        <v>0</v>
      </c>
      <c r="O286" s="14"/>
      <c r="P286" s="14">
        <v>-2</v>
      </c>
      <c r="Q286" s="13"/>
      <c r="R286" s="14">
        <f>SUM(B286:P286)</f>
        <v>-11636138.040000003</v>
      </c>
    </row>
    <row r="287" spans="1:18" outlineLevel="1" x14ac:dyDescent="0.2">
      <c r="A287" s="43" t="s">
        <v>4100</v>
      </c>
      <c r="B287" s="14">
        <v>-2871917.4099999997</v>
      </c>
      <c r="C287" s="13"/>
      <c r="D287" s="14">
        <v>-4762405.46</v>
      </c>
      <c r="E287" s="13"/>
      <c r="F287" s="14">
        <v>0</v>
      </c>
      <c r="G287" s="14"/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/>
      <c r="N287" s="14">
        <v>0</v>
      </c>
      <c r="O287" s="14"/>
      <c r="P287" s="14">
        <v>0</v>
      </c>
      <c r="Q287" s="13"/>
      <c r="R287" s="14">
        <f>SUM(B287:P287)</f>
        <v>-7634322.8699999992</v>
      </c>
    </row>
    <row r="288" spans="1:18" outlineLevel="1" x14ac:dyDescent="0.2">
      <c r="A288" s="3" t="s">
        <v>4101</v>
      </c>
      <c r="B288" s="14">
        <v>-90992588.25</v>
      </c>
      <c r="C288" s="13"/>
      <c r="D288" s="14">
        <v>-15220368.039999999</v>
      </c>
      <c r="E288" s="13"/>
      <c r="F288" s="14">
        <v>223199.24</v>
      </c>
      <c r="G288" s="14"/>
      <c r="H288" s="14">
        <v>0</v>
      </c>
      <c r="I288" s="14">
        <v>0</v>
      </c>
      <c r="J288" s="14">
        <v>0</v>
      </c>
      <c r="K288" s="14">
        <v>0</v>
      </c>
      <c r="L288" s="14">
        <v>32191.81</v>
      </c>
      <c r="M288" s="14"/>
      <c r="N288" s="14">
        <v>0</v>
      </c>
      <c r="O288" s="14"/>
      <c r="P288" s="14">
        <v>0</v>
      </c>
      <c r="Q288" s="13"/>
      <c r="R288" s="14">
        <f t="shared" si="14"/>
        <v>-105957565.23999999</v>
      </c>
    </row>
    <row r="289" spans="1:18" outlineLevel="1" x14ac:dyDescent="0.2">
      <c r="A289" s="3" t="s">
        <v>4102</v>
      </c>
      <c r="B289" s="14">
        <v>0</v>
      </c>
      <c r="C289" s="13"/>
      <c r="D289" s="14">
        <v>0</v>
      </c>
      <c r="E289" s="13"/>
      <c r="F289" s="14">
        <v>0</v>
      </c>
      <c r="G289" s="14"/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/>
      <c r="N289" s="14">
        <v>0</v>
      </c>
      <c r="O289" s="14"/>
      <c r="P289" s="14">
        <v>0</v>
      </c>
      <c r="Q289" s="13"/>
      <c r="R289" s="14">
        <f t="shared" si="14"/>
        <v>0</v>
      </c>
    </row>
    <row r="290" spans="1:18" outlineLevel="1" x14ac:dyDescent="0.2">
      <c r="A290" s="3" t="s">
        <v>4103</v>
      </c>
      <c r="B290" s="14">
        <v>-97096877.439999998</v>
      </c>
      <c r="C290" s="13"/>
      <c r="D290" s="14">
        <v>-5391008.7999999998</v>
      </c>
      <c r="E290" s="13"/>
      <c r="F290" s="14">
        <v>1353667.52</v>
      </c>
      <c r="G290" s="14"/>
      <c r="H290" s="14">
        <v>2071909.6</v>
      </c>
      <c r="I290" s="14">
        <v>0</v>
      </c>
      <c r="J290" s="14">
        <v>0</v>
      </c>
      <c r="K290" s="14">
        <v>0</v>
      </c>
      <c r="L290" s="14">
        <v>241564.28</v>
      </c>
      <c r="M290" s="14"/>
      <c r="N290" s="14">
        <v>-18232.21</v>
      </c>
      <c r="O290" s="14"/>
      <c r="P290" s="14">
        <v>0</v>
      </c>
      <c r="Q290" s="13"/>
      <c r="R290" s="14">
        <f t="shared" si="14"/>
        <v>-98838977.049999997</v>
      </c>
    </row>
    <row r="291" spans="1:18" outlineLevel="1" x14ac:dyDescent="0.2">
      <c r="A291" s="3" t="s">
        <v>4104</v>
      </c>
      <c r="B291" s="14">
        <v>0</v>
      </c>
      <c r="C291" s="13"/>
      <c r="D291" s="14">
        <v>0</v>
      </c>
      <c r="E291" s="13"/>
      <c r="F291" s="14">
        <v>0</v>
      </c>
      <c r="G291" s="14"/>
      <c r="H291" s="14">
        <v>-2073761.03</v>
      </c>
      <c r="I291" s="14"/>
      <c r="J291" s="14">
        <v>0</v>
      </c>
      <c r="K291" s="14"/>
      <c r="L291" s="14">
        <v>0</v>
      </c>
      <c r="M291" s="14"/>
      <c r="N291" s="14">
        <v>0</v>
      </c>
      <c r="O291" s="14"/>
      <c r="P291" s="14">
        <v>0</v>
      </c>
      <c r="Q291" s="13"/>
      <c r="R291" s="14">
        <f t="shared" si="14"/>
        <v>-2073761.03</v>
      </c>
    </row>
    <row r="292" spans="1:18" outlineLevel="1" x14ac:dyDescent="0.2">
      <c r="A292" s="3" t="s">
        <v>4105</v>
      </c>
      <c r="B292" s="14">
        <v>0</v>
      </c>
      <c r="C292" s="13"/>
      <c r="D292" s="14">
        <v>0</v>
      </c>
      <c r="E292" s="13"/>
      <c r="F292" s="14">
        <v>0</v>
      </c>
      <c r="G292" s="14"/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/>
      <c r="N292" s="14">
        <v>0</v>
      </c>
      <c r="O292" s="14"/>
      <c r="P292" s="14">
        <v>0</v>
      </c>
      <c r="Q292" s="13"/>
      <c r="R292" s="14">
        <f t="shared" si="14"/>
        <v>0</v>
      </c>
    </row>
    <row r="293" spans="1:18" outlineLevel="1" x14ac:dyDescent="0.2">
      <c r="A293" s="3" t="s">
        <v>4106</v>
      </c>
      <c r="B293" s="14">
        <v>0</v>
      </c>
      <c r="C293" s="13"/>
      <c r="D293" s="14">
        <v>0</v>
      </c>
      <c r="E293" s="13"/>
      <c r="F293" s="14">
        <v>0</v>
      </c>
      <c r="G293" s="14"/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/>
      <c r="N293" s="14">
        <v>0</v>
      </c>
      <c r="O293" s="14"/>
      <c r="P293" s="14">
        <v>0</v>
      </c>
      <c r="Q293" s="13"/>
      <c r="R293" s="14">
        <f t="shared" si="14"/>
        <v>0</v>
      </c>
    </row>
    <row r="294" spans="1:18" outlineLevel="1" x14ac:dyDescent="0.2">
      <c r="A294" s="3" t="s">
        <v>4107</v>
      </c>
      <c r="B294" s="14">
        <v>-6844018.5700000003</v>
      </c>
      <c r="C294" s="13"/>
      <c r="D294" s="14">
        <v>-4431718.62</v>
      </c>
      <c r="E294" s="13"/>
      <c r="F294" s="14">
        <v>0</v>
      </c>
      <c r="G294" s="14"/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/>
      <c r="N294" s="14">
        <v>0</v>
      </c>
      <c r="O294" s="14"/>
      <c r="P294" s="14">
        <v>0</v>
      </c>
      <c r="Q294" s="13"/>
      <c r="R294" s="14">
        <f t="shared" si="14"/>
        <v>-11275737.190000001</v>
      </c>
    </row>
    <row r="295" spans="1:18" outlineLevel="1" x14ac:dyDescent="0.2">
      <c r="A295" s="3" t="s">
        <v>4108</v>
      </c>
      <c r="B295" s="14">
        <v>0</v>
      </c>
      <c r="C295" s="13"/>
      <c r="D295" s="14">
        <v>0</v>
      </c>
      <c r="E295" s="13"/>
      <c r="F295" s="14">
        <v>0</v>
      </c>
      <c r="G295" s="14"/>
      <c r="H295" s="14">
        <v>-39208.92</v>
      </c>
      <c r="I295" s="14"/>
      <c r="J295" s="14">
        <v>0</v>
      </c>
      <c r="K295" s="14"/>
      <c r="L295" s="14">
        <v>0</v>
      </c>
      <c r="M295" s="14"/>
      <c r="N295" s="14">
        <v>0</v>
      </c>
      <c r="O295" s="14"/>
      <c r="P295" s="14">
        <v>0</v>
      </c>
      <c r="Q295" s="13"/>
      <c r="R295" s="14">
        <f t="shared" si="14"/>
        <v>-39208.92</v>
      </c>
    </row>
    <row r="296" spans="1:18" outlineLevel="1" x14ac:dyDescent="0.2">
      <c r="A296" s="3" t="s">
        <v>4109</v>
      </c>
      <c r="B296" s="14">
        <v>-52198983.870000005</v>
      </c>
      <c r="C296" s="13"/>
      <c r="D296" s="14">
        <v>-5489374.2000000002</v>
      </c>
      <c r="E296" s="13"/>
      <c r="F296" s="14">
        <v>7961.09</v>
      </c>
      <c r="G296" s="14"/>
      <c r="H296" s="14">
        <v>39208.92</v>
      </c>
      <c r="I296" s="14">
        <v>0</v>
      </c>
      <c r="J296" s="14">
        <v>0</v>
      </c>
      <c r="K296" s="14">
        <v>0</v>
      </c>
      <c r="L296" s="14">
        <v>1503.19</v>
      </c>
      <c r="M296" s="14"/>
      <c r="N296" s="14">
        <v>0</v>
      </c>
      <c r="O296" s="14"/>
      <c r="P296" s="14">
        <v>0</v>
      </c>
      <c r="Q296" s="13"/>
      <c r="R296" s="14">
        <f t="shared" si="14"/>
        <v>-57639684.870000005</v>
      </c>
    </row>
    <row r="297" spans="1:18" outlineLevel="1" x14ac:dyDescent="0.2">
      <c r="A297" s="3" t="s">
        <v>4110</v>
      </c>
      <c r="B297" s="14">
        <v>0</v>
      </c>
      <c r="C297" s="13"/>
      <c r="D297" s="14">
        <v>0</v>
      </c>
      <c r="E297" s="13"/>
      <c r="F297" s="14">
        <v>0</v>
      </c>
      <c r="G297" s="14"/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/>
      <c r="N297" s="14">
        <v>0</v>
      </c>
      <c r="O297" s="14"/>
      <c r="P297" s="14">
        <v>0</v>
      </c>
      <c r="Q297" s="13"/>
      <c r="R297" s="14">
        <f t="shared" si="14"/>
        <v>0</v>
      </c>
    </row>
    <row r="298" spans="1:18" outlineLevel="1" x14ac:dyDescent="0.2">
      <c r="A298" s="3" t="s">
        <v>4111</v>
      </c>
      <c r="B298" s="14">
        <v>-68124697.469999984</v>
      </c>
      <c r="C298" s="13"/>
      <c r="D298" s="14">
        <v>-2054503.48</v>
      </c>
      <c r="E298" s="13"/>
      <c r="F298" s="14">
        <v>466082.24</v>
      </c>
      <c r="G298" s="14"/>
      <c r="H298" s="14">
        <v>1851.43</v>
      </c>
      <c r="I298" s="14">
        <v>0</v>
      </c>
      <c r="J298" s="14">
        <v>0</v>
      </c>
      <c r="K298" s="14">
        <v>0</v>
      </c>
      <c r="L298" s="14">
        <v>284228.23</v>
      </c>
      <c r="M298" s="14"/>
      <c r="N298" s="14">
        <v>-66.37</v>
      </c>
      <c r="O298" s="14"/>
      <c r="P298" s="14">
        <v>0</v>
      </c>
      <c r="Q298" s="13"/>
      <c r="R298" s="14">
        <f t="shared" si="14"/>
        <v>-69427105.419999987</v>
      </c>
    </row>
    <row r="299" spans="1:18" outlineLevel="1" x14ac:dyDescent="0.2">
      <c r="A299" s="3" t="s">
        <v>4112</v>
      </c>
      <c r="B299" s="14">
        <v>0</v>
      </c>
      <c r="C299" s="13"/>
      <c r="D299" s="14">
        <v>0</v>
      </c>
      <c r="E299" s="13"/>
      <c r="F299" s="14">
        <v>0</v>
      </c>
      <c r="G299" s="14"/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/>
      <c r="N299" s="14">
        <v>0</v>
      </c>
      <c r="O299" s="14"/>
      <c r="P299" s="14">
        <v>0</v>
      </c>
      <c r="Q299" s="13"/>
      <c r="R299" s="14">
        <f t="shared" si="14"/>
        <v>0</v>
      </c>
    </row>
    <row r="300" spans="1:18" outlineLevel="1" x14ac:dyDescent="0.2">
      <c r="A300" s="3" t="s">
        <v>4113</v>
      </c>
      <c r="B300" s="14">
        <v>-2468713.5300000003</v>
      </c>
      <c r="C300" s="13"/>
      <c r="D300" s="14">
        <v>-2243641.62</v>
      </c>
      <c r="E300" s="13"/>
      <c r="F300" s="14">
        <v>0</v>
      </c>
      <c r="G300" s="14"/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/>
      <c r="N300" s="14">
        <v>0</v>
      </c>
      <c r="O300" s="14"/>
      <c r="P300" s="14">
        <v>0</v>
      </c>
      <c r="Q300" s="13"/>
      <c r="R300" s="14">
        <f>SUM(B300:P300)</f>
        <v>-4712355.1500000004</v>
      </c>
    </row>
    <row r="301" spans="1:18" outlineLevel="1" x14ac:dyDescent="0.2">
      <c r="A301" s="3" t="s">
        <v>4114</v>
      </c>
      <c r="B301" s="14">
        <v>0</v>
      </c>
      <c r="C301" s="13"/>
      <c r="D301" s="14">
        <v>0</v>
      </c>
      <c r="E301" s="13"/>
      <c r="F301" s="14">
        <v>0</v>
      </c>
      <c r="G301" s="14"/>
      <c r="H301" s="14">
        <v>-1901133.18</v>
      </c>
      <c r="I301" s="14"/>
      <c r="J301" s="14">
        <v>0</v>
      </c>
      <c r="K301" s="14"/>
      <c r="L301" s="14">
        <v>0</v>
      </c>
      <c r="M301" s="14"/>
      <c r="N301" s="14">
        <v>0</v>
      </c>
      <c r="O301" s="14"/>
      <c r="P301" s="14">
        <v>0</v>
      </c>
      <c r="Q301" s="13"/>
      <c r="R301" s="14">
        <f>SUM(B301:P301)</f>
        <v>-1901133.18</v>
      </c>
    </row>
    <row r="302" spans="1:18" outlineLevel="1" x14ac:dyDescent="0.2">
      <c r="A302" s="3" t="s">
        <v>4115</v>
      </c>
      <c r="B302" s="14">
        <v>-62741340.660000004</v>
      </c>
      <c r="C302" s="13"/>
      <c r="D302" s="14">
        <v>-1513826.7</v>
      </c>
      <c r="E302" s="13"/>
      <c r="F302" s="14">
        <v>34472.589999999997</v>
      </c>
      <c r="G302" s="14"/>
      <c r="H302" s="14">
        <v>1901133.18</v>
      </c>
      <c r="I302" s="14">
        <v>0</v>
      </c>
      <c r="J302" s="14">
        <v>0</v>
      </c>
      <c r="K302" s="14">
        <v>0</v>
      </c>
      <c r="L302" s="14">
        <v>6798.89</v>
      </c>
      <c r="M302" s="14"/>
      <c r="N302" s="14">
        <v>0</v>
      </c>
      <c r="O302" s="14"/>
      <c r="P302" s="14">
        <v>0</v>
      </c>
      <c r="Q302" s="13"/>
      <c r="R302" s="14">
        <f t="shared" si="14"/>
        <v>-62312762.700000003</v>
      </c>
    </row>
    <row r="303" spans="1:18" outlineLevel="1" x14ac:dyDescent="0.2">
      <c r="A303" s="3" t="s">
        <v>4116</v>
      </c>
      <c r="B303" s="14">
        <v>0</v>
      </c>
      <c r="C303" s="13"/>
      <c r="D303" s="14">
        <v>0</v>
      </c>
      <c r="E303" s="13"/>
      <c r="F303" s="14">
        <v>0</v>
      </c>
      <c r="G303" s="14"/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/>
      <c r="N303" s="14">
        <v>0</v>
      </c>
      <c r="O303" s="14"/>
      <c r="P303" s="14">
        <v>0</v>
      </c>
      <c r="Q303" s="13"/>
      <c r="R303" s="14">
        <f t="shared" si="14"/>
        <v>0</v>
      </c>
    </row>
    <row r="304" spans="1:18" outlineLevel="1" x14ac:dyDescent="0.2">
      <c r="A304" s="43" t="s">
        <v>4117</v>
      </c>
      <c r="B304" s="14">
        <v>0</v>
      </c>
      <c r="C304" s="13"/>
      <c r="D304" s="14">
        <v>-54602.19</v>
      </c>
      <c r="E304" s="13"/>
      <c r="F304" s="14">
        <v>0</v>
      </c>
      <c r="G304" s="14"/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/>
      <c r="N304" s="14">
        <v>0</v>
      </c>
      <c r="O304" s="14"/>
      <c r="P304" s="14">
        <v>0</v>
      </c>
      <c r="Q304" s="13"/>
      <c r="R304" s="14">
        <f t="shared" si="14"/>
        <v>-54602.19</v>
      </c>
    </row>
    <row r="305" spans="1:18" outlineLevel="1" x14ac:dyDescent="0.2">
      <c r="A305" s="3" t="s">
        <v>4118</v>
      </c>
      <c r="B305" s="14">
        <v>-166326838.2100001</v>
      </c>
      <c r="C305" s="13"/>
      <c r="D305" s="14">
        <v>-5532368.8300000001</v>
      </c>
      <c r="E305" s="13"/>
      <c r="F305" s="14">
        <v>1493228</v>
      </c>
      <c r="G305" s="14"/>
      <c r="H305" s="14">
        <v>0</v>
      </c>
      <c r="I305" s="14">
        <v>0</v>
      </c>
      <c r="J305" s="14">
        <v>0</v>
      </c>
      <c r="K305" s="14">
        <v>0</v>
      </c>
      <c r="L305" s="14">
        <v>387657.96</v>
      </c>
      <c r="M305" s="14"/>
      <c r="N305" s="14">
        <v>-66.37</v>
      </c>
      <c r="O305" s="14"/>
      <c r="P305" s="14">
        <v>0</v>
      </c>
      <c r="Q305" s="13"/>
      <c r="R305" s="14">
        <f t="shared" si="14"/>
        <v>-169978387.45000011</v>
      </c>
    </row>
    <row r="306" spans="1:18" outlineLevel="1" x14ac:dyDescent="0.2">
      <c r="A306" s="3" t="s">
        <v>4119</v>
      </c>
      <c r="B306" s="14">
        <v>0</v>
      </c>
      <c r="C306" s="13"/>
      <c r="D306" s="14">
        <v>0</v>
      </c>
      <c r="E306" s="13"/>
      <c r="F306" s="14">
        <v>0</v>
      </c>
      <c r="G306" s="14"/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/>
      <c r="N306" s="14">
        <v>0</v>
      </c>
      <c r="O306" s="14"/>
      <c r="P306" s="14">
        <v>0</v>
      </c>
      <c r="Q306" s="13"/>
      <c r="R306" s="14">
        <f t="shared" si="14"/>
        <v>0</v>
      </c>
    </row>
    <row r="307" spans="1:18" outlineLevel="1" x14ac:dyDescent="0.2">
      <c r="A307" s="3" t="s">
        <v>4120</v>
      </c>
      <c r="B307" s="14">
        <v>-8292398.5700000003</v>
      </c>
      <c r="C307" s="13"/>
      <c r="D307" s="14">
        <v>-3641978.22</v>
      </c>
      <c r="E307" s="13"/>
      <c r="F307" s="14">
        <v>0</v>
      </c>
      <c r="G307" s="14"/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/>
      <c r="N307" s="14">
        <v>0</v>
      </c>
      <c r="O307" s="14"/>
      <c r="P307" s="14">
        <v>0</v>
      </c>
      <c r="Q307" s="13"/>
      <c r="R307" s="14">
        <f t="shared" si="14"/>
        <v>-11934376.790000001</v>
      </c>
    </row>
    <row r="308" spans="1:18" outlineLevel="1" x14ac:dyDescent="0.2">
      <c r="A308" s="3" t="s">
        <v>4121</v>
      </c>
      <c r="B308" s="14">
        <v>-141496205.26000005</v>
      </c>
      <c r="C308" s="13"/>
      <c r="D308" s="14">
        <v>-7416339.6500000004</v>
      </c>
      <c r="E308" s="13"/>
      <c r="F308" s="14">
        <v>1036405.3</v>
      </c>
      <c r="G308" s="14"/>
      <c r="H308" s="14">
        <v>14310027.17</v>
      </c>
      <c r="I308" s="14">
        <v>0</v>
      </c>
      <c r="J308" s="14">
        <v>0</v>
      </c>
      <c r="K308" s="14">
        <v>0</v>
      </c>
      <c r="L308" s="14">
        <v>207544.77</v>
      </c>
      <c r="M308" s="14"/>
      <c r="N308" s="14">
        <v>-12075.42</v>
      </c>
      <c r="O308" s="14"/>
      <c r="P308" s="14">
        <v>0</v>
      </c>
      <c r="Q308" s="13"/>
      <c r="R308" s="14">
        <f t="shared" si="14"/>
        <v>-133370643.09000005</v>
      </c>
    </row>
    <row r="309" spans="1:18" outlineLevel="1" x14ac:dyDescent="0.2">
      <c r="A309" s="3" t="s">
        <v>4122</v>
      </c>
      <c r="B309" s="14">
        <v>0</v>
      </c>
      <c r="C309" s="13"/>
      <c r="D309" s="14">
        <v>0</v>
      </c>
      <c r="E309" s="13"/>
      <c r="F309" s="14">
        <v>0</v>
      </c>
      <c r="G309" s="14"/>
      <c r="H309" s="14">
        <v>-14310027.17</v>
      </c>
      <c r="I309" s="14"/>
      <c r="J309" s="14">
        <v>0</v>
      </c>
      <c r="K309" s="14"/>
      <c r="L309" s="14">
        <v>0</v>
      </c>
      <c r="M309" s="14"/>
      <c r="N309" s="14">
        <v>0</v>
      </c>
      <c r="O309" s="14"/>
      <c r="P309" s="14">
        <v>0</v>
      </c>
      <c r="Q309" s="13"/>
      <c r="R309" s="14">
        <f t="shared" si="14"/>
        <v>-14310027.17</v>
      </c>
    </row>
    <row r="310" spans="1:18" outlineLevel="1" x14ac:dyDescent="0.2">
      <c r="A310" s="3" t="s">
        <v>4123</v>
      </c>
      <c r="B310" s="14">
        <v>0</v>
      </c>
      <c r="C310" s="13"/>
      <c r="D310" s="14">
        <v>0</v>
      </c>
      <c r="E310" s="13"/>
      <c r="F310" s="14">
        <v>0</v>
      </c>
      <c r="G310" s="14"/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/>
      <c r="N310" s="14">
        <v>0</v>
      </c>
      <c r="O310" s="14"/>
      <c r="P310" s="14">
        <v>0</v>
      </c>
      <c r="Q310" s="13"/>
      <c r="R310" s="14">
        <f t="shared" si="14"/>
        <v>0</v>
      </c>
    </row>
    <row r="311" spans="1:18" outlineLevel="1" x14ac:dyDescent="0.2">
      <c r="A311" s="3" t="s">
        <v>4124</v>
      </c>
      <c r="B311" s="14">
        <v>0</v>
      </c>
      <c r="C311" s="13"/>
      <c r="D311" s="14">
        <v>0</v>
      </c>
      <c r="E311" s="13"/>
      <c r="F311" s="14">
        <v>0</v>
      </c>
      <c r="G311" s="14"/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/>
      <c r="N311" s="14">
        <v>0</v>
      </c>
      <c r="O311" s="14"/>
      <c r="P311" s="14">
        <v>0</v>
      </c>
      <c r="Q311" s="13"/>
      <c r="R311" s="14">
        <f t="shared" si="14"/>
        <v>0</v>
      </c>
    </row>
    <row r="312" spans="1:18" outlineLevel="1" x14ac:dyDescent="0.2">
      <c r="A312" s="3" t="s">
        <v>4125</v>
      </c>
      <c r="B312" s="14">
        <v>-16539299.300000001</v>
      </c>
      <c r="C312" s="13"/>
      <c r="D312" s="14">
        <v>-7744670.7800000003</v>
      </c>
      <c r="E312" s="13"/>
      <c r="F312" s="14">
        <v>102157.53</v>
      </c>
      <c r="G312" s="14"/>
      <c r="H312" s="14">
        <v>0</v>
      </c>
      <c r="I312" s="14">
        <v>0</v>
      </c>
      <c r="J312" s="14">
        <v>0</v>
      </c>
      <c r="K312" s="14">
        <v>0</v>
      </c>
      <c r="L312" s="14">
        <v>6687.81</v>
      </c>
      <c r="M312" s="14"/>
      <c r="N312" s="14">
        <v>0</v>
      </c>
      <c r="O312" s="14"/>
      <c r="P312" s="14">
        <v>0</v>
      </c>
      <c r="Q312" s="13"/>
      <c r="R312" s="14">
        <f>SUM(B312:P312)</f>
        <v>-24175124.740000002</v>
      </c>
    </row>
    <row r="313" spans="1:18" outlineLevel="1" x14ac:dyDescent="0.2">
      <c r="A313" s="3" t="s">
        <v>4126</v>
      </c>
      <c r="B313" s="14">
        <v>-6896561.0999999996</v>
      </c>
      <c r="C313" s="13"/>
      <c r="D313" s="14">
        <v>-3664346.94</v>
      </c>
      <c r="E313" s="13"/>
      <c r="F313" s="14">
        <v>0</v>
      </c>
      <c r="G313" s="14"/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/>
      <c r="N313" s="14">
        <v>0</v>
      </c>
      <c r="O313" s="14"/>
      <c r="P313" s="14">
        <v>0</v>
      </c>
      <c r="Q313" s="13"/>
      <c r="R313" s="14">
        <f t="shared" si="14"/>
        <v>-10560908.039999999</v>
      </c>
    </row>
    <row r="314" spans="1:18" outlineLevel="1" x14ac:dyDescent="0.2">
      <c r="A314" s="3" t="s">
        <v>4127</v>
      </c>
      <c r="B314" s="14">
        <v>-4.0000000371946953E-2</v>
      </c>
      <c r="C314" s="13"/>
      <c r="D314" s="14">
        <v>0</v>
      </c>
      <c r="E314" s="13"/>
      <c r="F314" s="14">
        <v>0</v>
      </c>
      <c r="G314" s="14"/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/>
      <c r="N314" s="14">
        <v>0</v>
      </c>
      <c r="O314" s="14"/>
      <c r="P314" s="14">
        <v>0</v>
      </c>
      <c r="Q314" s="13"/>
      <c r="R314" s="14">
        <f t="shared" si="14"/>
        <v>-4.0000000371946953E-2</v>
      </c>
    </row>
    <row r="315" spans="1:18" outlineLevel="1" x14ac:dyDescent="0.2">
      <c r="A315" s="3" t="s">
        <v>4128</v>
      </c>
      <c r="B315" s="14">
        <v>-35360662.32</v>
      </c>
      <c r="C315" s="13"/>
      <c r="D315" s="14">
        <v>-4346335.83</v>
      </c>
      <c r="E315" s="13"/>
      <c r="F315" s="14">
        <v>178072.75</v>
      </c>
      <c r="G315" s="14"/>
      <c r="H315" s="14">
        <v>0</v>
      </c>
      <c r="I315" s="14">
        <v>0</v>
      </c>
      <c r="J315" s="14">
        <v>0</v>
      </c>
      <c r="K315" s="14">
        <v>0</v>
      </c>
      <c r="L315" s="14">
        <v>4794.78</v>
      </c>
      <c r="M315" s="14"/>
      <c r="N315" s="14">
        <v>0</v>
      </c>
      <c r="O315" s="14"/>
      <c r="P315" s="14">
        <v>0</v>
      </c>
      <c r="Q315" s="13"/>
      <c r="R315" s="14">
        <f t="shared" si="14"/>
        <v>-39524130.619999997</v>
      </c>
    </row>
    <row r="316" spans="1:18" outlineLevel="1" x14ac:dyDescent="0.2">
      <c r="A316" s="3" t="s">
        <v>4129</v>
      </c>
      <c r="B316" s="14">
        <v>0</v>
      </c>
      <c r="C316" s="13"/>
      <c r="D316" s="14">
        <v>0</v>
      </c>
      <c r="E316" s="13"/>
      <c r="F316" s="14">
        <v>0</v>
      </c>
      <c r="G316" s="14"/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/>
      <c r="N316" s="14">
        <v>0</v>
      </c>
      <c r="O316" s="14"/>
      <c r="P316" s="14">
        <v>0</v>
      </c>
      <c r="Q316" s="13"/>
      <c r="R316" s="14">
        <f t="shared" si="14"/>
        <v>0</v>
      </c>
    </row>
    <row r="317" spans="1:18" outlineLevel="1" x14ac:dyDescent="0.2">
      <c r="A317" s="3" t="s">
        <v>4130</v>
      </c>
      <c r="B317" s="14">
        <v>-86280147.349999994</v>
      </c>
      <c r="C317" s="13"/>
      <c r="D317" s="14">
        <v>-9618514.8100000005</v>
      </c>
      <c r="E317" s="13"/>
      <c r="F317" s="14">
        <v>486369.14</v>
      </c>
      <c r="G317" s="14"/>
      <c r="H317" s="14">
        <v>0</v>
      </c>
      <c r="I317" s="14">
        <v>0</v>
      </c>
      <c r="J317" s="14">
        <v>0</v>
      </c>
      <c r="K317" s="14">
        <v>0</v>
      </c>
      <c r="L317" s="14">
        <v>4585.3</v>
      </c>
      <c r="M317" s="14"/>
      <c r="N317" s="14">
        <v>0</v>
      </c>
      <c r="O317" s="14"/>
      <c r="P317" s="14">
        <v>0</v>
      </c>
      <c r="Q317" s="13"/>
      <c r="R317" s="14">
        <f t="shared" si="14"/>
        <v>-95407707.719999999</v>
      </c>
    </row>
    <row r="318" spans="1:18" outlineLevel="1" x14ac:dyDescent="0.2">
      <c r="A318" s="3" t="s">
        <v>4131</v>
      </c>
      <c r="B318" s="14">
        <v>0</v>
      </c>
      <c r="C318" s="13"/>
      <c r="D318" s="14">
        <v>0</v>
      </c>
      <c r="E318" s="13"/>
      <c r="F318" s="14">
        <v>0</v>
      </c>
      <c r="G318" s="14"/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/>
      <c r="N318" s="14">
        <v>0</v>
      </c>
      <c r="O318" s="14"/>
      <c r="P318" s="14">
        <v>0</v>
      </c>
      <c r="Q318" s="13"/>
      <c r="R318" s="14">
        <f t="shared" si="14"/>
        <v>0</v>
      </c>
    </row>
    <row r="319" spans="1:18" outlineLevel="1" x14ac:dyDescent="0.2">
      <c r="A319" s="3" t="s">
        <v>4132</v>
      </c>
      <c r="B319" s="14">
        <v>-448119.95</v>
      </c>
      <c r="C319" s="13"/>
      <c r="D319" s="14">
        <v>0</v>
      </c>
      <c r="E319" s="13"/>
      <c r="F319" s="14">
        <v>0</v>
      </c>
      <c r="G319" s="14"/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/>
      <c r="N319" s="14">
        <v>0</v>
      </c>
      <c r="O319" s="14"/>
      <c r="P319" s="14">
        <v>0</v>
      </c>
      <c r="Q319" s="13"/>
      <c r="R319" s="14">
        <f t="shared" si="14"/>
        <v>-448119.95</v>
      </c>
    </row>
    <row r="320" spans="1:18" outlineLevel="1" x14ac:dyDescent="0.2">
      <c r="A320" s="3" t="s">
        <v>4133</v>
      </c>
      <c r="B320" s="14">
        <v>-788855.40999999654</v>
      </c>
      <c r="C320" s="13"/>
      <c r="D320" s="14">
        <v>-51886.080000000002</v>
      </c>
      <c r="E320" s="13"/>
      <c r="F320" s="14">
        <v>0</v>
      </c>
      <c r="G320" s="14"/>
      <c r="H320" s="14">
        <v>831695.45</v>
      </c>
      <c r="I320" s="14">
        <v>0</v>
      </c>
      <c r="J320" s="14">
        <v>0</v>
      </c>
      <c r="K320" s="14">
        <v>0</v>
      </c>
      <c r="L320" s="14">
        <v>0</v>
      </c>
      <c r="M320" s="14"/>
      <c r="N320" s="14">
        <v>0</v>
      </c>
      <c r="O320" s="14"/>
      <c r="P320" s="14">
        <v>0</v>
      </c>
      <c r="Q320" s="13"/>
      <c r="R320" s="14">
        <f t="shared" si="14"/>
        <v>-9046.0399999965448</v>
      </c>
    </row>
    <row r="321" spans="1:18" outlineLevel="1" x14ac:dyDescent="0.2">
      <c r="A321" s="3" t="s">
        <v>4134</v>
      </c>
      <c r="B321" s="14">
        <v>0</v>
      </c>
      <c r="C321" s="13"/>
      <c r="D321" s="14">
        <v>0</v>
      </c>
      <c r="E321" s="13"/>
      <c r="F321" s="14">
        <v>0</v>
      </c>
      <c r="G321" s="14"/>
      <c r="H321" s="14">
        <v>-831695.45</v>
      </c>
      <c r="I321" s="14"/>
      <c r="J321" s="14">
        <v>0</v>
      </c>
      <c r="K321" s="14"/>
      <c r="L321" s="14">
        <v>0</v>
      </c>
      <c r="M321" s="14"/>
      <c r="N321" s="14">
        <v>0</v>
      </c>
      <c r="O321" s="14"/>
      <c r="P321" s="14">
        <v>0</v>
      </c>
      <c r="Q321" s="13"/>
      <c r="R321" s="14">
        <f t="shared" si="14"/>
        <v>-831695.45</v>
      </c>
    </row>
    <row r="322" spans="1:18" outlineLevel="1" x14ac:dyDescent="0.2">
      <c r="A322" s="3" t="s">
        <v>4135</v>
      </c>
      <c r="B322" s="14">
        <v>0</v>
      </c>
      <c r="C322" s="13"/>
      <c r="D322" s="14">
        <v>0</v>
      </c>
      <c r="E322" s="13"/>
      <c r="F322" s="14">
        <v>0</v>
      </c>
      <c r="G322" s="14"/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/>
      <c r="N322" s="14">
        <v>0</v>
      </c>
      <c r="O322" s="14"/>
      <c r="P322" s="14">
        <v>0</v>
      </c>
      <c r="Q322" s="13"/>
      <c r="R322" s="14">
        <f t="shared" si="14"/>
        <v>0</v>
      </c>
    </row>
    <row r="323" spans="1:18" outlineLevel="1" x14ac:dyDescent="0.2">
      <c r="A323" s="3" t="s">
        <v>4136</v>
      </c>
      <c r="B323" s="14">
        <v>-1057156.7099999981</v>
      </c>
      <c r="C323" s="13"/>
      <c r="D323" s="14">
        <v>-7677.9</v>
      </c>
      <c r="E323" s="13"/>
      <c r="F323" s="14">
        <v>0</v>
      </c>
      <c r="G323" s="14"/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/>
      <c r="N323" s="14">
        <v>0</v>
      </c>
      <c r="O323" s="14"/>
      <c r="P323" s="14">
        <v>0</v>
      </c>
      <c r="Q323" s="13"/>
      <c r="R323" s="14">
        <f t="shared" si="14"/>
        <v>-1064834.609999998</v>
      </c>
    </row>
    <row r="324" spans="1:18" outlineLevel="1" x14ac:dyDescent="0.2">
      <c r="A324" s="3" t="s">
        <v>4137</v>
      </c>
      <c r="B324" s="14">
        <v>0</v>
      </c>
      <c r="C324" s="13"/>
      <c r="D324" s="14">
        <v>0</v>
      </c>
      <c r="E324" s="13"/>
      <c r="F324" s="14">
        <v>0</v>
      </c>
      <c r="G324" s="14"/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/>
      <c r="N324" s="14">
        <v>0</v>
      </c>
      <c r="O324" s="14"/>
      <c r="P324" s="14">
        <v>0</v>
      </c>
      <c r="Q324" s="13"/>
      <c r="R324" s="14">
        <f t="shared" si="14"/>
        <v>0</v>
      </c>
    </row>
    <row r="325" spans="1:18" outlineLevel="1" x14ac:dyDescent="0.2">
      <c r="A325" s="3" t="s">
        <v>4138</v>
      </c>
      <c r="B325" s="14">
        <v>0</v>
      </c>
      <c r="C325" s="13"/>
      <c r="D325" s="14">
        <v>0</v>
      </c>
      <c r="E325" s="13"/>
      <c r="F325" s="14">
        <v>0</v>
      </c>
      <c r="G325" s="14"/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/>
      <c r="N325" s="14">
        <v>0</v>
      </c>
      <c r="O325" s="14"/>
      <c r="P325" s="14">
        <v>0</v>
      </c>
      <c r="Q325" s="13"/>
      <c r="R325" s="14">
        <f t="shared" si="14"/>
        <v>0</v>
      </c>
    </row>
    <row r="326" spans="1:18" outlineLevel="1" x14ac:dyDescent="0.2">
      <c r="A326" s="3" t="s">
        <v>4139</v>
      </c>
      <c r="B326" s="14">
        <v>0</v>
      </c>
      <c r="C326" s="13"/>
      <c r="D326" s="14">
        <v>0</v>
      </c>
      <c r="E326" s="13"/>
      <c r="F326" s="14">
        <v>0</v>
      </c>
      <c r="G326" s="14"/>
      <c r="H326" s="14">
        <v>-91117.28</v>
      </c>
      <c r="I326" s="14"/>
      <c r="J326" s="14">
        <v>0</v>
      </c>
      <c r="K326" s="14"/>
      <c r="L326" s="14">
        <v>0</v>
      </c>
      <c r="M326" s="14"/>
      <c r="N326" s="14">
        <v>0</v>
      </c>
      <c r="O326" s="14"/>
      <c r="P326" s="14">
        <v>0</v>
      </c>
      <c r="Q326" s="13"/>
      <c r="R326" s="14">
        <f t="shared" si="14"/>
        <v>-91117.28</v>
      </c>
    </row>
    <row r="327" spans="1:18" outlineLevel="1" x14ac:dyDescent="0.2">
      <c r="A327" s="3" t="s">
        <v>4140</v>
      </c>
      <c r="B327" s="14">
        <v>-236083.38000000006</v>
      </c>
      <c r="C327" s="13"/>
      <c r="D327" s="14">
        <v>0</v>
      </c>
      <c r="E327" s="13"/>
      <c r="F327" s="14">
        <v>0</v>
      </c>
      <c r="G327" s="14"/>
      <c r="H327" s="14">
        <v>91117.28</v>
      </c>
      <c r="I327" s="14">
        <v>0</v>
      </c>
      <c r="J327" s="14">
        <v>0</v>
      </c>
      <c r="K327" s="14">
        <v>0</v>
      </c>
      <c r="L327" s="14">
        <v>0</v>
      </c>
      <c r="M327" s="14"/>
      <c r="N327" s="14">
        <v>0</v>
      </c>
      <c r="O327" s="14"/>
      <c r="P327" s="14">
        <v>0</v>
      </c>
      <c r="Q327" s="13"/>
      <c r="R327" s="14">
        <f t="shared" si="14"/>
        <v>-144966.10000000006</v>
      </c>
    </row>
    <row r="328" spans="1:18" outlineLevel="1" x14ac:dyDescent="0.2">
      <c r="A328" s="3" t="s">
        <v>4141</v>
      </c>
      <c r="B328" s="14">
        <v>-104290833.96999997</v>
      </c>
      <c r="C328" s="13"/>
      <c r="D328" s="14">
        <v>-11992915.880000001</v>
      </c>
      <c r="E328" s="13"/>
      <c r="F328" s="14">
        <v>1962938.47</v>
      </c>
      <c r="G328" s="14"/>
      <c r="H328" s="14">
        <v>4432867.97</v>
      </c>
      <c r="I328" s="14">
        <v>0</v>
      </c>
      <c r="J328" s="14">
        <v>0</v>
      </c>
      <c r="K328" s="14">
        <v>0</v>
      </c>
      <c r="L328" s="14">
        <v>470410.8</v>
      </c>
      <c r="M328" s="14"/>
      <c r="N328" s="14">
        <v>0</v>
      </c>
      <c r="O328" s="14"/>
      <c r="P328" s="14">
        <v>-101490.37</v>
      </c>
      <c r="Q328" s="13"/>
      <c r="R328" s="14">
        <f t="shared" si="14"/>
        <v>-109519022.97999997</v>
      </c>
    </row>
    <row r="329" spans="1:18" outlineLevel="1" x14ac:dyDescent="0.2">
      <c r="A329" s="3" t="s">
        <v>4142</v>
      </c>
      <c r="B329" s="14">
        <v>0</v>
      </c>
      <c r="C329" s="13"/>
      <c r="D329" s="14">
        <v>0</v>
      </c>
      <c r="E329" s="13"/>
      <c r="F329" s="14">
        <v>0</v>
      </c>
      <c r="G329" s="14"/>
      <c r="H329" s="14">
        <v>-4432867.97</v>
      </c>
      <c r="I329" s="14"/>
      <c r="J329" s="14">
        <v>0</v>
      </c>
      <c r="K329" s="14"/>
      <c r="L329" s="14">
        <v>0</v>
      </c>
      <c r="M329" s="14"/>
      <c r="N329" s="14">
        <v>0</v>
      </c>
      <c r="O329" s="14"/>
      <c r="P329" s="14">
        <v>0</v>
      </c>
      <c r="Q329" s="13"/>
      <c r="R329" s="14">
        <f t="shared" si="14"/>
        <v>-4432867.97</v>
      </c>
    </row>
    <row r="330" spans="1:18" outlineLevel="1" x14ac:dyDescent="0.2">
      <c r="A330" s="3" t="s">
        <v>4143</v>
      </c>
      <c r="B330" s="14">
        <v>3</v>
      </c>
      <c r="C330" s="13"/>
      <c r="D330" s="14">
        <v>0</v>
      </c>
      <c r="E330" s="13"/>
      <c r="F330" s="14">
        <v>0</v>
      </c>
      <c r="G330" s="14"/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/>
      <c r="N330" s="14">
        <v>0</v>
      </c>
      <c r="O330" s="14"/>
      <c r="P330" s="14">
        <v>0</v>
      </c>
      <c r="Q330" s="13"/>
      <c r="R330" s="14">
        <f t="shared" si="14"/>
        <v>3</v>
      </c>
    </row>
    <row r="331" spans="1:18" outlineLevel="1" x14ac:dyDescent="0.2">
      <c r="A331" s="73" t="s">
        <v>4144</v>
      </c>
      <c r="B331" s="14">
        <v>-1882495.94</v>
      </c>
      <c r="C331" s="13"/>
      <c r="D331" s="14">
        <v>-387719.56</v>
      </c>
      <c r="E331" s="13"/>
      <c r="F331" s="14">
        <v>0</v>
      </c>
      <c r="G331" s="14"/>
      <c r="H331" s="14">
        <v>585285.27</v>
      </c>
      <c r="I331" s="14">
        <v>0</v>
      </c>
      <c r="J331" s="14">
        <v>0</v>
      </c>
      <c r="K331" s="14">
        <v>0</v>
      </c>
      <c r="L331" s="14">
        <v>0</v>
      </c>
      <c r="M331" s="14"/>
      <c r="N331" s="14">
        <v>0</v>
      </c>
      <c r="O331" s="14"/>
      <c r="P331" s="14">
        <v>0</v>
      </c>
      <c r="Q331" s="13"/>
      <c r="R331" s="14">
        <f t="shared" si="14"/>
        <v>-1684930.23</v>
      </c>
    </row>
    <row r="332" spans="1:18" outlineLevel="1" x14ac:dyDescent="0.2">
      <c r="A332" s="73" t="s">
        <v>4145</v>
      </c>
      <c r="B332" s="14">
        <v>0</v>
      </c>
      <c r="C332" s="13"/>
      <c r="D332" s="14">
        <v>0</v>
      </c>
      <c r="E332" s="13"/>
      <c r="F332" s="14">
        <v>0</v>
      </c>
      <c r="G332" s="14"/>
      <c r="H332" s="14">
        <v>-585285.27</v>
      </c>
      <c r="I332" s="14"/>
      <c r="J332" s="14">
        <v>0</v>
      </c>
      <c r="K332" s="14"/>
      <c r="L332" s="14">
        <v>0</v>
      </c>
      <c r="M332" s="14"/>
      <c r="N332" s="14">
        <v>0</v>
      </c>
      <c r="O332" s="14"/>
      <c r="P332" s="14">
        <v>0</v>
      </c>
      <c r="Q332" s="13"/>
      <c r="R332" s="14">
        <f t="shared" si="14"/>
        <v>-585285.27</v>
      </c>
    </row>
    <row r="333" spans="1:18" outlineLevel="1" x14ac:dyDescent="0.2">
      <c r="A333" s="73" t="s">
        <v>4146</v>
      </c>
      <c r="B333" s="14">
        <v>0</v>
      </c>
      <c r="C333" s="13"/>
      <c r="D333" s="14">
        <v>-7517.87</v>
      </c>
      <c r="E333" s="13"/>
      <c r="F333" s="14">
        <v>0</v>
      </c>
      <c r="G333" s="14"/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/>
      <c r="N333" s="14">
        <v>0</v>
      </c>
      <c r="O333" s="14"/>
      <c r="P333" s="14">
        <v>0</v>
      </c>
      <c r="Q333" s="13"/>
      <c r="R333" s="14">
        <f t="shared" si="14"/>
        <v>-7517.87</v>
      </c>
    </row>
    <row r="334" spans="1:18" outlineLevel="1" x14ac:dyDescent="0.2">
      <c r="A334" s="3" t="s">
        <v>4147</v>
      </c>
      <c r="B334" s="14">
        <v>-20027574.529999997</v>
      </c>
      <c r="C334" s="13"/>
      <c r="D334" s="14">
        <v>-1528373.52</v>
      </c>
      <c r="E334" s="13"/>
      <c r="F334" s="14">
        <v>0</v>
      </c>
      <c r="G334" s="14"/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/>
      <c r="N334" s="14">
        <v>0</v>
      </c>
      <c r="O334" s="14"/>
      <c r="P334" s="14">
        <v>0</v>
      </c>
      <c r="Q334" s="13"/>
      <c r="R334" s="14">
        <f t="shared" si="14"/>
        <v>-21555948.049999997</v>
      </c>
    </row>
    <row r="335" spans="1:18" outlineLevel="1" x14ac:dyDescent="0.2">
      <c r="A335" s="3" t="s">
        <v>4148</v>
      </c>
      <c r="B335" s="14">
        <v>-2.9999999990686774</v>
      </c>
      <c r="C335" s="13"/>
      <c r="D335" s="14">
        <v>0</v>
      </c>
      <c r="E335" s="13"/>
      <c r="F335" s="14">
        <v>0</v>
      </c>
      <c r="G335" s="14"/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/>
      <c r="N335" s="14">
        <v>0</v>
      </c>
      <c r="O335" s="14"/>
      <c r="P335" s="14">
        <v>0</v>
      </c>
      <c r="Q335" s="13"/>
      <c r="R335" s="14">
        <f t="shared" si="14"/>
        <v>-2.9999999990686774</v>
      </c>
    </row>
    <row r="336" spans="1:18" outlineLevel="1" x14ac:dyDescent="0.2">
      <c r="A336" s="3" t="s">
        <v>4149</v>
      </c>
      <c r="B336" s="14">
        <v>-98209.890000000014</v>
      </c>
      <c r="C336" s="13"/>
      <c r="D336" s="14">
        <v>0</v>
      </c>
      <c r="E336" s="13"/>
      <c r="F336" s="14">
        <v>0</v>
      </c>
      <c r="G336" s="14"/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/>
      <c r="N336" s="14">
        <v>0</v>
      </c>
      <c r="O336" s="14"/>
      <c r="P336" s="14">
        <v>0</v>
      </c>
      <c r="Q336" s="13"/>
      <c r="R336" s="14">
        <f t="shared" si="14"/>
        <v>-98209.890000000014</v>
      </c>
    </row>
    <row r="337" spans="1:18" outlineLevel="1" x14ac:dyDescent="0.2">
      <c r="A337" s="3" t="s">
        <v>4150</v>
      </c>
      <c r="B337" s="14">
        <v>-1031887.5200000011</v>
      </c>
      <c r="C337" s="13"/>
      <c r="D337" s="14">
        <v>-19831.919999999998</v>
      </c>
      <c r="E337" s="13"/>
      <c r="F337" s="14">
        <v>0</v>
      </c>
      <c r="G337" s="14"/>
      <c r="H337" s="14">
        <v>920599.32</v>
      </c>
      <c r="I337" s="14">
        <v>0</v>
      </c>
      <c r="J337" s="14">
        <v>0</v>
      </c>
      <c r="K337" s="14">
        <v>0</v>
      </c>
      <c r="L337" s="14">
        <v>0</v>
      </c>
      <c r="M337" s="14"/>
      <c r="N337" s="14">
        <v>0</v>
      </c>
      <c r="O337" s="14"/>
      <c r="P337" s="14">
        <v>0</v>
      </c>
      <c r="Q337" s="13"/>
      <c r="R337" s="14">
        <f t="shared" si="14"/>
        <v>-131120.12000000116</v>
      </c>
    </row>
    <row r="338" spans="1:18" outlineLevel="1" x14ac:dyDescent="0.2">
      <c r="A338" s="3" t="s">
        <v>4151</v>
      </c>
      <c r="B338" s="14">
        <v>0</v>
      </c>
      <c r="C338" s="13"/>
      <c r="D338" s="14">
        <v>0</v>
      </c>
      <c r="E338" s="13"/>
      <c r="F338" s="14">
        <v>0</v>
      </c>
      <c r="G338" s="14"/>
      <c r="H338" s="14">
        <v>-920599.32</v>
      </c>
      <c r="I338" s="14"/>
      <c r="J338" s="14">
        <v>0</v>
      </c>
      <c r="K338" s="14"/>
      <c r="L338" s="14">
        <v>0</v>
      </c>
      <c r="M338" s="14"/>
      <c r="N338" s="14">
        <v>0</v>
      </c>
      <c r="O338" s="14"/>
      <c r="P338" s="14">
        <v>0</v>
      </c>
      <c r="Q338" s="13"/>
      <c r="R338" s="14">
        <f t="shared" si="14"/>
        <v>-920599.32</v>
      </c>
    </row>
    <row r="339" spans="1:18" outlineLevel="1" x14ac:dyDescent="0.2">
      <c r="A339" s="3" t="s">
        <v>4152</v>
      </c>
      <c r="B339" s="14">
        <v>0</v>
      </c>
      <c r="C339" s="13"/>
      <c r="D339" s="14">
        <v>0</v>
      </c>
      <c r="E339" s="13"/>
      <c r="F339" s="14">
        <v>0</v>
      </c>
      <c r="G339" s="14"/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/>
      <c r="N339" s="14">
        <v>0</v>
      </c>
      <c r="O339" s="14"/>
      <c r="P339" s="14">
        <v>0</v>
      </c>
      <c r="Q339" s="13"/>
      <c r="R339" s="14">
        <f t="shared" si="14"/>
        <v>0</v>
      </c>
    </row>
    <row r="340" spans="1:18" x14ac:dyDescent="0.2">
      <c r="A340" s="3" t="s">
        <v>4153</v>
      </c>
      <c r="B340" s="14">
        <v>-1111662726.3200002</v>
      </c>
      <c r="C340" s="13"/>
      <c r="D340" s="14">
        <f>SUM(D276:D339)</f>
        <v>-106126070.55999999</v>
      </c>
      <c r="E340" s="13"/>
      <c r="F340" s="14">
        <f>SUM(F276:F339)</f>
        <v>8820017.4299999997</v>
      </c>
      <c r="G340" s="13"/>
      <c r="H340" s="14">
        <f>SUM(H276:H339)</f>
        <v>0</v>
      </c>
      <c r="I340" s="13"/>
      <c r="J340" s="14">
        <f>SUM(J276:J339)</f>
        <v>0</v>
      </c>
      <c r="K340" s="13"/>
      <c r="L340" s="14">
        <f>SUM(L276:L339)</f>
        <v>5529286.3199999984</v>
      </c>
      <c r="M340" s="13"/>
      <c r="N340" s="14">
        <f>SUM(N276:N339)</f>
        <v>-30440.369999999995</v>
      </c>
      <c r="O340" s="13"/>
      <c r="P340" s="14">
        <f>SUM(P276:P339)</f>
        <v>-101492.37</v>
      </c>
      <c r="Q340" s="13"/>
      <c r="R340" s="14">
        <f>SUM(R276:R339)</f>
        <v>-1203571425.8699999</v>
      </c>
    </row>
    <row r="341" spans="1:18" outlineLevel="1" x14ac:dyDescent="0.2">
      <c r="A341" s="3" t="s">
        <v>4154</v>
      </c>
      <c r="B341" s="14">
        <v>0</v>
      </c>
      <c r="C341" s="13"/>
      <c r="D341" s="14">
        <v>0</v>
      </c>
      <c r="E341" s="14"/>
      <c r="F341" s="14">
        <v>0</v>
      </c>
      <c r="G341" s="14"/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/>
      <c r="N341" s="14">
        <v>0</v>
      </c>
      <c r="O341" s="14"/>
      <c r="P341" s="14">
        <v>0</v>
      </c>
      <c r="Q341" s="13"/>
      <c r="R341" s="14">
        <f t="shared" ref="R341:R350" si="15">SUM(B341:P341)</f>
        <v>0</v>
      </c>
    </row>
    <row r="342" spans="1:18" outlineLevel="1" x14ac:dyDescent="0.2">
      <c r="A342" s="3" t="s">
        <v>4155</v>
      </c>
      <c r="B342" s="14">
        <v>0</v>
      </c>
      <c r="C342" s="13"/>
      <c r="D342" s="14">
        <v>0</v>
      </c>
      <c r="E342" s="14"/>
      <c r="F342" s="14">
        <v>0</v>
      </c>
      <c r="G342" s="14"/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/>
      <c r="N342" s="14">
        <v>0</v>
      </c>
      <c r="O342" s="14"/>
      <c r="P342" s="14">
        <v>0</v>
      </c>
      <c r="Q342" s="13"/>
      <c r="R342" s="14">
        <f t="shared" si="15"/>
        <v>0</v>
      </c>
    </row>
    <row r="343" spans="1:18" outlineLevel="1" x14ac:dyDescent="0.2">
      <c r="A343" s="3" t="s">
        <v>4156</v>
      </c>
      <c r="B343" s="14">
        <v>0</v>
      </c>
      <c r="C343" s="13"/>
      <c r="D343" s="14">
        <v>0</v>
      </c>
      <c r="E343" s="14"/>
      <c r="F343" s="14">
        <v>0</v>
      </c>
      <c r="G343" s="14"/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/>
      <c r="N343" s="14">
        <v>0</v>
      </c>
      <c r="O343" s="14"/>
      <c r="P343" s="14">
        <v>0</v>
      </c>
      <c r="Q343" s="13"/>
      <c r="R343" s="14">
        <f t="shared" si="15"/>
        <v>0</v>
      </c>
    </row>
    <row r="344" spans="1:18" outlineLevel="1" x14ac:dyDescent="0.2">
      <c r="A344" s="3" t="s">
        <v>4157</v>
      </c>
      <c r="B344" s="14">
        <v>0</v>
      </c>
      <c r="C344" s="13"/>
      <c r="D344" s="14">
        <v>0</v>
      </c>
      <c r="E344" s="14"/>
      <c r="F344" s="14">
        <v>0</v>
      </c>
      <c r="G344" s="14"/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/>
      <c r="N344" s="14">
        <v>0</v>
      </c>
      <c r="O344" s="14"/>
      <c r="P344" s="14">
        <v>0</v>
      </c>
      <c r="Q344" s="13"/>
      <c r="R344" s="14">
        <f t="shared" si="15"/>
        <v>0</v>
      </c>
    </row>
    <row r="345" spans="1:18" outlineLevel="1" x14ac:dyDescent="0.2">
      <c r="A345" s="3" t="s">
        <v>4158</v>
      </c>
      <c r="B345" s="14">
        <v>0</v>
      </c>
      <c r="C345" s="13"/>
      <c r="D345" s="14">
        <v>0</v>
      </c>
      <c r="E345" s="14"/>
      <c r="F345" s="14">
        <v>0</v>
      </c>
      <c r="G345" s="14"/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/>
      <c r="N345" s="14">
        <v>0</v>
      </c>
      <c r="O345" s="14"/>
      <c r="P345" s="14">
        <v>0</v>
      </c>
      <c r="Q345" s="13"/>
      <c r="R345" s="14">
        <f t="shared" si="15"/>
        <v>0</v>
      </c>
    </row>
    <row r="346" spans="1:18" outlineLevel="1" x14ac:dyDescent="0.2">
      <c r="A346" s="3" t="s">
        <v>4159</v>
      </c>
      <c r="B346" s="14">
        <v>0</v>
      </c>
      <c r="C346" s="13"/>
      <c r="D346" s="14">
        <v>0</v>
      </c>
      <c r="E346" s="14"/>
      <c r="F346" s="14">
        <v>0</v>
      </c>
      <c r="G346" s="14"/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/>
      <c r="N346" s="14">
        <v>0</v>
      </c>
      <c r="O346" s="14"/>
      <c r="P346" s="14">
        <v>0</v>
      </c>
      <c r="Q346" s="13"/>
      <c r="R346" s="14">
        <f t="shared" si="15"/>
        <v>0</v>
      </c>
    </row>
    <row r="347" spans="1:18" outlineLevel="1" x14ac:dyDescent="0.2">
      <c r="A347" s="3" t="s">
        <v>4160</v>
      </c>
      <c r="B347" s="14">
        <v>0</v>
      </c>
      <c r="C347" s="13"/>
      <c r="D347" s="14">
        <v>0</v>
      </c>
      <c r="E347" s="14"/>
      <c r="F347" s="14">
        <v>0</v>
      </c>
      <c r="G347" s="14"/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/>
      <c r="N347" s="14">
        <v>0</v>
      </c>
      <c r="O347" s="14"/>
      <c r="P347" s="14">
        <v>0</v>
      </c>
      <c r="Q347" s="13"/>
      <c r="R347" s="14">
        <f t="shared" si="15"/>
        <v>0</v>
      </c>
    </row>
    <row r="348" spans="1:18" outlineLevel="1" x14ac:dyDescent="0.2">
      <c r="A348" s="3" t="s">
        <v>4161</v>
      </c>
      <c r="B348" s="14">
        <v>0</v>
      </c>
      <c r="C348" s="13"/>
      <c r="D348" s="14">
        <v>0</v>
      </c>
      <c r="E348" s="14"/>
      <c r="F348" s="14">
        <v>0</v>
      </c>
      <c r="G348" s="14"/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/>
      <c r="N348" s="14">
        <v>0</v>
      </c>
      <c r="O348" s="14"/>
      <c r="P348" s="14">
        <v>0</v>
      </c>
      <c r="Q348" s="13"/>
      <c r="R348" s="14">
        <f t="shared" si="15"/>
        <v>0</v>
      </c>
    </row>
    <row r="349" spans="1:18" outlineLevel="1" x14ac:dyDescent="0.2">
      <c r="A349" s="3" t="s">
        <v>4162</v>
      </c>
      <c r="B349" s="14">
        <v>0</v>
      </c>
      <c r="C349" s="13"/>
      <c r="D349" s="14">
        <v>0</v>
      </c>
      <c r="E349" s="14"/>
      <c r="F349" s="14">
        <v>0</v>
      </c>
      <c r="G349" s="14"/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/>
      <c r="N349" s="14">
        <v>0</v>
      </c>
      <c r="O349" s="14"/>
      <c r="P349" s="14">
        <v>0</v>
      </c>
      <c r="Q349" s="13"/>
      <c r="R349" s="14">
        <f t="shared" si="15"/>
        <v>0</v>
      </c>
    </row>
    <row r="350" spans="1:18" outlineLevel="1" x14ac:dyDescent="0.2">
      <c r="A350" s="3" t="s">
        <v>4163</v>
      </c>
      <c r="B350" s="14">
        <v>0</v>
      </c>
      <c r="C350" s="13"/>
      <c r="D350" s="14">
        <v>0</v>
      </c>
      <c r="E350" s="14"/>
      <c r="F350" s="14">
        <v>0</v>
      </c>
      <c r="G350" s="14"/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/>
      <c r="N350" s="14">
        <v>0</v>
      </c>
      <c r="O350" s="14"/>
      <c r="P350" s="14">
        <v>0</v>
      </c>
      <c r="Q350" s="13"/>
      <c r="R350" s="14">
        <f t="shared" si="15"/>
        <v>0</v>
      </c>
    </row>
    <row r="351" spans="1:18" x14ac:dyDescent="0.2">
      <c r="A351" s="3" t="s">
        <v>4164</v>
      </c>
      <c r="B351" s="14">
        <v>0</v>
      </c>
      <c r="C351" s="13"/>
      <c r="D351" s="14">
        <f>SUM(D341:D350)</f>
        <v>0</v>
      </c>
      <c r="E351" s="13"/>
      <c r="F351" s="14">
        <f>SUM(F341:F350)</f>
        <v>0</v>
      </c>
      <c r="G351" s="13"/>
      <c r="H351" s="14">
        <f>SUM(H341:H350)</f>
        <v>0</v>
      </c>
      <c r="I351" s="13"/>
      <c r="J351" s="14">
        <f>SUM(J341:J350)</f>
        <v>0</v>
      </c>
      <c r="K351" s="13"/>
      <c r="L351" s="14">
        <f>SUM(L341:L350)</f>
        <v>0</v>
      </c>
      <c r="M351" s="13"/>
      <c r="N351" s="14">
        <f>SUM(N341:N350)</f>
        <v>0</v>
      </c>
      <c r="O351" s="13"/>
      <c r="P351" s="14">
        <f>SUM(P341:P350)</f>
        <v>0</v>
      </c>
      <c r="Q351" s="13"/>
      <c r="R351" s="14">
        <f>SUM(R341:R350)</f>
        <v>0</v>
      </c>
    </row>
    <row r="352" spans="1:18" outlineLevel="1" x14ac:dyDescent="0.2">
      <c r="A352" s="3" t="s">
        <v>4165</v>
      </c>
      <c r="B352" s="14">
        <v>-3658032.4599999995</v>
      </c>
      <c r="C352" s="13"/>
      <c r="D352" s="14">
        <v>-287841.11</v>
      </c>
      <c r="E352" s="14"/>
      <c r="F352" s="14">
        <v>0</v>
      </c>
      <c r="G352" s="14"/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/>
      <c r="N352" s="14">
        <v>0</v>
      </c>
      <c r="O352" s="14"/>
      <c r="P352" s="14">
        <v>0</v>
      </c>
      <c r="Q352" s="13"/>
      <c r="R352" s="14">
        <f t="shared" ref="R352:R366" si="16">SUM(B352:P352)</f>
        <v>-3945873.5699999994</v>
      </c>
    </row>
    <row r="353" spans="1:18" outlineLevel="1" x14ac:dyDescent="0.2">
      <c r="A353" s="3" t="s">
        <v>4166</v>
      </c>
      <c r="B353" s="14">
        <v>-9232410.410000002</v>
      </c>
      <c r="C353" s="13"/>
      <c r="D353" s="14">
        <v>-222831.29</v>
      </c>
      <c r="E353" s="14"/>
      <c r="F353" s="14">
        <v>0</v>
      </c>
      <c r="G353" s="14"/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/>
      <c r="N353" s="14">
        <v>0</v>
      </c>
      <c r="O353" s="14"/>
      <c r="P353" s="14">
        <v>0</v>
      </c>
      <c r="Q353" s="13"/>
      <c r="R353" s="14">
        <f t="shared" si="16"/>
        <v>-9455241.7000000011</v>
      </c>
    </row>
    <row r="354" spans="1:18" outlineLevel="1" x14ac:dyDescent="0.2">
      <c r="A354" s="3" t="s">
        <v>4167</v>
      </c>
      <c r="B354" s="14">
        <v>-21099291.729999997</v>
      </c>
      <c r="C354" s="13"/>
      <c r="D354" s="14">
        <v>-745485.23</v>
      </c>
      <c r="E354" s="14"/>
      <c r="F354" s="14">
        <v>868653.17</v>
      </c>
      <c r="G354" s="14"/>
      <c r="H354" s="14">
        <v>0</v>
      </c>
      <c r="I354" s="14">
        <v>0</v>
      </c>
      <c r="J354" s="14">
        <v>0</v>
      </c>
      <c r="K354" s="14">
        <v>0</v>
      </c>
      <c r="L354" s="14">
        <v>6367.73</v>
      </c>
      <c r="M354" s="14"/>
      <c r="N354" s="14">
        <v>0</v>
      </c>
      <c r="O354" s="14"/>
      <c r="P354" s="14">
        <v>0</v>
      </c>
      <c r="Q354" s="13"/>
      <c r="R354" s="14">
        <f t="shared" si="16"/>
        <v>-20969756.059999995</v>
      </c>
    </row>
    <row r="355" spans="1:18" outlineLevel="1" x14ac:dyDescent="0.2">
      <c r="A355" s="3" t="s">
        <v>4168</v>
      </c>
      <c r="B355" s="14">
        <v>-21653996.09999999</v>
      </c>
      <c r="C355" s="13"/>
      <c r="D355" s="14">
        <v>-978323.49</v>
      </c>
      <c r="E355" s="14"/>
      <c r="F355" s="14">
        <v>165776.68</v>
      </c>
      <c r="G355" s="14"/>
      <c r="H355" s="14">
        <v>0</v>
      </c>
      <c r="I355" s="14">
        <v>0</v>
      </c>
      <c r="J355" s="14">
        <v>0</v>
      </c>
      <c r="K355" s="14">
        <v>0</v>
      </c>
      <c r="L355" s="14">
        <v>78473.679999999993</v>
      </c>
      <c r="M355" s="14"/>
      <c r="N355" s="14">
        <v>0</v>
      </c>
      <c r="O355" s="14"/>
      <c r="P355" s="14">
        <v>0</v>
      </c>
      <c r="Q355" s="13"/>
      <c r="R355" s="14">
        <f t="shared" si="16"/>
        <v>-22388069.229999989</v>
      </c>
    </row>
    <row r="356" spans="1:18" outlineLevel="1" x14ac:dyDescent="0.2">
      <c r="A356" s="3" t="s">
        <v>4169</v>
      </c>
      <c r="B356" s="14">
        <v>-21886607.199999996</v>
      </c>
      <c r="C356" s="13"/>
      <c r="D356" s="14">
        <v>-644916.76</v>
      </c>
      <c r="E356" s="14"/>
      <c r="F356" s="14">
        <v>99616.02</v>
      </c>
      <c r="G356" s="14"/>
      <c r="H356" s="14">
        <v>0</v>
      </c>
      <c r="I356" s="14">
        <v>0</v>
      </c>
      <c r="J356" s="14">
        <v>0</v>
      </c>
      <c r="K356" s="14">
        <v>0</v>
      </c>
      <c r="L356" s="14">
        <v>8329.9699999999993</v>
      </c>
      <c r="M356" s="14"/>
      <c r="N356" s="14">
        <v>0</v>
      </c>
      <c r="O356" s="14"/>
      <c r="P356" s="14">
        <v>0</v>
      </c>
      <c r="Q356" s="13"/>
      <c r="R356" s="14">
        <f t="shared" si="16"/>
        <v>-22423577.969999999</v>
      </c>
    </row>
    <row r="357" spans="1:18" outlineLevel="1" x14ac:dyDescent="0.2">
      <c r="A357" s="3" t="s">
        <v>4170</v>
      </c>
      <c r="B357" s="14">
        <v>-30173655.120000001</v>
      </c>
      <c r="C357" s="13"/>
      <c r="D357" s="14">
        <v>-812470.5</v>
      </c>
      <c r="E357" s="14"/>
      <c r="F357" s="14">
        <v>251297</v>
      </c>
      <c r="G357" s="14"/>
      <c r="H357" s="14">
        <v>0</v>
      </c>
      <c r="I357" s="14">
        <v>0</v>
      </c>
      <c r="J357" s="14">
        <v>0</v>
      </c>
      <c r="K357" s="14">
        <v>0</v>
      </c>
      <c r="L357" s="14">
        <v>37708.720000000001</v>
      </c>
      <c r="M357" s="14"/>
      <c r="N357" s="14">
        <v>0</v>
      </c>
      <c r="O357" s="14"/>
      <c r="P357" s="14">
        <v>0</v>
      </c>
      <c r="Q357" s="13"/>
      <c r="R357" s="14">
        <f t="shared" si="16"/>
        <v>-30697119.900000002</v>
      </c>
    </row>
    <row r="358" spans="1:18" outlineLevel="1" x14ac:dyDescent="0.2">
      <c r="A358" s="3" t="s">
        <v>4171</v>
      </c>
      <c r="B358" s="14">
        <v>-34295531.009999998</v>
      </c>
      <c r="C358" s="13"/>
      <c r="D358" s="14">
        <v>-1323566.8600000001</v>
      </c>
      <c r="E358" s="14"/>
      <c r="F358" s="14">
        <v>917266.38</v>
      </c>
      <c r="G358" s="14"/>
      <c r="H358" s="14">
        <v>0</v>
      </c>
      <c r="I358" s="14">
        <v>0</v>
      </c>
      <c r="J358" s="14">
        <v>0</v>
      </c>
      <c r="K358" s="14">
        <v>0</v>
      </c>
      <c r="L358" s="14">
        <v>161261.93</v>
      </c>
      <c r="M358" s="14"/>
      <c r="N358" s="14">
        <v>0</v>
      </c>
      <c r="O358" s="14"/>
      <c r="P358" s="14">
        <v>0</v>
      </c>
      <c r="Q358" s="13"/>
      <c r="R358" s="14">
        <f t="shared" si="16"/>
        <v>-34540569.559999995</v>
      </c>
    </row>
    <row r="359" spans="1:18" outlineLevel="1" x14ac:dyDescent="0.2">
      <c r="A359" s="3" t="s">
        <v>4172</v>
      </c>
      <c r="B359" s="14">
        <v>0</v>
      </c>
      <c r="C359" s="13"/>
      <c r="D359" s="14">
        <v>0</v>
      </c>
      <c r="E359" s="14"/>
      <c r="F359" s="14">
        <v>0</v>
      </c>
      <c r="G359" s="14"/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/>
      <c r="N359" s="14">
        <v>0</v>
      </c>
      <c r="O359" s="14"/>
      <c r="P359" s="14">
        <v>0</v>
      </c>
      <c r="Q359" s="13"/>
      <c r="R359" s="14">
        <f t="shared" si="16"/>
        <v>0</v>
      </c>
    </row>
    <row r="360" spans="1:18" outlineLevel="1" x14ac:dyDescent="0.2">
      <c r="A360" s="3" t="s">
        <v>4173</v>
      </c>
      <c r="B360" s="14">
        <v>-361643.78999999957</v>
      </c>
      <c r="C360" s="13"/>
      <c r="D360" s="14">
        <v>0</v>
      </c>
      <c r="E360" s="14"/>
      <c r="F360" s="14">
        <v>0</v>
      </c>
      <c r="G360" s="14"/>
      <c r="H360" s="14">
        <v>-108261.82</v>
      </c>
      <c r="I360" s="14">
        <v>0</v>
      </c>
      <c r="J360" s="14">
        <v>0</v>
      </c>
      <c r="K360" s="14">
        <v>0</v>
      </c>
      <c r="L360" s="14">
        <v>0</v>
      </c>
      <c r="M360" s="14"/>
      <c r="N360" s="14">
        <v>0</v>
      </c>
      <c r="O360" s="14"/>
      <c r="P360" s="14">
        <v>0</v>
      </c>
      <c r="Q360" s="13"/>
      <c r="R360" s="14">
        <f t="shared" si="16"/>
        <v>-469905.60999999958</v>
      </c>
    </row>
    <row r="361" spans="1:18" outlineLevel="1" x14ac:dyDescent="0.2">
      <c r="A361" s="3" t="s">
        <v>4174</v>
      </c>
      <c r="B361" s="14">
        <v>-1227914.2400000021</v>
      </c>
      <c r="C361" s="13"/>
      <c r="D361" s="14">
        <v>0</v>
      </c>
      <c r="E361" s="14"/>
      <c r="F361" s="14">
        <v>57483.17</v>
      </c>
      <c r="G361" s="14"/>
      <c r="H361" s="14">
        <v>-105666.35</v>
      </c>
      <c r="I361" s="14">
        <v>0</v>
      </c>
      <c r="J361" s="14">
        <v>0</v>
      </c>
      <c r="K361" s="14">
        <v>0</v>
      </c>
      <c r="L361" s="14">
        <v>1204957.79</v>
      </c>
      <c r="M361" s="14"/>
      <c r="N361" s="14">
        <v>-15073.4</v>
      </c>
      <c r="O361" s="14"/>
      <c r="P361" s="14">
        <v>0</v>
      </c>
      <c r="Q361" s="13"/>
      <c r="R361" s="14">
        <f t="shared" si="16"/>
        <v>-86213.030000002211</v>
      </c>
    </row>
    <row r="362" spans="1:18" outlineLevel="1" x14ac:dyDescent="0.2">
      <c r="A362" s="3" t="s">
        <v>4175</v>
      </c>
      <c r="B362" s="14">
        <v>0</v>
      </c>
      <c r="C362" s="13"/>
      <c r="D362" s="14">
        <v>0</v>
      </c>
      <c r="E362" s="14"/>
      <c r="F362" s="14">
        <v>0</v>
      </c>
      <c r="G362" s="14"/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/>
      <c r="N362" s="14">
        <v>0</v>
      </c>
      <c r="O362" s="14"/>
      <c r="P362" s="14">
        <v>0</v>
      </c>
      <c r="Q362" s="13"/>
      <c r="R362" s="14">
        <f t="shared" si="16"/>
        <v>0</v>
      </c>
    </row>
    <row r="363" spans="1:18" outlineLevel="1" x14ac:dyDescent="0.2">
      <c r="A363" s="3" t="s">
        <v>4176</v>
      </c>
      <c r="B363" s="14">
        <v>0</v>
      </c>
      <c r="C363" s="13"/>
      <c r="D363" s="14">
        <v>0</v>
      </c>
      <c r="E363" s="14"/>
      <c r="F363" s="14">
        <v>0</v>
      </c>
      <c r="G363" s="14"/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/>
      <c r="N363" s="14">
        <v>0</v>
      </c>
      <c r="O363" s="14"/>
      <c r="P363" s="14">
        <v>0</v>
      </c>
      <c r="Q363" s="13"/>
      <c r="R363" s="14">
        <f t="shared" si="16"/>
        <v>0</v>
      </c>
    </row>
    <row r="364" spans="1:18" outlineLevel="1" x14ac:dyDescent="0.2">
      <c r="A364" s="43" t="s">
        <v>4177</v>
      </c>
      <c r="B364" s="14">
        <v>-21982917.41</v>
      </c>
      <c r="C364" s="13"/>
      <c r="D364" s="14">
        <v>-2010504.07</v>
      </c>
      <c r="E364" s="14"/>
      <c r="F364" s="14">
        <v>2079513.58</v>
      </c>
      <c r="G364" s="14"/>
      <c r="H364" s="14">
        <v>0</v>
      </c>
      <c r="I364" s="14">
        <v>0</v>
      </c>
      <c r="J364" s="14">
        <v>0</v>
      </c>
      <c r="K364" s="14">
        <v>0</v>
      </c>
      <c r="L364" s="14">
        <v>198235.78</v>
      </c>
      <c r="M364" s="14"/>
      <c r="N364" s="14">
        <v>0</v>
      </c>
      <c r="O364" s="14"/>
      <c r="P364" s="14">
        <v>-48994.879999999997</v>
      </c>
      <c r="Q364" s="13"/>
      <c r="R364" s="14">
        <f t="shared" si="16"/>
        <v>-21764666.999999996</v>
      </c>
    </row>
    <row r="365" spans="1:18" outlineLevel="1" x14ac:dyDescent="0.2">
      <c r="A365" s="3" t="s">
        <v>4178</v>
      </c>
      <c r="B365" s="14">
        <v>-332381.18999999994</v>
      </c>
      <c r="C365" s="13"/>
      <c r="D365" s="14">
        <v>0</v>
      </c>
      <c r="E365" s="14"/>
      <c r="F365" s="14">
        <v>0</v>
      </c>
      <c r="G365" s="14"/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/>
      <c r="N365" s="14">
        <v>0</v>
      </c>
      <c r="O365" s="14"/>
      <c r="P365" s="14">
        <v>0</v>
      </c>
      <c r="Q365" s="13"/>
      <c r="R365" s="14">
        <f t="shared" si="16"/>
        <v>-332381.18999999994</v>
      </c>
    </row>
    <row r="366" spans="1:18" outlineLevel="1" x14ac:dyDescent="0.2">
      <c r="A366" s="3" t="s">
        <v>4179</v>
      </c>
      <c r="B366" s="14">
        <v>-416110.01999999909</v>
      </c>
      <c r="C366" s="13"/>
      <c r="D366" s="14">
        <v>0</v>
      </c>
      <c r="E366" s="14"/>
      <c r="F366" s="14">
        <v>0</v>
      </c>
      <c r="G366" s="14"/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/>
      <c r="N366" s="14">
        <v>0</v>
      </c>
      <c r="O366" s="14"/>
      <c r="P366" s="14">
        <v>0</v>
      </c>
      <c r="Q366" s="13"/>
      <c r="R366" s="14">
        <f t="shared" si="16"/>
        <v>-416110.01999999909</v>
      </c>
    </row>
    <row r="367" spans="1:18" x14ac:dyDescent="0.2">
      <c r="A367" s="3" t="s">
        <v>4180</v>
      </c>
      <c r="B367" s="14">
        <v>-166320490.67999998</v>
      </c>
      <c r="C367" s="13"/>
      <c r="D367" s="14">
        <f>SUM(D352:D366)</f>
        <v>-7025939.3100000005</v>
      </c>
      <c r="E367" s="13"/>
      <c r="F367" s="14">
        <f>SUM(F352:F366)</f>
        <v>4439606</v>
      </c>
      <c r="G367" s="13"/>
      <c r="H367" s="14">
        <f>SUM(H352:H366)</f>
        <v>-213928.17</v>
      </c>
      <c r="I367" s="13"/>
      <c r="J367" s="14">
        <f>SUM(J352:J366)</f>
        <v>0</v>
      </c>
      <c r="K367" s="13"/>
      <c r="L367" s="14">
        <f>SUM(L352:L366)</f>
        <v>1695335.6</v>
      </c>
      <c r="M367" s="13"/>
      <c r="N367" s="14">
        <f>SUM(N352:N366)</f>
        <v>-15073.4</v>
      </c>
      <c r="O367" s="13"/>
      <c r="P367" s="14">
        <f>SUM(P352:P366)</f>
        <v>-48994.879999999997</v>
      </c>
      <c r="Q367" s="13"/>
      <c r="R367" s="14">
        <f>SUM(R352:R366)</f>
        <v>-167489484.84</v>
      </c>
    </row>
    <row r="368" spans="1:18" x14ac:dyDescent="0.2">
      <c r="A368" s="3" t="s">
        <v>4181</v>
      </c>
      <c r="B368" s="14">
        <v>0</v>
      </c>
      <c r="C368" s="13"/>
      <c r="D368" s="14">
        <v>0</v>
      </c>
      <c r="E368" s="13"/>
      <c r="F368" s="111">
        <v>0</v>
      </c>
      <c r="G368" s="13"/>
      <c r="H368" s="111">
        <v>0</v>
      </c>
      <c r="I368" s="13"/>
      <c r="J368" s="14">
        <v>0</v>
      </c>
      <c r="K368" s="13"/>
      <c r="L368" s="111">
        <v>0</v>
      </c>
      <c r="M368" s="13"/>
      <c r="N368" s="111">
        <v>0</v>
      </c>
      <c r="O368" s="13"/>
      <c r="P368" s="112">
        <v>0</v>
      </c>
      <c r="Q368" s="13"/>
      <c r="R368" s="14">
        <f>SUM(B368:P368)</f>
        <v>0</v>
      </c>
    </row>
    <row r="369" spans="1:18" outlineLevel="1" x14ac:dyDescent="0.2">
      <c r="A369" s="3" t="s">
        <v>4182</v>
      </c>
      <c r="B369" s="14">
        <v>-3269299.6799999992</v>
      </c>
      <c r="C369" s="13"/>
      <c r="D369" s="14">
        <v>-53811.89</v>
      </c>
      <c r="E369" s="14"/>
      <c r="F369" s="14">
        <v>19084.61</v>
      </c>
      <c r="G369" s="14"/>
      <c r="H369" s="14">
        <v>0</v>
      </c>
      <c r="I369" s="14">
        <v>0</v>
      </c>
      <c r="J369" s="14">
        <v>0</v>
      </c>
      <c r="K369" s="14">
        <v>0</v>
      </c>
      <c r="L369" s="14">
        <v>1669.08</v>
      </c>
      <c r="M369" s="14"/>
      <c r="N369" s="14">
        <v>0</v>
      </c>
      <c r="O369" s="14"/>
      <c r="P369" s="14">
        <v>0</v>
      </c>
      <c r="Q369" s="13"/>
      <c r="R369" s="14">
        <f t="shared" ref="R369:R404" si="17">SUM(B369:P369)</f>
        <v>-3302357.8799999994</v>
      </c>
    </row>
    <row r="370" spans="1:18" outlineLevel="1" x14ac:dyDescent="0.2">
      <c r="A370" s="3" t="s">
        <v>4183</v>
      </c>
      <c r="B370" s="14">
        <v>-1450828.4400000002</v>
      </c>
      <c r="C370" s="13"/>
      <c r="D370" s="14">
        <v>-48570.3</v>
      </c>
      <c r="E370" s="14"/>
      <c r="F370" s="14">
        <v>0</v>
      </c>
      <c r="G370" s="14"/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/>
      <c r="N370" s="14">
        <v>0</v>
      </c>
      <c r="O370" s="14"/>
      <c r="P370" s="14">
        <v>0</v>
      </c>
      <c r="Q370" s="13"/>
      <c r="R370" s="14">
        <f t="shared" si="17"/>
        <v>-1499398.7400000002</v>
      </c>
    </row>
    <row r="371" spans="1:18" outlineLevel="1" x14ac:dyDescent="0.2">
      <c r="A371" s="3" t="s">
        <v>4184</v>
      </c>
      <c r="B371" s="14">
        <v>0</v>
      </c>
      <c r="C371" s="13"/>
      <c r="D371" s="14">
        <v>0</v>
      </c>
      <c r="E371" s="14"/>
      <c r="F371" s="14">
        <v>0</v>
      </c>
      <c r="G371" s="14"/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/>
      <c r="N371" s="14">
        <v>0</v>
      </c>
      <c r="O371" s="14"/>
      <c r="P371" s="14">
        <v>0</v>
      </c>
      <c r="Q371" s="13"/>
      <c r="R371" s="14">
        <f t="shared" si="17"/>
        <v>0</v>
      </c>
    </row>
    <row r="372" spans="1:18" outlineLevel="1" x14ac:dyDescent="0.2">
      <c r="A372" s="3" t="s">
        <v>4185</v>
      </c>
      <c r="B372" s="14">
        <v>-6841847.0900000026</v>
      </c>
      <c r="C372" s="13"/>
      <c r="D372" s="14">
        <v>-113341.08</v>
      </c>
      <c r="E372" s="14"/>
      <c r="F372" s="14">
        <v>0</v>
      </c>
      <c r="G372" s="14"/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/>
      <c r="N372" s="14">
        <v>0</v>
      </c>
      <c r="O372" s="14"/>
      <c r="P372" s="14">
        <v>0</v>
      </c>
      <c r="Q372" s="13"/>
      <c r="R372" s="14">
        <f t="shared" si="17"/>
        <v>-6955188.1700000027</v>
      </c>
    </row>
    <row r="373" spans="1:18" outlineLevel="1" x14ac:dyDescent="0.2">
      <c r="A373" s="3" t="s">
        <v>4186</v>
      </c>
      <c r="B373" s="14">
        <v>0</v>
      </c>
      <c r="C373" s="13"/>
      <c r="D373" s="14">
        <v>0</v>
      </c>
      <c r="E373" s="14"/>
      <c r="F373" s="14">
        <v>0</v>
      </c>
      <c r="G373" s="14"/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/>
      <c r="N373" s="14">
        <v>0</v>
      </c>
      <c r="O373" s="14"/>
      <c r="P373" s="14">
        <v>0</v>
      </c>
      <c r="Q373" s="13"/>
      <c r="R373" s="14">
        <f>SUM(B373:P373)</f>
        <v>0</v>
      </c>
    </row>
    <row r="374" spans="1:18" outlineLevel="1" x14ac:dyDescent="0.2">
      <c r="A374" s="3" t="s">
        <v>4187</v>
      </c>
      <c r="B374" s="14">
        <v>0</v>
      </c>
      <c r="C374" s="13"/>
      <c r="D374" s="14">
        <v>-39771.980000000003</v>
      </c>
      <c r="E374" s="14"/>
      <c r="F374" s="14">
        <v>0</v>
      </c>
      <c r="G374" s="14"/>
      <c r="H374" s="14">
        <v>0</v>
      </c>
      <c r="I374" s="14"/>
      <c r="J374" s="14">
        <v>0</v>
      </c>
      <c r="K374" s="14"/>
      <c r="L374" s="14">
        <v>0</v>
      </c>
      <c r="M374" s="14"/>
      <c r="N374" s="14">
        <v>0</v>
      </c>
      <c r="O374" s="14"/>
      <c r="P374" s="14">
        <v>0</v>
      </c>
      <c r="Q374" s="13"/>
      <c r="R374" s="14">
        <f>SUM(B374:P374)</f>
        <v>-39771.980000000003</v>
      </c>
    </row>
    <row r="375" spans="1:18" outlineLevel="1" x14ac:dyDescent="0.2">
      <c r="A375" s="3" t="s">
        <v>4188</v>
      </c>
      <c r="B375" s="14">
        <v>-6985257.4299999997</v>
      </c>
      <c r="C375" s="13"/>
      <c r="D375" s="14">
        <v>-1324792.8</v>
      </c>
      <c r="E375" s="14"/>
      <c r="F375" s="14">
        <v>0</v>
      </c>
      <c r="G375" s="14"/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/>
      <c r="N375" s="14">
        <v>0</v>
      </c>
      <c r="O375" s="14"/>
      <c r="P375" s="14">
        <v>0</v>
      </c>
      <c r="Q375" s="13"/>
      <c r="R375" s="14">
        <f>SUM(B375:P375)</f>
        <v>-8310050.2299999995</v>
      </c>
    </row>
    <row r="376" spans="1:18" outlineLevel="1" x14ac:dyDescent="0.2">
      <c r="A376" s="3" t="s">
        <v>4189</v>
      </c>
      <c r="B376" s="14">
        <v>0</v>
      </c>
      <c r="C376" s="13"/>
      <c r="D376" s="14">
        <v>0</v>
      </c>
      <c r="E376" s="14"/>
      <c r="F376" s="14">
        <v>0</v>
      </c>
      <c r="G376" s="14"/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/>
      <c r="N376" s="14">
        <v>0</v>
      </c>
      <c r="O376" s="14"/>
      <c r="P376" s="14">
        <v>0</v>
      </c>
      <c r="Q376" s="13"/>
      <c r="R376" s="14">
        <f>SUM(B376:P376)</f>
        <v>0</v>
      </c>
    </row>
    <row r="377" spans="1:18" outlineLevel="1" x14ac:dyDescent="0.2">
      <c r="A377" s="43" t="s">
        <v>4190</v>
      </c>
      <c r="B377" s="14">
        <v>-22314.04</v>
      </c>
      <c r="C377" s="13"/>
      <c r="D377" s="14">
        <v>-14718.84</v>
      </c>
      <c r="E377" s="14"/>
      <c r="F377" s="14">
        <v>0</v>
      </c>
      <c r="G377" s="14"/>
      <c r="H377" s="14">
        <v>0</v>
      </c>
      <c r="I377" s="14"/>
      <c r="J377" s="14">
        <v>0</v>
      </c>
      <c r="K377" s="14"/>
      <c r="L377" s="14">
        <v>0</v>
      </c>
      <c r="M377" s="14"/>
      <c r="N377" s="14">
        <v>0</v>
      </c>
      <c r="O377" s="14"/>
      <c r="P377" s="14">
        <v>0</v>
      </c>
      <c r="Q377" s="13"/>
      <c r="R377" s="14">
        <f>SUM(B377:P377)</f>
        <v>-37032.880000000005</v>
      </c>
    </row>
    <row r="378" spans="1:18" outlineLevel="1" x14ac:dyDescent="0.2">
      <c r="A378" s="3" t="s">
        <v>4191</v>
      </c>
      <c r="B378" s="14">
        <v>-8495696.0400000028</v>
      </c>
      <c r="C378" s="13"/>
      <c r="D378" s="14">
        <v>-54681.21</v>
      </c>
      <c r="E378" s="14"/>
      <c r="F378" s="14">
        <v>9360.74</v>
      </c>
      <c r="G378" s="14"/>
      <c r="H378" s="14">
        <v>0</v>
      </c>
      <c r="I378" s="14">
        <v>0</v>
      </c>
      <c r="J378" s="14">
        <v>0</v>
      </c>
      <c r="K378" s="14">
        <v>0</v>
      </c>
      <c r="L378" s="14">
        <v>6545.88</v>
      </c>
      <c r="M378" s="14"/>
      <c r="N378" s="14">
        <v>0</v>
      </c>
      <c r="O378" s="14"/>
      <c r="P378" s="14">
        <v>0</v>
      </c>
      <c r="Q378" s="13"/>
      <c r="R378" s="14">
        <f t="shared" si="17"/>
        <v>-8534470.6300000027</v>
      </c>
    </row>
    <row r="379" spans="1:18" outlineLevel="1" x14ac:dyDescent="0.2">
      <c r="A379" s="3" t="s">
        <v>4192</v>
      </c>
      <c r="B379" s="14">
        <v>-5300971.120000001</v>
      </c>
      <c r="C379" s="13"/>
      <c r="D379" s="14">
        <v>-465710.76</v>
      </c>
      <c r="E379" s="14"/>
      <c r="F379" s="14">
        <v>0</v>
      </c>
      <c r="G379" s="14"/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/>
      <c r="N379" s="14">
        <v>0</v>
      </c>
      <c r="O379" s="14"/>
      <c r="P379" s="14">
        <v>0</v>
      </c>
      <c r="Q379" s="13"/>
      <c r="R379" s="14">
        <f t="shared" si="17"/>
        <v>-5766681.8800000008</v>
      </c>
    </row>
    <row r="380" spans="1:18" outlineLevel="1" x14ac:dyDescent="0.2">
      <c r="A380" s="3" t="s">
        <v>4193</v>
      </c>
      <c r="B380" s="14">
        <v>0</v>
      </c>
      <c r="C380" s="13"/>
      <c r="D380" s="14">
        <v>0</v>
      </c>
      <c r="E380" s="14"/>
      <c r="F380" s="14">
        <v>0</v>
      </c>
      <c r="G380" s="14"/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/>
      <c r="N380" s="14">
        <v>0</v>
      </c>
      <c r="O380" s="14"/>
      <c r="P380" s="14">
        <v>0</v>
      </c>
      <c r="Q380" s="13"/>
      <c r="R380" s="14">
        <f t="shared" si="17"/>
        <v>0</v>
      </c>
    </row>
    <row r="381" spans="1:18" outlineLevel="1" x14ac:dyDescent="0.2">
      <c r="A381" s="43" t="s">
        <v>4194</v>
      </c>
      <c r="B381" s="14">
        <v>-3024.54</v>
      </c>
      <c r="C381" s="13"/>
      <c r="D381" s="14">
        <v>-3173.82</v>
      </c>
      <c r="E381" s="14"/>
      <c r="F381" s="14">
        <v>0</v>
      </c>
      <c r="G381" s="14"/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/>
      <c r="N381" s="14">
        <v>0</v>
      </c>
      <c r="O381" s="14"/>
      <c r="P381" s="14">
        <v>0</v>
      </c>
      <c r="Q381" s="13"/>
      <c r="R381" s="14">
        <f t="shared" si="17"/>
        <v>-6198.3600000000006</v>
      </c>
    </row>
    <row r="382" spans="1:18" outlineLevel="1" x14ac:dyDescent="0.2">
      <c r="A382" s="3" t="s">
        <v>4195</v>
      </c>
      <c r="B382" s="14">
        <v>-11376035.420000002</v>
      </c>
      <c r="C382" s="13"/>
      <c r="D382" s="14">
        <v>-196529.16</v>
      </c>
      <c r="E382" s="14"/>
      <c r="F382" s="14">
        <v>0</v>
      </c>
      <c r="G382" s="14"/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/>
      <c r="N382" s="14">
        <v>0</v>
      </c>
      <c r="O382" s="14"/>
      <c r="P382" s="14">
        <v>0</v>
      </c>
      <c r="Q382" s="13"/>
      <c r="R382" s="14">
        <f t="shared" si="17"/>
        <v>-11572564.580000002</v>
      </c>
    </row>
    <row r="383" spans="1:18" outlineLevel="1" x14ac:dyDescent="0.2">
      <c r="A383" s="3" t="s">
        <v>4196</v>
      </c>
      <c r="B383" s="14">
        <v>-222383.37</v>
      </c>
      <c r="C383" s="13"/>
      <c r="D383" s="14">
        <v>-44325.9</v>
      </c>
      <c r="E383" s="14"/>
      <c r="F383" s="14">
        <v>0</v>
      </c>
      <c r="G383" s="14"/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/>
      <c r="N383" s="14">
        <v>0</v>
      </c>
      <c r="O383" s="14"/>
      <c r="P383" s="14">
        <v>0</v>
      </c>
      <c r="Q383" s="13"/>
      <c r="R383" s="14">
        <f t="shared" si="17"/>
        <v>-266709.27</v>
      </c>
    </row>
    <row r="384" spans="1:18" outlineLevel="1" x14ac:dyDescent="0.2">
      <c r="A384" s="3" t="s">
        <v>4197</v>
      </c>
      <c r="B384" s="14">
        <v>0</v>
      </c>
      <c r="C384" s="13"/>
      <c r="D384" s="14">
        <v>0</v>
      </c>
      <c r="E384" s="14"/>
      <c r="F384" s="14">
        <v>0</v>
      </c>
      <c r="G384" s="14"/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/>
      <c r="N384" s="14">
        <v>0</v>
      </c>
      <c r="O384" s="14"/>
      <c r="P384" s="14">
        <v>0</v>
      </c>
      <c r="Q384" s="13"/>
      <c r="R384" s="14">
        <f t="shared" si="17"/>
        <v>0</v>
      </c>
    </row>
    <row r="385" spans="1:18" outlineLevel="1" x14ac:dyDescent="0.2">
      <c r="A385" s="43" t="s">
        <v>4198</v>
      </c>
      <c r="B385" s="14">
        <v>-78823.01999999999</v>
      </c>
      <c r="C385" s="13"/>
      <c r="D385" s="14">
        <v>-34752.239999999998</v>
      </c>
      <c r="E385" s="14"/>
      <c r="F385" s="14">
        <v>0</v>
      </c>
      <c r="G385" s="14"/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/>
      <c r="N385" s="14">
        <v>0</v>
      </c>
      <c r="O385" s="14"/>
      <c r="P385" s="14">
        <v>0</v>
      </c>
      <c r="Q385" s="13"/>
      <c r="R385" s="14">
        <f>SUM(B385:P385)</f>
        <v>-113575.25999999998</v>
      </c>
    </row>
    <row r="386" spans="1:18" outlineLevel="1" x14ac:dyDescent="0.2">
      <c r="A386" s="3" t="s">
        <v>4199</v>
      </c>
      <c r="B386" s="14">
        <v>-24754868.030000001</v>
      </c>
      <c r="C386" s="13"/>
      <c r="D386" s="14">
        <v>-425077.44</v>
      </c>
      <c r="E386" s="14"/>
      <c r="F386" s="14">
        <v>0</v>
      </c>
      <c r="G386" s="14"/>
      <c r="H386" s="14">
        <v>0</v>
      </c>
      <c r="I386" s="14"/>
      <c r="J386" s="14">
        <v>0</v>
      </c>
      <c r="K386" s="14"/>
      <c r="L386" s="14">
        <v>0</v>
      </c>
      <c r="M386" s="14"/>
      <c r="N386" s="14">
        <v>0</v>
      </c>
      <c r="O386" s="14"/>
      <c r="P386" s="14">
        <v>0</v>
      </c>
      <c r="Q386" s="13"/>
      <c r="R386" s="14">
        <f>SUM(B386:P386)</f>
        <v>-25179945.470000003</v>
      </c>
    </row>
    <row r="387" spans="1:18" outlineLevel="1" x14ac:dyDescent="0.2">
      <c r="A387" s="76" t="s">
        <v>4200</v>
      </c>
      <c r="B387" s="14">
        <v>-1431.0900000000001</v>
      </c>
      <c r="C387" s="13"/>
      <c r="D387" s="14">
        <v>-71525.429999999993</v>
      </c>
      <c r="E387" s="14"/>
      <c r="F387" s="14">
        <v>31821.919999999998</v>
      </c>
      <c r="G387" s="14"/>
      <c r="H387" s="14">
        <v>0</v>
      </c>
      <c r="I387" s="14"/>
      <c r="J387" s="14">
        <v>0</v>
      </c>
      <c r="K387" s="14"/>
      <c r="L387" s="14">
        <v>2194.58</v>
      </c>
      <c r="M387" s="14"/>
      <c r="N387" s="14">
        <v>0</v>
      </c>
      <c r="O387" s="14"/>
      <c r="P387" s="14">
        <v>0</v>
      </c>
      <c r="Q387" s="13"/>
      <c r="R387" s="14">
        <f>SUM(B387:P387)</f>
        <v>-38940.01999999999</v>
      </c>
    </row>
    <row r="388" spans="1:18" outlineLevel="1" x14ac:dyDescent="0.2">
      <c r="A388" s="76" t="s">
        <v>4201</v>
      </c>
      <c r="B388" s="14">
        <v>-83488.73000000001</v>
      </c>
      <c r="C388" s="13"/>
      <c r="D388" s="14">
        <v>-44922.9</v>
      </c>
      <c r="E388" s="14"/>
      <c r="F388" s="14">
        <v>0</v>
      </c>
      <c r="G388" s="14"/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/>
      <c r="N388" s="14">
        <v>0</v>
      </c>
      <c r="O388" s="14"/>
      <c r="P388" s="14">
        <v>0</v>
      </c>
      <c r="Q388" s="13"/>
      <c r="R388" s="14">
        <f>SUM(B388:P388)</f>
        <v>-128411.63</v>
      </c>
    </row>
    <row r="389" spans="1:18" outlineLevel="1" x14ac:dyDescent="0.2">
      <c r="A389" s="3" t="s">
        <v>4202</v>
      </c>
      <c r="B389" s="14">
        <v>-18298951.539999995</v>
      </c>
      <c r="C389" s="13"/>
      <c r="D389" s="14">
        <v>-410056.07</v>
      </c>
      <c r="E389" s="14"/>
      <c r="F389" s="14">
        <v>54797.61</v>
      </c>
      <c r="G389" s="14"/>
      <c r="H389" s="14">
        <v>0</v>
      </c>
      <c r="I389" s="14">
        <v>0</v>
      </c>
      <c r="J389" s="14">
        <v>0</v>
      </c>
      <c r="K389" s="14">
        <v>0</v>
      </c>
      <c r="L389" s="14">
        <v>5248.59</v>
      </c>
      <c r="M389" s="14"/>
      <c r="N389" s="14">
        <v>0</v>
      </c>
      <c r="O389" s="14"/>
      <c r="P389" s="14">
        <v>0</v>
      </c>
      <c r="Q389" s="13"/>
      <c r="R389" s="14">
        <f>SUM(B389:P389)</f>
        <v>-18648961.409999996</v>
      </c>
    </row>
    <row r="390" spans="1:18" outlineLevel="1" x14ac:dyDescent="0.2">
      <c r="A390" s="3" t="s">
        <v>4203</v>
      </c>
      <c r="B390" s="14">
        <v>-3988744.95</v>
      </c>
      <c r="C390" s="13"/>
      <c r="D390" s="14">
        <v>-444349.74</v>
      </c>
      <c r="E390" s="14"/>
      <c r="F390" s="14">
        <v>0</v>
      </c>
      <c r="G390" s="14"/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/>
      <c r="N390" s="14">
        <v>0</v>
      </c>
      <c r="O390" s="14"/>
      <c r="P390" s="14">
        <v>0</v>
      </c>
      <c r="Q390" s="13"/>
      <c r="R390" s="14">
        <f t="shared" si="17"/>
        <v>-4433094.6900000004</v>
      </c>
    </row>
    <row r="391" spans="1:18" outlineLevel="1" x14ac:dyDescent="0.2">
      <c r="A391" s="3" t="s">
        <v>4204</v>
      </c>
      <c r="B391" s="14">
        <v>0</v>
      </c>
      <c r="C391" s="13"/>
      <c r="D391" s="14">
        <v>0</v>
      </c>
      <c r="E391" s="14"/>
      <c r="F391" s="14">
        <v>0</v>
      </c>
      <c r="G391" s="14"/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/>
      <c r="N391" s="14">
        <v>0</v>
      </c>
      <c r="O391" s="14"/>
      <c r="P391" s="14">
        <v>0</v>
      </c>
      <c r="Q391" s="13"/>
      <c r="R391" s="14">
        <f t="shared" si="17"/>
        <v>0</v>
      </c>
    </row>
    <row r="392" spans="1:18" outlineLevel="1" x14ac:dyDescent="0.2">
      <c r="A392" s="3" t="s">
        <v>4205</v>
      </c>
      <c r="B392" s="14">
        <v>-2901693.2800000003</v>
      </c>
      <c r="C392" s="13"/>
      <c r="D392" s="14">
        <v>-578655.18000000005</v>
      </c>
      <c r="E392" s="14"/>
      <c r="F392" s="14">
        <v>0</v>
      </c>
      <c r="G392" s="14"/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/>
      <c r="N392" s="14">
        <v>0</v>
      </c>
      <c r="O392" s="14"/>
      <c r="P392" s="14">
        <v>0</v>
      </c>
      <c r="Q392" s="13"/>
      <c r="R392" s="14">
        <f t="shared" si="17"/>
        <v>-3480348.4600000004</v>
      </c>
    </row>
    <row r="393" spans="1:18" outlineLevel="1" x14ac:dyDescent="0.2">
      <c r="A393" s="3" t="s">
        <v>4206</v>
      </c>
      <c r="B393" s="14">
        <v>0</v>
      </c>
      <c r="C393" s="13"/>
      <c r="D393" s="14">
        <v>0</v>
      </c>
      <c r="E393" s="14"/>
      <c r="F393" s="14">
        <v>0</v>
      </c>
      <c r="G393" s="14"/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/>
      <c r="N393" s="14">
        <v>0</v>
      </c>
      <c r="O393" s="14"/>
      <c r="P393" s="14">
        <v>0</v>
      </c>
      <c r="Q393" s="13"/>
      <c r="R393" s="14">
        <f t="shared" si="17"/>
        <v>0</v>
      </c>
    </row>
    <row r="394" spans="1:18" outlineLevel="1" x14ac:dyDescent="0.2">
      <c r="A394" s="3" t="s">
        <v>4207</v>
      </c>
      <c r="B394" s="14">
        <v>0</v>
      </c>
      <c r="C394" s="13"/>
      <c r="D394" s="14">
        <v>0</v>
      </c>
      <c r="E394" s="14"/>
      <c r="F394" s="14">
        <v>0</v>
      </c>
      <c r="G394" s="14"/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/>
      <c r="N394" s="14">
        <v>0</v>
      </c>
      <c r="O394" s="14"/>
      <c r="P394" s="14">
        <v>0</v>
      </c>
      <c r="Q394" s="13"/>
      <c r="R394" s="14">
        <f t="shared" si="17"/>
        <v>0</v>
      </c>
    </row>
    <row r="395" spans="1:18" outlineLevel="1" x14ac:dyDescent="0.2">
      <c r="A395" s="3" t="s">
        <v>4208</v>
      </c>
      <c r="B395" s="14">
        <v>-251124.69999999992</v>
      </c>
      <c r="C395" s="13"/>
      <c r="D395" s="14">
        <v>-11699.58</v>
      </c>
      <c r="E395" s="14"/>
      <c r="F395" s="14">
        <v>0</v>
      </c>
      <c r="G395" s="14"/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/>
      <c r="N395" s="14">
        <v>0</v>
      </c>
      <c r="O395" s="14"/>
      <c r="P395" s="14">
        <v>0</v>
      </c>
      <c r="Q395" s="13"/>
      <c r="R395" s="14">
        <f t="shared" si="17"/>
        <v>-262824.27999999991</v>
      </c>
    </row>
    <row r="396" spans="1:18" outlineLevel="1" x14ac:dyDescent="0.2">
      <c r="A396" s="3" t="s">
        <v>4209</v>
      </c>
      <c r="B396" s="14">
        <v>-428325.13000000012</v>
      </c>
      <c r="C396" s="13"/>
      <c r="D396" s="14">
        <v>-20394.36</v>
      </c>
      <c r="E396" s="14"/>
      <c r="F396" s="14">
        <v>0</v>
      </c>
      <c r="G396" s="14"/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/>
      <c r="N396" s="14">
        <v>0</v>
      </c>
      <c r="O396" s="14"/>
      <c r="P396" s="14">
        <v>0</v>
      </c>
      <c r="Q396" s="13"/>
      <c r="R396" s="14">
        <f t="shared" si="17"/>
        <v>-448719.49000000011</v>
      </c>
    </row>
    <row r="397" spans="1:18" outlineLevel="1" x14ac:dyDescent="0.2">
      <c r="A397" s="3" t="s">
        <v>4210</v>
      </c>
      <c r="B397" s="14">
        <v>0</v>
      </c>
      <c r="C397" s="13"/>
      <c r="D397" s="14">
        <v>0</v>
      </c>
      <c r="E397" s="14"/>
      <c r="F397" s="14">
        <v>0</v>
      </c>
      <c r="G397" s="14"/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/>
      <c r="N397" s="14">
        <v>0</v>
      </c>
      <c r="O397" s="14"/>
      <c r="P397" s="14">
        <v>0</v>
      </c>
      <c r="Q397" s="13"/>
      <c r="R397" s="14">
        <f t="shared" si="17"/>
        <v>0</v>
      </c>
    </row>
    <row r="398" spans="1:18" outlineLevel="1" x14ac:dyDescent="0.2">
      <c r="A398" s="3" t="s">
        <v>4211</v>
      </c>
      <c r="B398" s="14">
        <v>0</v>
      </c>
      <c r="C398" s="13"/>
      <c r="D398" s="14">
        <v>0</v>
      </c>
      <c r="E398" s="14"/>
      <c r="F398" s="14">
        <v>0</v>
      </c>
      <c r="G398" s="14"/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/>
      <c r="N398" s="14">
        <v>0</v>
      </c>
      <c r="O398" s="14"/>
      <c r="P398" s="14">
        <v>0</v>
      </c>
      <c r="Q398" s="13"/>
      <c r="R398" s="14">
        <f t="shared" si="17"/>
        <v>0</v>
      </c>
    </row>
    <row r="399" spans="1:18" outlineLevel="1" x14ac:dyDescent="0.2">
      <c r="A399" s="3" t="s">
        <v>4212</v>
      </c>
      <c r="B399" s="14">
        <v>-8941298.4600000009</v>
      </c>
      <c r="C399" s="13"/>
      <c r="D399" s="14">
        <v>-913965.19</v>
      </c>
      <c r="E399" s="14"/>
      <c r="F399" s="14">
        <v>0</v>
      </c>
      <c r="G399" s="14"/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/>
      <c r="N399" s="14">
        <v>0</v>
      </c>
      <c r="O399" s="14"/>
      <c r="P399" s="14">
        <v>0</v>
      </c>
      <c r="Q399" s="13"/>
      <c r="R399" s="14">
        <f>SUM(B399:P399)</f>
        <v>-9855263.6500000004</v>
      </c>
    </row>
    <row r="400" spans="1:18" outlineLevel="1" x14ac:dyDescent="0.2">
      <c r="A400" s="3" t="s">
        <v>4213</v>
      </c>
      <c r="B400" s="14">
        <v>0</v>
      </c>
      <c r="C400" s="13"/>
      <c r="D400" s="14">
        <v>0</v>
      </c>
      <c r="E400" s="14"/>
      <c r="F400" s="14">
        <v>0</v>
      </c>
      <c r="G400" s="14"/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/>
      <c r="N400" s="14">
        <v>0</v>
      </c>
      <c r="O400" s="14"/>
      <c r="P400" s="14">
        <v>0</v>
      </c>
      <c r="Q400" s="13"/>
      <c r="R400" s="14">
        <f>SUM(B400:P400)</f>
        <v>0</v>
      </c>
    </row>
    <row r="401" spans="1:18" outlineLevel="1" x14ac:dyDescent="0.2">
      <c r="A401" s="3" t="s">
        <v>4214</v>
      </c>
      <c r="B401" s="14">
        <v>-44740.08</v>
      </c>
      <c r="C401" s="13"/>
      <c r="D401" s="14">
        <v>-25984.2</v>
      </c>
      <c r="E401" s="14"/>
      <c r="F401" s="14">
        <v>0</v>
      </c>
      <c r="G401" s="14"/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/>
      <c r="N401" s="14">
        <v>0</v>
      </c>
      <c r="O401" s="14"/>
      <c r="P401" s="14">
        <v>0</v>
      </c>
      <c r="Q401" s="13"/>
      <c r="R401" s="14">
        <f>SUM(B401:P401)</f>
        <v>-70724.28</v>
      </c>
    </row>
    <row r="402" spans="1:18" outlineLevel="1" x14ac:dyDescent="0.2">
      <c r="A402" s="43" t="s">
        <v>4215</v>
      </c>
      <c r="B402" s="14">
        <v>-771825.53999999992</v>
      </c>
      <c r="C402" s="13"/>
      <c r="D402" s="14">
        <v>-22152.12</v>
      </c>
      <c r="E402" s="14"/>
      <c r="F402" s="14">
        <v>0</v>
      </c>
      <c r="G402" s="14"/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/>
      <c r="N402" s="14">
        <v>0</v>
      </c>
      <c r="O402" s="14"/>
      <c r="P402" s="14">
        <v>0</v>
      </c>
      <c r="Q402" s="13"/>
      <c r="R402" s="14">
        <f>SUM(B402:P402)</f>
        <v>-793977.65999999992</v>
      </c>
    </row>
    <row r="403" spans="1:18" outlineLevel="1" x14ac:dyDescent="0.2">
      <c r="A403" s="3" t="s">
        <v>4216</v>
      </c>
      <c r="B403" s="14">
        <v>-16664.670000000002</v>
      </c>
      <c r="C403" s="13"/>
      <c r="D403" s="14">
        <v>0</v>
      </c>
      <c r="E403" s="14"/>
      <c r="F403" s="14">
        <v>0</v>
      </c>
      <c r="G403" s="14"/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/>
      <c r="N403" s="14">
        <v>0</v>
      </c>
      <c r="O403" s="14"/>
      <c r="P403" s="14">
        <v>0</v>
      </c>
      <c r="Q403" s="13"/>
      <c r="R403" s="14">
        <f t="shared" si="17"/>
        <v>-16664.670000000002</v>
      </c>
    </row>
    <row r="404" spans="1:18" outlineLevel="1" x14ac:dyDescent="0.2">
      <c r="A404" s="3" t="s">
        <v>4217</v>
      </c>
      <c r="B404" s="14">
        <v>-95323.099999999962</v>
      </c>
      <c r="C404" s="13"/>
      <c r="D404" s="14">
        <v>-1588.02</v>
      </c>
      <c r="E404" s="14"/>
      <c r="F404" s="14">
        <v>411.31</v>
      </c>
      <c r="G404" s="14"/>
      <c r="H404" s="14">
        <v>0</v>
      </c>
      <c r="I404" s="14">
        <v>0</v>
      </c>
      <c r="J404" s="14">
        <v>0</v>
      </c>
      <c r="K404" s="14">
        <v>0</v>
      </c>
      <c r="L404" s="14">
        <v>3310.81</v>
      </c>
      <c r="M404" s="14"/>
      <c r="N404" s="14">
        <v>-19968.599999999999</v>
      </c>
      <c r="O404" s="14"/>
      <c r="P404" s="14">
        <v>0</v>
      </c>
      <c r="Q404" s="13"/>
      <c r="R404" s="14">
        <f t="shared" si="17"/>
        <v>-113157.59999999998</v>
      </c>
    </row>
    <row r="405" spans="1:18" x14ac:dyDescent="0.2">
      <c r="A405" s="3" t="s">
        <v>4218</v>
      </c>
      <c r="B405" s="14">
        <v>-104624959.48999999</v>
      </c>
      <c r="C405" s="13"/>
      <c r="D405" s="14">
        <f>SUM(D369:D404)</f>
        <v>-5364550.2100000009</v>
      </c>
      <c r="E405" s="13"/>
      <c r="F405" s="14">
        <f>SUM(F369:F404)</f>
        <v>115476.19</v>
      </c>
      <c r="G405" s="13"/>
      <c r="H405" s="14">
        <f>SUM(H369:H404)</f>
        <v>0</v>
      </c>
      <c r="I405" s="13"/>
      <c r="J405" s="14">
        <f>SUM(J369:J404)</f>
        <v>0</v>
      </c>
      <c r="K405" s="13"/>
      <c r="L405" s="14">
        <f>SUM(L369:L404)</f>
        <v>18968.939999999999</v>
      </c>
      <c r="M405" s="13"/>
      <c r="N405" s="14">
        <f>SUM(N369:N404)</f>
        <v>-19968.599999999999</v>
      </c>
      <c r="O405" s="13"/>
      <c r="P405" s="14">
        <f>SUM(P369:P404)</f>
        <v>0</v>
      </c>
      <c r="Q405" s="13"/>
      <c r="R405" s="14">
        <f>SUM(R369:R404)</f>
        <v>-109875033.16999999</v>
      </c>
    </row>
    <row r="406" spans="1:18" outlineLevel="1" x14ac:dyDescent="0.2">
      <c r="A406" s="43" t="s">
        <v>4219</v>
      </c>
      <c r="B406" s="14">
        <v>0</v>
      </c>
      <c r="C406" s="13"/>
      <c r="D406" s="14">
        <v>0</v>
      </c>
      <c r="E406" s="13"/>
      <c r="F406" s="14">
        <v>0</v>
      </c>
      <c r="G406" s="13"/>
      <c r="H406" s="14">
        <v>0</v>
      </c>
      <c r="I406" s="13"/>
      <c r="J406" s="14">
        <v>0</v>
      </c>
      <c r="K406" s="13"/>
      <c r="L406" s="14">
        <v>0</v>
      </c>
      <c r="M406" s="13"/>
      <c r="N406" s="14">
        <v>0</v>
      </c>
      <c r="O406" s="13"/>
      <c r="P406" s="14">
        <v>0</v>
      </c>
      <c r="Q406" s="13"/>
      <c r="R406" s="14">
        <f t="shared" ref="R406:R414" si="18">SUM(B406:P406)</f>
        <v>0</v>
      </c>
    </row>
    <row r="407" spans="1:18" outlineLevel="1" x14ac:dyDescent="0.2">
      <c r="A407" s="43" t="s">
        <v>4220</v>
      </c>
      <c r="B407" s="14">
        <v>0</v>
      </c>
      <c r="C407" s="13"/>
      <c r="D407" s="14">
        <v>0</v>
      </c>
      <c r="E407" s="13"/>
      <c r="F407" s="14">
        <v>0</v>
      </c>
      <c r="G407" s="13"/>
      <c r="H407" s="14">
        <v>0</v>
      </c>
      <c r="I407" s="13"/>
      <c r="J407" s="14">
        <v>0</v>
      </c>
      <c r="K407" s="13"/>
      <c r="L407" s="14">
        <v>0</v>
      </c>
      <c r="M407" s="13"/>
      <c r="N407" s="14">
        <v>0</v>
      </c>
      <c r="O407" s="13"/>
      <c r="P407" s="14">
        <v>0</v>
      </c>
      <c r="Q407" s="13"/>
      <c r="R407" s="14">
        <f t="shared" si="18"/>
        <v>0</v>
      </c>
    </row>
    <row r="408" spans="1:18" outlineLevel="1" x14ac:dyDescent="0.2">
      <c r="A408" s="43" t="s">
        <v>4221</v>
      </c>
      <c r="B408" s="14">
        <v>0</v>
      </c>
      <c r="C408" s="13"/>
      <c r="D408" s="14">
        <v>0</v>
      </c>
      <c r="E408" s="13"/>
      <c r="F408" s="14">
        <v>0</v>
      </c>
      <c r="G408" s="13"/>
      <c r="H408" s="14">
        <v>0</v>
      </c>
      <c r="I408" s="13"/>
      <c r="J408" s="14">
        <v>0</v>
      </c>
      <c r="K408" s="13"/>
      <c r="L408" s="14">
        <v>0</v>
      </c>
      <c r="M408" s="13"/>
      <c r="N408" s="14">
        <v>0</v>
      </c>
      <c r="O408" s="13"/>
      <c r="P408" s="14">
        <v>0</v>
      </c>
      <c r="Q408" s="13"/>
      <c r="R408" s="14">
        <f t="shared" si="18"/>
        <v>0</v>
      </c>
    </row>
    <row r="409" spans="1:18" outlineLevel="1" x14ac:dyDescent="0.2">
      <c r="A409" s="43" t="s">
        <v>4222</v>
      </c>
      <c r="B409" s="14">
        <v>0</v>
      </c>
      <c r="C409" s="13"/>
      <c r="D409" s="14">
        <v>0</v>
      </c>
      <c r="E409" s="13"/>
      <c r="F409" s="14">
        <v>0</v>
      </c>
      <c r="G409" s="13"/>
      <c r="H409" s="14">
        <v>0</v>
      </c>
      <c r="I409" s="13"/>
      <c r="J409" s="14">
        <v>0</v>
      </c>
      <c r="K409" s="13"/>
      <c r="L409" s="14">
        <v>0</v>
      </c>
      <c r="M409" s="13"/>
      <c r="N409" s="14">
        <v>0</v>
      </c>
      <c r="O409" s="13"/>
      <c r="P409" s="14">
        <v>0</v>
      </c>
      <c r="Q409" s="13"/>
      <c r="R409" s="14">
        <f t="shared" si="18"/>
        <v>0</v>
      </c>
    </row>
    <row r="410" spans="1:18" outlineLevel="1" x14ac:dyDescent="0.2">
      <c r="A410" s="43" t="s">
        <v>4223</v>
      </c>
      <c r="B410" s="14">
        <v>0</v>
      </c>
      <c r="C410" s="13"/>
      <c r="D410" s="14">
        <v>0</v>
      </c>
      <c r="E410" s="13"/>
      <c r="F410" s="14">
        <v>0</v>
      </c>
      <c r="G410" s="13"/>
      <c r="H410" s="14">
        <v>0</v>
      </c>
      <c r="I410" s="13"/>
      <c r="J410" s="14">
        <v>0</v>
      </c>
      <c r="K410" s="13"/>
      <c r="L410" s="14">
        <v>0</v>
      </c>
      <c r="M410" s="13"/>
      <c r="N410" s="14">
        <v>0</v>
      </c>
      <c r="O410" s="13"/>
      <c r="P410" s="14">
        <v>0</v>
      </c>
      <c r="Q410" s="13"/>
      <c r="R410" s="14">
        <f t="shared" si="18"/>
        <v>0</v>
      </c>
    </row>
    <row r="411" spans="1:18" outlineLevel="1" x14ac:dyDescent="0.2">
      <c r="A411" s="43" t="s">
        <v>4224</v>
      </c>
      <c r="B411" s="14">
        <v>0</v>
      </c>
      <c r="C411" s="13"/>
      <c r="D411" s="14">
        <v>0</v>
      </c>
      <c r="E411" s="13"/>
      <c r="F411" s="14">
        <v>0</v>
      </c>
      <c r="G411" s="13"/>
      <c r="H411" s="14">
        <v>0</v>
      </c>
      <c r="I411" s="13"/>
      <c r="J411" s="14">
        <v>0</v>
      </c>
      <c r="K411" s="13"/>
      <c r="L411" s="14">
        <v>0</v>
      </c>
      <c r="M411" s="13"/>
      <c r="N411" s="14">
        <v>0</v>
      </c>
      <c r="O411" s="13"/>
      <c r="P411" s="14">
        <v>0</v>
      </c>
      <c r="Q411" s="13"/>
      <c r="R411" s="14">
        <f t="shared" si="18"/>
        <v>0</v>
      </c>
    </row>
    <row r="412" spans="1:18" outlineLevel="1" x14ac:dyDescent="0.2">
      <c r="A412" s="43" t="s">
        <v>4225</v>
      </c>
      <c r="B412" s="14">
        <v>0</v>
      </c>
      <c r="C412" s="13"/>
      <c r="D412" s="14">
        <v>0</v>
      </c>
      <c r="E412" s="13"/>
      <c r="F412" s="14">
        <v>0</v>
      </c>
      <c r="G412" s="13"/>
      <c r="H412" s="14">
        <v>0</v>
      </c>
      <c r="I412" s="13"/>
      <c r="J412" s="14">
        <v>0</v>
      </c>
      <c r="K412" s="13"/>
      <c r="L412" s="14">
        <v>0</v>
      </c>
      <c r="M412" s="13"/>
      <c r="N412" s="14">
        <v>0</v>
      </c>
      <c r="O412" s="13"/>
      <c r="P412" s="14">
        <v>0</v>
      </c>
      <c r="Q412" s="13"/>
      <c r="R412" s="14">
        <f t="shared" si="18"/>
        <v>0</v>
      </c>
    </row>
    <row r="413" spans="1:18" outlineLevel="1" x14ac:dyDescent="0.2">
      <c r="A413" s="43" t="s">
        <v>4226</v>
      </c>
      <c r="B413" s="14">
        <v>0</v>
      </c>
      <c r="C413" s="13"/>
      <c r="D413" s="14">
        <v>0</v>
      </c>
      <c r="E413" s="13"/>
      <c r="F413" s="14">
        <v>0</v>
      </c>
      <c r="G413" s="13"/>
      <c r="H413" s="14">
        <v>0</v>
      </c>
      <c r="I413" s="13"/>
      <c r="J413" s="14">
        <v>0</v>
      </c>
      <c r="K413" s="13"/>
      <c r="L413" s="14">
        <v>0</v>
      </c>
      <c r="M413" s="13"/>
      <c r="N413" s="14">
        <v>0</v>
      </c>
      <c r="O413" s="13"/>
      <c r="P413" s="14">
        <v>0</v>
      </c>
      <c r="Q413" s="13"/>
      <c r="R413" s="14">
        <f t="shared" si="18"/>
        <v>0</v>
      </c>
    </row>
    <row r="414" spans="1:18" outlineLevel="1" x14ac:dyDescent="0.2">
      <c r="A414" s="43" t="s">
        <v>4227</v>
      </c>
      <c r="B414" s="14">
        <v>0</v>
      </c>
      <c r="C414" s="13"/>
      <c r="D414" s="14">
        <v>0</v>
      </c>
      <c r="E414" s="13"/>
      <c r="F414" s="14">
        <v>0</v>
      </c>
      <c r="G414" s="13"/>
      <c r="H414" s="14">
        <v>0</v>
      </c>
      <c r="I414" s="13"/>
      <c r="J414" s="14">
        <v>0</v>
      </c>
      <c r="K414" s="13"/>
      <c r="L414" s="14">
        <v>0</v>
      </c>
      <c r="M414" s="13"/>
      <c r="N414" s="14">
        <v>0</v>
      </c>
      <c r="O414" s="13"/>
      <c r="P414" s="14">
        <v>0</v>
      </c>
      <c r="Q414" s="13"/>
      <c r="R414" s="14">
        <f t="shared" si="18"/>
        <v>0</v>
      </c>
    </row>
    <row r="415" spans="1:18" x14ac:dyDescent="0.2">
      <c r="A415" s="3" t="s">
        <v>4228</v>
      </c>
      <c r="B415" s="14">
        <v>0</v>
      </c>
      <c r="C415" s="13"/>
      <c r="D415" s="14">
        <f>SUM(D406:D414)</f>
        <v>0</v>
      </c>
      <c r="E415" s="13"/>
      <c r="F415" s="14">
        <f>SUM(F406:F414)</f>
        <v>0</v>
      </c>
      <c r="G415" s="13"/>
      <c r="H415" s="14">
        <f>SUM(H406:H414)</f>
        <v>0</v>
      </c>
      <c r="I415" s="13"/>
      <c r="J415" s="14">
        <f>SUM(J406:J414)</f>
        <v>0</v>
      </c>
      <c r="K415" s="13"/>
      <c r="L415" s="14">
        <f>SUM(L406:L414)</f>
        <v>0</v>
      </c>
      <c r="M415" s="13"/>
      <c r="N415" s="14">
        <f>SUM(N406:N414)</f>
        <v>0</v>
      </c>
      <c r="O415" s="13"/>
      <c r="P415" s="14">
        <f>SUM(P406:P414)</f>
        <v>0</v>
      </c>
      <c r="Q415" s="13"/>
      <c r="R415" s="14">
        <f>SUM(R406:R414)</f>
        <v>0</v>
      </c>
    </row>
    <row r="416" spans="1:18" outlineLevel="1" x14ac:dyDescent="0.2">
      <c r="A416" s="3" t="s">
        <v>4229</v>
      </c>
      <c r="B416" s="14">
        <v>-297011.13000000006</v>
      </c>
      <c r="C416" s="13"/>
      <c r="D416" s="14">
        <v>-5897.16</v>
      </c>
      <c r="E416" s="14"/>
      <c r="F416" s="14">
        <v>1581.94</v>
      </c>
      <c r="G416" s="14"/>
      <c r="H416" s="14">
        <v>0</v>
      </c>
      <c r="I416" s="14">
        <v>0</v>
      </c>
      <c r="J416" s="14">
        <v>0</v>
      </c>
      <c r="K416" s="14">
        <v>0</v>
      </c>
      <c r="L416" s="14">
        <v>941</v>
      </c>
      <c r="M416" s="14"/>
      <c r="N416" s="14">
        <v>0</v>
      </c>
      <c r="O416" s="14"/>
      <c r="P416" s="14">
        <v>0</v>
      </c>
      <c r="Q416" s="13"/>
      <c r="R416" s="14">
        <f t="shared" ref="R416:R433" si="19">SUM(B416:P416)</f>
        <v>-300385.35000000003</v>
      </c>
    </row>
    <row r="417" spans="1:18" outlineLevel="1" x14ac:dyDescent="0.2">
      <c r="A417" s="3" t="s">
        <v>4230</v>
      </c>
      <c r="B417" s="14">
        <v>-107112.75</v>
      </c>
      <c r="C417" s="13"/>
      <c r="D417" s="14">
        <v>-67.680000000000007</v>
      </c>
      <c r="E417" s="14"/>
      <c r="F417" s="14">
        <v>0</v>
      </c>
      <c r="G417" s="14"/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/>
      <c r="N417" s="14">
        <v>0</v>
      </c>
      <c r="O417" s="14"/>
      <c r="P417" s="14">
        <v>0</v>
      </c>
      <c r="Q417" s="13"/>
      <c r="R417" s="14">
        <f t="shared" si="19"/>
        <v>-107180.43</v>
      </c>
    </row>
    <row r="418" spans="1:18" outlineLevel="1" x14ac:dyDescent="0.2">
      <c r="A418" s="3" t="s">
        <v>4231</v>
      </c>
      <c r="B418" s="14">
        <v>-3265906.8300000005</v>
      </c>
      <c r="C418" s="13"/>
      <c r="D418" s="14">
        <v>-141325.57</v>
      </c>
      <c r="E418" s="14"/>
      <c r="F418" s="14">
        <v>70561.899999999994</v>
      </c>
      <c r="G418" s="14"/>
      <c r="H418" s="14">
        <v>0</v>
      </c>
      <c r="I418" s="14">
        <v>0</v>
      </c>
      <c r="J418" s="14">
        <v>0</v>
      </c>
      <c r="K418" s="14">
        <v>0</v>
      </c>
      <c r="L418" s="14">
        <v>10182.790000000001</v>
      </c>
      <c r="M418" s="14"/>
      <c r="N418" s="14">
        <v>0</v>
      </c>
      <c r="O418" s="14"/>
      <c r="P418" s="14">
        <v>0</v>
      </c>
      <c r="Q418" s="13"/>
      <c r="R418" s="14">
        <f t="shared" si="19"/>
        <v>-3326487.7100000004</v>
      </c>
    </row>
    <row r="419" spans="1:18" outlineLevel="1" x14ac:dyDescent="0.2">
      <c r="A419" s="3" t="s">
        <v>4232</v>
      </c>
      <c r="B419" s="14">
        <v>-1675386.24</v>
      </c>
      <c r="C419" s="13"/>
      <c r="D419" s="14">
        <v>-13761.56</v>
      </c>
      <c r="E419" s="14"/>
      <c r="F419" s="14">
        <v>4684.47</v>
      </c>
      <c r="G419" s="14"/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/>
      <c r="N419" s="14">
        <v>0</v>
      </c>
      <c r="O419" s="14"/>
      <c r="P419" s="14">
        <v>0</v>
      </c>
      <c r="Q419" s="13"/>
      <c r="R419" s="14">
        <f t="shared" si="19"/>
        <v>-1684463.33</v>
      </c>
    </row>
    <row r="420" spans="1:18" outlineLevel="1" x14ac:dyDescent="0.2">
      <c r="A420" s="3" t="s">
        <v>4233</v>
      </c>
      <c r="B420" s="14">
        <v>-889286.09000000008</v>
      </c>
      <c r="C420" s="13"/>
      <c r="D420" s="14">
        <v>-11544.12</v>
      </c>
      <c r="E420" s="14"/>
      <c r="F420" s="14">
        <v>0</v>
      </c>
      <c r="G420" s="14"/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/>
      <c r="N420" s="14">
        <v>0</v>
      </c>
      <c r="O420" s="14"/>
      <c r="P420" s="14">
        <v>0</v>
      </c>
      <c r="Q420" s="13"/>
      <c r="R420" s="14">
        <f t="shared" si="19"/>
        <v>-900830.21000000008</v>
      </c>
    </row>
    <row r="421" spans="1:18" outlineLevel="1" x14ac:dyDescent="0.2">
      <c r="A421" s="3" t="s">
        <v>4234</v>
      </c>
      <c r="B421" s="14">
        <v>-1458363.0699999996</v>
      </c>
      <c r="C421" s="13"/>
      <c r="D421" s="14">
        <v>-9423.2900000000009</v>
      </c>
      <c r="E421" s="14"/>
      <c r="F421" s="14">
        <v>4419.13</v>
      </c>
      <c r="G421" s="14"/>
      <c r="H421" s="14">
        <v>0</v>
      </c>
      <c r="I421" s="14">
        <v>0</v>
      </c>
      <c r="J421" s="14">
        <v>0</v>
      </c>
      <c r="K421" s="14">
        <v>0</v>
      </c>
      <c r="L421" s="14">
        <v>2543.5100000000002</v>
      </c>
      <c r="M421" s="14"/>
      <c r="N421" s="14">
        <v>0</v>
      </c>
      <c r="O421" s="14"/>
      <c r="P421" s="14">
        <v>0</v>
      </c>
      <c r="Q421" s="13"/>
      <c r="R421" s="14">
        <f t="shared" si="19"/>
        <v>-1460823.7199999997</v>
      </c>
    </row>
    <row r="422" spans="1:18" outlineLevel="1" x14ac:dyDescent="0.2">
      <c r="A422" s="3" t="s">
        <v>4235</v>
      </c>
      <c r="B422" s="14">
        <v>-2673300.600000001</v>
      </c>
      <c r="C422" s="13"/>
      <c r="D422" s="14">
        <v>-36205.94</v>
      </c>
      <c r="E422" s="14"/>
      <c r="F422" s="14">
        <v>2913.24</v>
      </c>
      <c r="G422" s="14"/>
      <c r="H422" s="14">
        <v>0</v>
      </c>
      <c r="I422" s="14">
        <v>0</v>
      </c>
      <c r="J422" s="14">
        <v>0</v>
      </c>
      <c r="K422" s="14">
        <v>0</v>
      </c>
      <c r="L422" s="14">
        <v>1942.76</v>
      </c>
      <c r="M422" s="14"/>
      <c r="N422" s="14">
        <v>0</v>
      </c>
      <c r="O422" s="14"/>
      <c r="P422" s="14">
        <v>0</v>
      </c>
      <c r="Q422" s="13"/>
      <c r="R422" s="14">
        <f t="shared" si="19"/>
        <v>-2704650.540000001</v>
      </c>
    </row>
    <row r="423" spans="1:18" outlineLevel="1" x14ac:dyDescent="0.2">
      <c r="A423" s="73" t="s">
        <v>4236</v>
      </c>
      <c r="B423" s="14">
        <v>-15852.64</v>
      </c>
      <c r="C423" s="13"/>
      <c r="D423" s="14">
        <v>-9321.7199999999993</v>
      </c>
      <c r="E423" s="14"/>
      <c r="F423" s="14">
        <v>0</v>
      </c>
      <c r="G423" s="14"/>
      <c r="H423" s="14">
        <v>0</v>
      </c>
      <c r="I423" s="14"/>
      <c r="J423" s="14">
        <v>0</v>
      </c>
      <c r="K423" s="14"/>
      <c r="L423" s="14">
        <v>0</v>
      </c>
      <c r="M423" s="14"/>
      <c r="N423" s="14">
        <v>0</v>
      </c>
      <c r="O423" s="14"/>
      <c r="P423" s="14">
        <v>0</v>
      </c>
      <c r="Q423" s="13"/>
      <c r="R423" s="14">
        <f t="shared" si="19"/>
        <v>-25174.36</v>
      </c>
    </row>
    <row r="424" spans="1:18" outlineLevel="1" x14ac:dyDescent="0.2">
      <c r="A424" s="3" t="s">
        <v>4237</v>
      </c>
      <c r="B424" s="14">
        <v>-3705385.189999999</v>
      </c>
      <c r="C424" s="13"/>
      <c r="D424" s="14">
        <v>-265677.21999999997</v>
      </c>
      <c r="E424" s="14"/>
      <c r="F424" s="14">
        <v>133520.45000000001</v>
      </c>
      <c r="G424" s="14"/>
      <c r="H424" s="14">
        <v>0</v>
      </c>
      <c r="I424" s="14">
        <v>0</v>
      </c>
      <c r="J424" s="14">
        <v>0</v>
      </c>
      <c r="K424" s="14">
        <v>0</v>
      </c>
      <c r="L424" s="14">
        <v>7168.03</v>
      </c>
      <c r="M424" s="14"/>
      <c r="N424" s="14">
        <v>-27560</v>
      </c>
      <c r="O424" s="14"/>
      <c r="P424" s="14">
        <v>0</v>
      </c>
      <c r="Q424" s="13"/>
      <c r="R424" s="14">
        <f t="shared" si="19"/>
        <v>-3857933.9299999992</v>
      </c>
    </row>
    <row r="425" spans="1:18" outlineLevel="1" x14ac:dyDescent="0.2">
      <c r="A425" s="3" t="s">
        <v>4238</v>
      </c>
      <c r="B425" s="14">
        <v>-57147.330000000009</v>
      </c>
      <c r="C425" s="13"/>
      <c r="D425" s="14">
        <v>0</v>
      </c>
      <c r="E425" s="14"/>
      <c r="F425" s="14">
        <v>0</v>
      </c>
      <c r="G425" s="14"/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/>
      <c r="N425" s="14">
        <v>0</v>
      </c>
      <c r="O425" s="14"/>
      <c r="P425" s="14">
        <v>0</v>
      </c>
      <c r="Q425" s="13"/>
      <c r="R425" s="14">
        <f t="shared" si="19"/>
        <v>-57147.330000000009</v>
      </c>
    </row>
    <row r="426" spans="1:18" outlineLevel="1" x14ac:dyDescent="0.2">
      <c r="A426" s="3" t="s">
        <v>4239</v>
      </c>
      <c r="B426" s="14">
        <v>12426.699999999983</v>
      </c>
      <c r="C426" s="13"/>
      <c r="D426" s="14">
        <v>0</v>
      </c>
      <c r="E426" s="14"/>
      <c r="F426" s="14">
        <v>0</v>
      </c>
      <c r="G426" s="14"/>
      <c r="H426" s="14">
        <v>-23114.36</v>
      </c>
      <c r="I426" s="14">
        <v>0</v>
      </c>
      <c r="J426" s="14">
        <v>0</v>
      </c>
      <c r="K426" s="14">
        <v>0</v>
      </c>
      <c r="L426" s="14">
        <v>0</v>
      </c>
      <c r="M426" s="14"/>
      <c r="N426" s="14">
        <v>0</v>
      </c>
      <c r="O426" s="14"/>
      <c r="P426" s="14">
        <v>0</v>
      </c>
      <c r="Q426" s="13"/>
      <c r="R426" s="14">
        <f t="shared" si="19"/>
        <v>-10687.660000000018</v>
      </c>
    </row>
    <row r="427" spans="1:18" outlineLevel="1" x14ac:dyDescent="0.2">
      <c r="A427" s="3" t="s">
        <v>4240</v>
      </c>
      <c r="B427" s="14">
        <v>-181178.06999999977</v>
      </c>
      <c r="C427" s="13"/>
      <c r="D427" s="14">
        <v>-20712.900000000001</v>
      </c>
      <c r="E427" s="14"/>
      <c r="F427" s="14">
        <v>40627.06</v>
      </c>
      <c r="G427" s="14"/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/>
      <c r="N427" s="14">
        <v>0</v>
      </c>
      <c r="O427" s="14"/>
      <c r="P427" s="14">
        <v>0</v>
      </c>
      <c r="Q427" s="13"/>
      <c r="R427" s="14">
        <f t="shared" si="19"/>
        <v>-161263.90999999977</v>
      </c>
    </row>
    <row r="428" spans="1:18" outlineLevel="1" x14ac:dyDescent="0.2">
      <c r="A428" s="3" t="s">
        <v>4241</v>
      </c>
      <c r="B428" s="14">
        <v>0</v>
      </c>
      <c r="C428" s="13"/>
      <c r="D428" s="14">
        <v>0</v>
      </c>
      <c r="E428" s="14"/>
      <c r="F428" s="14">
        <v>0</v>
      </c>
      <c r="G428" s="14"/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/>
      <c r="N428" s="14">
        <v>0</v>
      </c>
      <c r="O428" s="14"/>
      <c r="P428" s="14">
        <v>0</v>
      </c>
      <c r="Q428" s="13"/>
      <c r="R428" s="14">
        <f t="shared" si="19"/>
        <v>0</v>
      </c>
    </row>
    <row r="429" spans="1:18" outlineLevel="1" x14ac:dyDescent="0.2">
      <c r="A429" s="3" t="s">
        <v>4242</v>
      </c>
      <c r="B429" s="14">
        <v>0</v>
      </c>
      <c r="C429" s="13"/>
      <c r="D429" s="14">
        <v>0</v>
      </c>
      <c r="E429" s="14"/>
      <c r="F429" s="14">
        <v>0</v>
      </c>
      <c r="G429" s="14"/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/>
      <c r="N429" s="14">
        <v>0</v>
      </c>
      <c r="O429" s="14"/>
      <c r="P429" s="14">
        <v>0</v>
      </c>
      <c r="Q429" s="13"/>
      <c r="R429" s="14">
        <f t="shared" si="19"/>
        <v>0</v>
      </c>
    </row>
    <row r="430" spans="1:18" outlineLevel="1" x14ac:dyDescent="0.2">
      <c r="A430" s="3" t="s">
        <v>4243</v>
      </c>
      <c r="B430" s="14">
        <v>-975325.46999999974</v>
      </c>
      <c r="C430" s="13"/>
      <c r="D430" s="14">
        <v>-99291.28</v>
      </c>
      <c r="E430" s="14"/>
      <c r="F430" s="14">
        <v>140966.95000000001</v>
      </c>
      <c r="G430" s="14"/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/>
      <c r="N430" s="14">
        <v>0</v>
      </c>
      <c r="O430" s="14"/>
      <c r="P430" s="14">
        <v>0</v>
      </c>
      <c r="Q430" s="13"/>
      <c r="R430" s="14">
        <f t="shared" si="19"/>
        <v>-933649.79999999981</v>
      </c>
    </row>
    <row r="431" spans="1:18" outlineLevel="1" x14ac:dyDescent="0.2">
      <c r="A431" s="43" t="s">
        <v>4244</v>
      </c>
      <c r="B431" s="14">
        <v>-865869.48</v>
      </c>
      <c r="C431" s="13"/>
      <c r="D431" s="14">
        <v>-165472.48000000001</v>
      </c>
      <c r="E431" s="14"/>
      <c r="F431" s="14">
        <v>17191.810000000001</v>
      </c>
      <c r="G431" s="14"/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/>
      <c r="N431" s="14">
        <v>0</v>
      </c>
      <c r="O431" s="14"/>
      <c r="P431" s="14">
        <v>0</v>
      </c>
      <c r="Q431" s="13"/>
      <c r="R431" s="14">
        <f t="shared" si="19"/>
        <v>-1014150.1499999999</v>
      </c>
    </row>
    <row r="432" spans="1:18" outlineLevel="1" x14ac:dyDescent="0.2">
      <c r="A432" s="3" t="s">
        <v>4245</v>
      </c>
      <c r="B432" s="14">
        <v>-7239.7099999999991</v>
      </c>
      <c r="C432" s="13"/>
      <c r="D432" s="14">
        <v>0</v>
      </c>
      <c r="E432" s="14"/>
      <c r="F432" s="14">
        <v>0</v>
      </c>
      <c r="G432" s="14"/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/>
      <c r="N432" s="14">
        <v>0</v>
      </c>
      <c r="O432" s="14"/>
      <c r="P432" s="14">
        <v>0</v>
      </c>
      <c r="Q432" s="13"/>
      <c r="R432" s="14">
        <f t="shared" si="19"/>
        <v>-7239.7099999999991</v>
      </c>
    </row>
    <row r="433" spans="1:19" outlineLevel="1" x14ac:dyDescent="0.2">
      <c r="A433" s="3" t="s">
        <v>4246</v>
      </c>
      <c r="B433" s="14">
        <v>-42822.319999999876</v>
      </c>
      <c r="C433" s="13"/>
      <c r="D433" s="14">
        <v>-5408.1</v>
      </c>
      <c r="E433" s="14"/>
      <c r="F433" s="14">
        <v>0</v>
      </c>
      <c r="G433" s="14"/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/>
      <c r="N433" s="14">
        <v>0</v>
      </c>
      <c r="O433" s="14"/>
      <c r="P433" s="14">
        <v>0</v>
      </c>
      <c r="Q433" s="13"/>
      <c r="R433" s="14">
        <f t="shared" si="19"/>
        <v>-48230.419999999875</v>
      </c>
    </row>
    <row r="434" spans="1:19" x14ac:dyDescent="0.2">
      <c r="A434" s="3" t="s">
        <v>4247</v>
      </c>
      <c r="B434" s="17">
        <v>-16204760.220000003</v>
      </c>
      <c r="C434" s="94"/>
      <c r="D434" s="17">
        <f>SUM(D416:D433)</f>
        <v>-784109.02</v>
      </c>
      <c r="E434" s="94"/>
      <c r="F434" s="17">
        <f>SUM(F416:F433)</f>
        <v>416466.95</v>
      </c>
      <c r="G434" s="94"/>
      <c r="H434" s="17">
        <f>SUM(H416:H433)</f>
        <v>-23114.36</v>
      </c>
      <c r="I434" s="94"/>
      <c r="J434" s="17">
        <f>SUM(J416:J433)</f>
        <v>0</v>
      </c>
      <c r="K434" s="94"/>
      <c r="L434" s="17">
        <f>SUM(L416:L433)</f>
        <v>22778.09</v>
      </c>
      <c r="M434" s="94"/>
      <c r="N434" s="17">
        <f>SUM(N416:N433)</f>
        <v>-27560</v>
      </c>
      <c r="O434" s="94"/>
      <c r="P434" s="17">
        <f>SUM(P416:P433)</f>
        <v>0</v>
      </c>
      <c r="Q434" s="94"/>
      <c r="R434" s="17">
        <f>SUM(R416:R433)</f>
        <v>-16600298.560000002</v>
      </c>
    </row>
    <row r="435" spans="1:19" x14ac:dyDescent="0.2">
      <c r="A435" s="3" t="s">
        <v>4248</v>
      </c>
      <c r="B435" s="17">
        <v>-2815947.9499999881</v>
      </c>
      <c r="C435" s="94"/>
      <c r="D435" s="17">
        <v>-3996950.19</v>
      </c>
      <c r="E435" s="94"/>
      <c r="F435" s="113">
        <v>203134</v>
      </c>
      <c r="G435" s="94"/>
      <c r="H435" s="113">
        <v>-331684.03999999998</v>
      </c>
      <c r="I435" s="94"/>
      <c r="J435" s="17">
        <v>0</v>
      </c>
      <c r="K435" s="94"/>
      <c r="L435" s="113">
        <v>0</v>
      </c>
      <c r="M435" s="94"/>
      <c r="N435" s="113">
        <v>0</v>
      </c>
      <c r="O435" s="94"/>
      <c r="P435" s="114">
        <v>0</v>
      </c>
      <c r="Q435" s="94"/>
      <c r="R435" s="17">
        <f>SUM(B435:P435)</f>
        <v>-6941448.1799999876</v>
      </c>
    </row>
    <row r="436" spans="1:19" x14ac:dyDescent="0.2">
      <c r="A436" s="3" t="s">
        <v>4249</v>
      </c>
      <c r="B436" s="17">
        <v>-90540910.780000001</v>
      </c>
      <c r="C436" s="13"/>
      <c r="D436" s="17">
        <v>-16834616.390000001</v>
      </c>
      <c r="E436" s="13"/>
      <c r="F436" s="113">
        <v>0</v>
      </c>
      <c r="G436" s="13"/>
      <c r="H436" s="113">
        <v>331684.03999999998</v>
      </c>
      <c r="I436" s="13"/>
      <c r="J436" s="17">
        <v>0</v>
      </c>
      <c r="K436" s="13"/>
      <c r="L436" s="113">
        <v>0</v>
      </c>
      <c r="M436" s="13"/>
      <c r="N436" s="113">
        <v>0</v>
      </c>
      <c r="O436" s="13"/>
      <c r="P436" s="114">
        <v>0</v>
      </c>
      <c r="Q436" s="13"/>
      <c r="R436" s="17">
        <f>SUM(B436:P436)</f>
        <v>-107043843.13</v>
      </c>
    </row>
    <row r="437" spans="1:19" x14ac:dyDescent="0.2">
      <c r="A437" s="3" t="s">
        <v>4250</v>
      </c>
      <c r="B437" s="18">
        <f>B435+B434+B405+B368+B367+B351+B340+B275+B266+B231+B415+B436</f>
        <v>-1667911158.6300001</v>
      </c>
      <c r="C437" s="13"/>
      <c r="D437" s="18">
        <f>D435+D434+D405+D368+D367+D351+D340+D275+D266+D231+D415+D436</f>
        <v>-146733250.28999999</v>
      </c>
      <c r="E437" s="13"/>
      <c r="F437" s="18">
        <f>F435+F434+F405+F368+F367+F351+F340+F275+F266+F231+F415+F436</f>
        <v>14556935.390000001</v>
      </c>
      <c r="G437" s="13"/>
      <c r="H437" s="18">
        <f>H435+H434+H405+H368+H367+H351+H340+H275+H266+H231+H415+H436</f>
        <v>0</v>
      </c>
      <c r="I437" s="13"/>
      <c r="J437" s="18">
        <f>J435+J434+J405+J368+J367+J351+J340+J275+J266+J231+J415</f>
        <v>0</v>
      </c>
      <c r="K437" s="13"/>
      <c r="L437" s="18">
        <f>L435+L434+L405+L368+L367+L351+L340+L275+L266+L231+L415+L436</f>
        <v>7763019.1799999978</v>
      </c>
      <c r="M437" s="17">
        <f>M435+M434+M405+M368+M367+M351+M340+M275+M266+M231</f>
        <v>0</v>
      </c>
      <c r="N437" s="18">
        <f>N435+N434+N405+N368+N367+N351+N340+N275+N266+N231+N415+N436</f>
        <v>-93042.37</v>
      </c>
      <c r="O437" s="17">
        <f>O435+O434+O405+O368+O367+O351+O340+O275+O266+O231</f>
        <v>0</v>
      </c>
      <c r="P437" s="18">
        <f>P435+P434+P405+P368+P367+P351+P340+P275+P266+P231+P415+P436</f>
        <v>-151771.82999999999</v>
      </c>
      <c r="Q437" s="13"/>
      <c r="R437" s="18">
        <f>R435+R434+R405+R368+R367+R351+R340+R275+R266+R231+R415+R436</f>
        <v>-1792569268.5499997</v>
      </c>
      <c r="S437" s="15"/>
    </row>
    <row r="438" spans="1:19" x14ac:dyDescent="0.2">
      <c r="C438" s="13"/>
      <c r="E438" s="13"/>
      <c r="G438" s="13"/>
      <c r="I438" s="13"/>
      <c r="K438" s="13"/>
      <c r="M438" s="13"/>
      <c r="O438" s="13"/>
      <c r="Q438" s="13"/>
    </row>
    <row r="439" spans="1:19" x14ac:dyDescent="0.2">
      <c r="A439" s="12" t="s">
        <v>18</v>
      </c>
      <c r="C439" s="13"/>
      <c r="E439" s="13"/>
      <c r="G439" s="13"/>
      <c r="I439" s="13"/>
      <c r="K439" s="13"/>
      <c r="M439" s="13"/>
      <c r="O439" s="13"/>
      <c r="Q439" s="13"/>
    </row>
    <row r="440" spans="1:19" x14ac:dyDescent="0.2">
      <c r="A440" s="3" t="s">
        <v>4251</v>
      </c>
      <c r="B440" s="14">
        <v>-15400740.929999998</v>
      </c>
      <c r="C440" s="13"/>
      <c r="D440" s="14">
        <v>-248520.3</v>
      </c>
      <c r="E440" s="13"/>
      <c r="F440" s="14">
        <v>0</v>
      </c>
      <c r="G440" s="13"/>
      <c r="H440" s="111">
        <v>0</v>
      </c>
      <c r="I440" s="13"/>
      <c r="J440" s="14">
        <v>0</v>
      </c>
      <c r="K440" s="13"/>
      <c r="L440" s="111">
        <v>0</v>
      </c>
      <c r="M440" s="13"/>
      <c r="N440" s="111">
        <v>0</v>
      </c>
      <c r="O440" s="13"/>
      <c r="P440" s="112">
        <v>0</v>
      </c>
      <c r="Q440" s="13"/>
      <c r="R440" s="14">
        <f t="shared" ref="R440:R465" si="20">SUM(B440:P440)</f>
        <v>-15649261.229999999</v>
      </c>
    </row>
    <row r="441" spans="1:19" x14ac:dyDescent="0.2">
      <c r="A441" s="3" t="s">
        <v>4252</v>
      </c>
      <c r="B441" s="14">
        <v>0</v>
      </c>
      <c r="C441" s="13"/>
      <c r="D441" s="14">
        <v>0</v>
      </c>
      <c r="E441" s="13"/>
      <c r="F441" s="14">
        <v>0</v>
      </c>
      <c r="G441" s="13"/>
      <c r="H441" s="111">
        <v>0</v>
      </c>
      <c r="I441" s="13"/>
      <c r="J441" s="14">
        <v>0</v>
      </c>
      <c r="K441" s="13"/>
      <c r="L441" s="111">
        <v>0</v>
      </c>
      <c r="M441" s="13"/>
      <c r="N441" s="111">
        <v>0</v>
      </c>
      <c r="O441" s="13"/>
      <c r="P441" s="112">
        <v>0</v>
      </c>
      <c r="Q441" s="13"/>
      <c r="R441" s="14">
        <f t="shared" si="20"/>
        <v>0</v>
      </c>
    </row>
    <row r="442" spans="1:19" x14ac:dyDescent="0.2">
      <c r="A442" s="3" t="s">
        <v>4253</v>
      </c>
      <c r="B442" s="14">
        <v>0</v>
      </c>
      <c r="C442" s="13"/>
      <c r="D442" s="14">
        <v>0</v>
      </c>
      <c r="E442" s="13"/>
      <c r="F442" s="14">
        <v>0</v>
      </c>
      <c r="G442" s="13"/>
      <c r="H442" s="111">
        <v>0</v>
      </c>
      <c r="I442" s="13"/>
      <c r="J442" s="14">
        <v>0</v>
      </c>
      <c r="K442" s="13"/>
      <c r="L442" s="111">
        <v>0</v>
      </c>
      <c r="M442" s="13"/>
      <c r="N442" s="111">
        <v>0</v>
      </c>
      <c r="O442" s="13"/>
      <c r="P442" s="112">
        <v>0</v>
      </c>
      <c r="Q442" s="13"/>
      <c r="R442" s="14">
        <f t="shared" si="20"/>
        <v>0</v>
      </c>
    </row>
    <row r="443" spans="1:19" x14ac:dyDescent="0.2">
      <c r="A443" s="3" t="s">
        <v>4254</v>
      </c>
      <c r="B443" s="14">
        <v>0</v>
      </c>
      <c r="C443" s="13"/>
      <c r="D443" s="14">
        <v>0</v>
      </c>
      <c r="E443" s="13"/>
      <c r="F443" s="14">
        <v>0</v>
      </c>
      <c r="G443" s="13"/>
      <c r="H443" s="111">
        <v>0</v>
      </c>
      <c r="I443" s="13"/>
      <c r="J443" s="14">
        <v>0</v>
      </c>
      <c r="K443" s="13"/>
      <c r="L443" s="111">
        <v>0</v>
      </c>
      <c r="M443" s="13"/>
      <c r="N443" s="111">
        <v>0</v>
      </c>
      <c r="O443" s="13"/>
      <c r="P443" s="112">
        <v>0</v>
      </c>
      <c r="Q443" s="13"/>
      <c r="R443" s="14">
        <f t="shared" si="20"/>
        <v>0</v>
      </c>
    </row>
    <row r="444" spans="1:19" x14ac:dyDescent="0.2">
      <c r="A444" s="3" t="s">
        <v>4255</v>
      </c>
      <c r="B444" s="14">
        <v>-5186473.63</v>
      </c>
      <c r="C444" s="13"/>
      <c r="D444" s="14">
        <v>-444639.7</v>
      </c>
      <c r="E444" s="13"/>
      <c r="F444" s="14">
        <v>75250.42</v>
      </c>
      <c r="G444" s="13"/>
      <c r="H444" s="111">
        <v>-10863.43</v>
      </c>
      <c r="I444" s="13"/>
      <c r="J444" s="14">
        <v>0</v>
      </c>
      <c r="K444" s="13"/>
      <c r="L444" s="111">
        <v>58802.63</v>
      </c>
      <c r="M444" s="13"/>
      <c r="N444" s="111">
        <v>-1377.84</v>
      </c>
      <c r="O444" s="13"/>
      <c r="P444" s="112">
        <v>0</v>
      </c>
      <c r="Q444" s="13"/>
      <c r="R444" s="14">
        <f t="shared" si="20"/>
        <v>-5509301.5499999998</v>
      </c>
    </row>
    <row r="445" spans="1:19" x14ac:dyDescent="0.2">
      <c r="A445" s="3" t="s">
        <v>4256</v>
      </c>
      <c r="B445" s="14">
        <v>-869225.68</v>
      </c>
      <c r="C445" s="13"/>
      <c r="D445" s="14">
        <v>-20960.939999999999</v>
      </c>
      <c r="E445" s="13"/>
      <c r="F445" s="14">
        <v>26247.7</v>
      </c>
      <c r="G445" s="13"/>
      <c r="H445" s="111">
        <v>0</v>
      </c>
      <c r="I445" s="13"/>
      <c r="J445" s="14">
        <v>0</v>
      </c>
      <c r="K445" s="13"/>
      <c r="L445" s="111">
        <v>4860</v>
      </c>
      <c r="M445" s="13"/>
      <c r="N445" s="111">
        <v>0</v>
      </c>
      <c r="O445" s="13"/>
      <c r="P445" s="112">
        <v>0</v>
      </c>
      <c r="Q445" s="13"/>
      <c r="R445" s="14">
        <f t="shared" si="20"/>
        <v>-859078.92</v>
      </c>
    </row>
    <row r="446" spans="1:19" x14ac:dyDescent="0.2">
      <c r="A446" s="3" t="s">
        <v>4257</v>
      </c>
      <c r="B446" s="14">
        <v>-75023.19</v>
      </c>
      <c r="C446" s="13"/>
      <c r="D446" s="14">
        <v>-2659.06</v>
      </c>
      <c r="E446" s="13"/>
      <c r="F446" s="14">
        <v>32410.2</v>
      </c>
      <c r="G446" s="13"/>
      <c r="H446" s="111">
        <v>8519.39</v>
      </c>
      <c r="I446" s="13"/>
      <c r="J446" s="14">
        <v>0</v>
      </c>
      <c r="K446" s="13"/>
      <c r="L446" s="111">
        <v>0</v>
      </c>
      <c r="M446" s="13"/>
      <c r="N446" s="111">
        <v>0</v>
      </c>
      <c r="O446" s="13"/>
      <c r="P446" s="112">
        <v>0</v>
      </c>
      <c r="Q446" s="13"/>
      <c r="R446" s="14">
        <f t="shared" si="20"/>
        <v>-36752.660000000003</v>
      </c>
    </row>
    <row r="447" spans="1:19" x14ac:dyDescent="0.2">
      <c r="A447" s="3" t="s">
        <v>4258</v>
      </c>
      <c r="B447" s="14">
        <v>0</v>
      </c>
      <c r="C447" s="13"/>
      <c r="D447" s="14">
        <v>0</v>
      </c>
      <c r="E447" s="13"/>
      <c r="F447" s="14">
        <v>0</v>
      </c>
      <c r="G447" s="13"/>
      <c r="H447" s="111">
        <v>0</v>
      </c>
      <c r="I447" s="13"/>
      <c r="J447" s="14">
        <v>0</v>
      </c>
      <c r="K447" s="13"/>
      <c r="L447" s="111">
        <v>0</v>
      </c>
      <c r="M447" s="13"/>
      <c r="N447" s="111">
        <v>0</v>
      </c>
      <c r="O447" s="13"/>
      <c r="P447" s="112">
        <v>0</v>
      </c>
      <c r="Q447" s="13"/>
      <c r="R447" s="14">
        <f t="shared" si="20"/>
        <v>0</v>
      </c>
    </row>
    <row r="448" spans="1:19" x14ac:dyDescent="0.2">
      <c r="A448" s="3" t="s">
        <v>4259</v>
      </c>
      <c r="B448" s="14">
        <v>-63695835.009999976</v>
      </c>
      <c r="C448" s="13"/>
      <c r="D448" s="14">
        <v>-4638008.95</v>
      </c>
      <c r="E448" s="13"/>
      <c r="F448" s="14">
        <v>2212475.8199999998</v>
      </c>
      <c r="G448" s="13"/>
      <c r="H448" s="111">
        <v>-152951.54999999999</v>
      </c>
      <c r="I448" s="13"/>
      <c r="J448" s="14">
        <v>0</v>
      </c>
      <c r="K448" s="13"/>
      <c r="L448" s="111">
        <v>628096.24</v>
      </c>
      <c r="M448" s="13"/>
      <c r="N448" s="111">
        <v>-9238.01</v>
      </c>
      <c r="O448" s="13"/>
      <c r="P448" s="112">
        <v>0</v>
      </c>
      <c r="Q448" s="13"/>
      <c r="R448" s="14">
        <f t="shared" si="20"/>
        <v>-65655461.459999971</v>
      </c>
    </row>
    <row r="449" spans="1:18" x14ac:dyDescent="0.2">
      <c r="A449" s="3" t="s">
        <v>4260</v>
      </c>
      <c r="B449" s="14">
        <v>-1.1641532182693481E-10</v>
      </c>
      <c r="C449" s="13"/>
      <c r="D449" s="14">
        <v>0</v>
      </c>
      <c r="E449" s="13"/>
      <c r="F449" s="14">
        <v>0</v>
      </c>
      <c r="G449" s="13"/>
      <c r="H449" s="111">
        <v>0</v>
      </c>
      <c r="I449" s="13"/>
      <c r="J449" s="14">
        <v>0</v>
      </c>
      <c r="K449" s="13"/>
      <c r="L449" s="111">
        <v>0</v>
      </c>
      <c r="M449" s="13"/>
      <c r="N449" s="111">
        <v>0</v>
      </c>
      <c r="O449" s="13"/>
      <c r="P449" s="112">
        <v>0</v>
      </c>
      <c r="Q449" s="13"/>
      <c r="R449" s="14">
        <f t="shared" si="20"/>
        <v>-1.1641532182693481E-10</v>
      </c>
    </row>
    <row r="450" spans="1:18" x14ac:dyDescent="0.2">
      <c r="A450" s="3" t="s">
        <v>4261</v>
      </c>
      <c r="B450" s="14">
        <v>-9686201.4800000004</v>
      </c>
      <c r="C450" s="13"/>
      <c r="D450" s="14">
        <v>0</v>
      </c>
      <c r="E450" s="13"/>
      <c r="F450" s="14">
        <v>3949271.49</v>
      </c>
      <c r="G450" s="13"/>
      <c r="H450" s="111">
        <v>3555.72</v>
      </c>
      <c r="I450" s="13"/>
      <c r="J450" s="14">
        <v>0</v>
      </c>
      <c r="K450" s="13"/>
      <c r="L450" s="111">
        <v>7166.25</v>
      </c>
      <c r="M450" s="13"/>
      <c r="N450" s="111">
        <v>0</v>
      </c>
      <c r="O450" s="13"/>
      <c r="P450" s="112">
        <v>0</v>
      </c>
      <c r="Q450" s="13"/>
      <c r="R450" s="14">
        <f t="shared" si="20"/>
        <v>-5726208.0200000005</v>
      </c>
    </row>
    <row r="451" spans="1:18" outlineLevel="1" x14ac:dyDescent="0.2">
      <c r="A451" s="3" t="s">
        <v>4262</v>
      </c>
      <c r="B451" s="14">
        <v>-45219354.319999993</v>
      </c>
      <c r="C451" s="13"/>
      <c r="D451" s="14">
        <v>-1070937.73</v>
      </c>
      <c r="E451" s="13"/>
      <c r="F451" s="14">
        <v>18956.650000000001</v>
      </c>
      <c r="G451" s="13"/>
      <c r="H451" s="14">
        <v>0</v>
      </c>
      <c r="I451" s="13"/>
      <c r="J451" s="14">
        <v>0</v>
      </c>
      <c r="K451" s="13"/>
      <c r="L451" s="14">
        <v>145665.53999999998</v>
      </c>
      <c r="M451" s="13"/>
      <c r="N451" s="14">
        <v>-1517.76</v>
      </c>
      <c r="O451" s="13"/>
      <c r="P451" s="14">
        <v>10205.700000000001</v>
      </c>
      <c r="Q451" s="13"/>
      <c r="R451" s="14">
        <f>SUM(B451:P451)</f>
        <v>-46116981.919999987</v>
      </c>
    </row>
    <row r="452" spans="1:18" outlineLevel="1" x14ac:dyDescent="0.2">
      <c r="A452" s="3" t="s">
        <v>4263</v>
      </c>
      <c r="B452" s="14">
        <v>-3.637978807091713E-12</v>
      </c>
      <c r="C452" s="13"/>
      <c r="D452" s="14">
        <v>0</v>
      </c>
      <c r="E452" s="13"/>
      <c r="F452" s="14">
        <v>0</v>
      </c>
      <c r="G452" s="13"/>
      <c r="H452" s="14">
        <v>0</v>
      </c>
      <c r="I452" s="13"/>
      <c r="J452" s="14">
        <v>0</v>
      </c>
      <c r="K452" s="13"/>
      <c r="L452" s="14">
        <v>0</v>
      </c>
      <c r="M452" s="13"/>
      <c r="N452" s="14">
        <v>0</v>
      </c>
      <c r="O452" s="13"/>
      <c r="P452" s="14">
        <v>0</v>
      </c>
      <c r="Q452" s="13"/>
      <c r="R452" s="14">
        <f>SUM(B452:P452)</f>
        <v>-3.637978807091713E-12</v>
      </c>
    </row>
    <row r="453" spans="1:18" x14ac:dyDescent="0.2">
      <c r="A453" s="3" t="s">
        <v>4264</v>
      </c>
      <c r="B453" s="14">
        <v>-45219354.319999993</v>
      </c>
      <c r="C453" s="13"/>
      <c r="D453" s="14">
        <f>SUM(D451:D452)</f>
        <v>-1070937.73</v>
      </c>
      <c r="E453" s="13"/>
      <c r="F453" s="14">
        <f>SUM(F451:F452)</f>
        <v>18956.650000000001</v>
      </c>
      <c r="G453" s="13"/>
      <c r="H453" s="14">
        <f>SUM(H451:H452)</f>
        <v>0</v>
      </c>
      <c r="I453" s="13"/>
      <c r="J453" s="14">
        <f>SUM(J451:J452)</f>
        <v>0</v>
      </c>
      <c r="K453" s="13"/>
      <c r="L453" s="14">
        <f>SUM(L451:L452)</f>
        <v>145665.53999999998</v>
      </c>
      <c r="M453" s="13"/>
      <c r="N453" s="14">
        <f>SUM(N451:N452)</f>
        <v>-1517.76</v>
      </c>
      <c r="O453" s="13"/>
      <c r="P453" s="14">
        <f>SUM(P451:P452)</f>
        <v>10205.700000000001</v>
      </c>
      <c r="Q453" s="13"/>
      <c r="R453" s="14">
        <f>SUM(R451:R452)</f>
        <v>-46116981.919999987</v>
      </c>
    </row>
    <row r="454" spans="1:18" x14ac:dyDescent="0.2">
      <c r="A454" s="3" t="s">
        <v>4265</v>
      </c>
      <c r="B454" s="14">
        <v>0</v>
      </c>
      <c r="C454" s="13"/>
      <c r="D454" s="14">
        <v>0</v>
      </c>
      <c r="E454" s="13"/>
      <c r="F454" s="14">
        <v>0</v>
      </c>
      <c r="G454" s="13"/>
      <c r="H454" s="111">
        <v>0</v>
      </c>
      <c r="I454" s="13"/>
      <c r="J454" s="14">
        <v>0</v>
      </c>
      <c r="K454" s="13"/>
      <c r="L454" s="111">
        <v>0</v>
      </c>
      <c r="M454" s="13"/>
      <c r="N454" s="111">
        <v>0</v>
      </c>
      <c r="O454" s="13"/>
      <c r="P454" s="112">
        <v>0</v>
      </c>
      <c r="Q454" s="13"/>
      <c r="R454" s="14">
        <f>SUM(B454:P454)</f>
        <v>0</v>
      </c>
    </row>
    <row r="455" spans="1:18" outlineLevel="1" x14ac:dyDescent="0.2">
      <c r="A455" s="3" t="s">
        <v>4266</v>
      </c>
      <c r="B455" s="14">
        <v>-67646794.569999993</v>
      </c>
      <c r="C455" s="13"/>
      <c r="D455" s="14">
        <v>-7129462.3200000003</v>
      </c>
      <c r="E455" s="13"/>
      <c r="F455" s="14">
        <v>4153974.33</v>
      </c>
      <c r="G455" s="13"/>
      <c r="H455" s="14">
        <v>0</v>
      </c>
      <c r="I455" s="13"/>
      <c r="J455" s="14">
        <v>0</v>
      </c>
      <c r="K455" s="13"/>
      <c r="L455" s="14">
        <v>2656819.77</v>
      </c>
      <c r="M455" s="13"/>
      <c r="N455" s="14">
        <v>-8362.9699999999993</v>
      </c>
      <c r="O455" s="13"/>
      <c r="P455" s="14">
        <v>-67382.570000000007</v>
      </c>
      <c r="Q455" s="13"/>
      <c r="R455" s="14">
        <f>SUM(B455:P455)</f>
        <v>-68041208.329999983</v>
      </c>
    </row>
    <row r="456" spans="1:18" outlineLevel="1" x14ac:dyDescent="0.2">
      <c r="A456" s="3" t="s">
        <v>4267</v>
      </c>
      <c r="B456" s="14">
        <v>0</v>
      </c>
      <c r="C456" s="13"/>
      <c r="D456" s="14">
        <v>0</v>
      </c>
      <c r="E456" s="13"/>
      <c r="F456" s="14">
        <v>0</v>
      </c>
      <c r="G456" s="13"/>
      <c r="H456" s="14">
        <v>0</v>
      </c>
      <c r="I456" s="13"/>
      <c r="J456" s="14">
        <v>0</v>
      </c>
      <c r="K456" s="13"/>
      <c r="L456" s="14">
        <v>0</v>
      </c>
      <c r="M456" s="13"/>
      <c r="N456" s="14">
        <v>0</v>
      </c>
      <c r="O456" s="13"/>
      <c r="P456" s="14">
        <v>0</v>
      </c>
      <c r="Q456" s="13"/>
      <c r="R456" s="14">
        <f>SUM(B456:P456)</f>
        <v>0</v>
      </c>
    </row>
    <row r="457" spans="1:18" x14ac:dyDescent="0.2">
      <c r="A457" s="3" t="s">
        <v>4268</v>
      </c>
      <c r="B457" s="14">
        <v>-67646794.569999993</v>
      </c>
      <c r="C457" s="13"/>
      <c r="D457" s="14">
        <f>SUM(D455:D456)</f>
        <v>-7129462.3200000003</v>
      </c>
      <c r="E457" s="13"/>
      <c r="F457" s="14">
        <f>SUM(F455:F456)</f>
        <v>4153974.33</v>
      </c>
      <c r="G457" s="13"/>
      <c r="H457" s="14">
        <f>SUM(H455:H456)</f>
        <v>0</v>
      </c>
      <c r="I457" s="13"/>
      <c r="J457" s="14">
        <f>SUM(J455:J456)</f>
        <v>0</v>
      </c>
      <c r="K457" s="13"/>
      <c r="L457" s="14">
        <f>SUM(L455:L456)</f>
        <v>2656819.77</v>
      </c>
      <c r="M457" s="13"/>
      <c r="N457" s="14">
        <f>SUM(N455:N456)</f>
        <v>-8362.9699999999993</v>
      </c>
      <c r="O457" s="13"/>
      <c r="P457" s="14">
        <f>SUM(P455:P456)</f>
        <v>-67382.570000000007</v>
      </c>
      <c r="Q457" s="13"/>
      <c r="R457" s="14">
        <f>SUM(R455:R456)</f>
        <v>-68041208.329999983</v>
      </c>
    </row>
    <row r="458" spans="1:18" x14ac:dyDescent="0.2">
      <c r="A458" s="3" t="s">
        <v>4269</v>
      </c>
      <c r="B458" s="14">
        <v>0</v>
      </c>
      <c r="C458" s="13"/>
      <c r="D458" s="14">
        <v>0</v>
      </c>
      <c r="E458" s="13"/>
      <c r="F458" s="14">
        <v>0</v>
      </c>
      <c r="G458" s="13"/>
      <c r="H458" s="111">
        <v>0</v>
      </c>
      <c r="I458" s="13"/>
      <c r="J458" s="14">
        <v>0</v>
      </c>
      <c r="K458" s="13"/>
      <c r="L458" s="111">
        <v>0</v>
      </c>
      <c r="M458" s="13"/>
      <c r="N458" s="111">
        <v>0</v>
      </c>
      <c r="O458" s="13"/>
      <c r="P458" s="112">
        <v>0</v>
      </c>
      <c r="Q458" s="13"/>
      <c r="R458" s="14">
        <f>SUM(B458:P458)</f>
        <v>0</v>
      </c>
    </row>
    <row r="459" spans="1:18" outlineLevel="1" x14ac:dyDescent="0.2">
      <c r="A459" s="3" t="s">
        <v>4270</v>
      </c>
      <c r="B459" s="14">
        <v>-103036917.63</v>
      </c>
      <c r="C459" s="13"/>
      <c r="D459" s="14">
        <v>-3724148.69</v>
      </c>
      <c r="E459" s="13"/>
      <c r="F459" s="14">
        <v>1946415.14</v>
      </c>
      <c r="G459" s="13"/>
      <c r="H459" s="14">
        <v>0</v>
      </c>
      <c r="I459" s="13"/>
      <c r="J459" s="14">
        <v>0</v>
      </c>
      <c r="K459" s="13"/>
      <c r="L459" s="14">
        <v>1725976.1700000002</v>
      </c>
      <c r="M459" s="13"/>
      <c r="N459" s="14">
        <v>-29985.54</v>
      </c>
      <c r="O459" s="13"/>
      <c r="P459" s="14">
        <v>-242132.8</v>
      </c>
      <c r="Q459" s="13"/>
      <c r="R459" s="14">
        <f>SUM(B459:P459)</f>
        <v>-103360793.34999999</v>
      </c>
    </row>
    <row r="460" spans="1:18" outlineLevel="1" x14ac:dyDescent="0.2">
      <c r="A460" s="3" t="s">
        <v>4271</v>
      </c>
      <c r="B460" s="14">
        <v>0</v>
      </c>
      <c r="C460" s="13"/>
      <c r="D460" s="14">
        <v>0</v>
      </c>
      <c r="E460" s="13"/>
      <c r="F460" s="14">
        <v>0</v>
      </c>
      <c r="G460" s="13"/>
      <c r="H460" s="14">
        <v>0</v>
      </c>
      <c r="I460" s="13"/>
      <c r="J460" s="14">
        <v>0</v>
      </c>
      <c r="K460" s="13"/>
      <c r="L460" s="14">
        <v>0</v>
      </c>
      <c r="M460" s="13"/>
      <c r="N460" s="14">
        <v>0</v>
      </c>
      <c r="O460" s="13"/>
      <c r="P460" s="14">
        <v>0</v>
      </c>
      <c r="Q460" s="13"/>
      <c r="R460" s="14">
        <f>SUM(B460:P460)</f>
        <v>0</v>
      </c>
    </row>
    <row r="461" spans="1:18" x14ac:dyDescent="0.2">
      <c r="A461" s="3" t="s">
        <v>4272</v>
      </c>
      <c r="B461" s="14">
        <v>-103036917.63</v>
      </c>
      <c r="C461" s="13"/>
      <c r="D461" s="14">
        <f>SUM(D459:D460)</f>
        <v>-3724148.69</v>
      </c>
      <c r="E461" s="13"/>
      <c r="F461" s="14">
        <f>SUM(F459:F460)</f>
        <v>1946415.14</v>
      </c>
      <c r="G461" s="13"/>
      <c r="H461" s="14">
        <f>SUM(H459:H460)</f>
        <v>0</v>
      </c>
      <c r="I461" s="13"/>
      <c r="J461" s="14">
        <f>SUM(J459:J460)</f>
        <v>0</v>
      </c>
      <c r="K461" s="13"/>
      <c r="L461" s="14">
        <f>SUM(L459:L460)</f>
        <v>1725976.1700000002</v>
      </c>
      <c r="M461" s="13"/>
      <c r="N461" s="14">
        <f>SUM(N459:N460)</f>
        <v>-29985.54</v>
      </c>
      <c r="O461" s="13"/>
      <c r="P461" s="14">
        <f>SUM(P459:P460)</f>
        <v>-242132.8</v>
      </c>
      <c r="Q461" s="13"/>
      <c r="R461" s="14">
        <f>SUM(R459:R460)</f>
        <v>-103360793.34999999</v>
      </c>
    </row>
    <row r="462" spans="1:18" x14ac:dyDescent="0.2">
      <c r="A462" s="3" t="s">
        <v>4273</v>
      </c>
      <c r="B462" s="14">
        <v>-239832.58999999997</v>
      </c>
      <c r="C462" s="13"/>
      <c r="D462" s="14">
        <v>-8907.84</v>
      </c>
      <c r="E462" s="13"/>
      <c r="F462" s="14">
        <v>0</v>
      </c>
      <c r="G462" s="13"/>
      <c r="H462" s="111">
        <v>0</v>
      </c>
      <c r="I462" s="13"/>
      <c r="J462" s="14">
        <v>0</v>
      </c>
      <c r="K462" s="13"/>
      <c r="L462" s="111">
        <v>0</v>
      </c>
      <c r="M462" s="13"/>
      <c r="N462" s="111">
        <v>0</v>
      </c>
      <c r="O462" s="13"/>
      <c r="P462" s="112">
        <v>0</v>
      </c>
      <c r="Q462" s="13"/>
      <c r="R462" s="14">
        <f t="shared" si="20"/>
        <v>-248740.42999999996</v>
      </c>
    </row>
    <row r="463" spans="1:18" x14ac:dyDescent="0.2">
      <c r="A463" s="3" t="s">
        <v>4274</v>
      </c>
      <c r="B463" s="14">
        <v>-961757.24000000011</v>
      </c>
      <c r="C463" s="13"/>
      <c r="D463" s="14">
        <v>-10148.030000000001</v>
      </c>
      <c r="E463" s="13"/>
      <c r="F463" s="14">
        <v>566.96</v>
      </c>
      <c r="G463" s="13"/>
      <c r="H463" s="111">
        <v>0</v>
      </c>
      <c r="I463" s="13"/>
      <c r="J463" s="14">
        <v>0</v>
      </c>
      <c r="K463" s="13"/>
      <c r="L463" s="111">
        <v>22584.33</v>
      </c>
      <c r="M463" s="13"/>
      <c r="N463" s="111">
        <v>0</v>
      </c>
      <c r="O463" s="13"/>
      <c r="P463" s="112">
        <v>0</v>
      </c>
      <c r="Q463" s="13"/>
      <c r="R463" s="14">
        <f t="shared" si="20"/>
        <v>-948753.98000000021</v>
      </c>
    </row>
    <row r="464" spans="1:18" x14ac:dyDescent="0.2">
      <c r="A464" s="3" t="s">
        <v>4275</v>
      </c>
      <c r="B464" s="14">
        <v>-4894.1000000000004</v>
      </c>
      <c r="C464" s="13"/>
      <c r="D464" s="14">
        <v>-1136.8499999999999</v>
      </c>
      <c r="E464" s="13"/>
      <c r="F464" s="14">
        <v>0</v>
      </c>
      <c r="G464" s="13"/>
      <c r="H464" s="111">
        <v>0</v>
      </c>
      <c r="I464" s="13"/>
      <c r="J464" s="14">
        <v>0</v>
      </c>
      <c r="K464" s="13"/>
      <c r="L464" s="111">
        <v>0</v>
      </c>
      <c r="M464" s="13"/>
      <c r="N464" s="111">
        <v>0</v>
      </c>
      <c r="O464" s="13"/>
      <c r="P464" s="112">
        <v>0</v>
      </c>
      <c r="Q464" s="13"/>
      <c r="R464" s="14">
        <f t="shared" si="20"/>
        <v>-6030.9500000000007</v>
      </c>
    </row>
    <row r="465" spans="1:18" x14ac:dyDescent="0.2">
      <c r="A465" s="3" t="s">
        <v>4276</v>
      </c>
      <c r="B465" s="16">
        <v>-48810.01</v>
      </c>
      <c r="C465" s="13"/>
      <c r="D465" s="14">
        <v>-18126.72</v>
      </c>
      <c r="E465" s="13"/>
      <c r="F465" s="14">
        <v>0</v>
      </c>
      <c r="G465" s="13"/>
      <c r="H465" s="111">
        <v>0</v>
      </c>
      <c r="I465" s="13"/>
      <c r="J465" s="17">
        <v>0</v>
      </c>
      <c r="K465" s="13"/>
      <c r="L465" s="111">
        <v>0</v>
      </c>
      <c r="M465" s="13"/>
      <c r="N465" s="111">
        <v>0</v>
      </c>
      <c r="O465" s="13"/>
      <c r="P465" s="112">
        <v>0</v>
      </c>
      <c r="Q465" s="13"/>
      <c r="R465" s="16">
        <f t="shared" si="20"/>
        <v>-66936.73000000001</v>
      </c>
    </row>
    <row r="466" spans="1:18" x14ac:dyDescent="0.2">
      <c r="A466" s="3" t="s">
        <v>4277</v>
      </c>
      <c r="B466" s="17">
        <f>SUM(B440:B450)+SUM(B453:B454)+SUM(B457:B458)+SUM(B461:B465)</f>
        <v>-312071860.37999994</v>
      </c>
      <c r="C466" s="13"/>
      <c r="D466" s="18">
        <f>SUM(D440:D450)+SUM(D453:D454)+SUM(D457:D458)+SUM(D461:D465)</f>
        <v>-17317657.129999999</v>
      </c>
      <c r="E466" s="13"/>
      <c r="F466" s="18">
        <f>SUM(F440:F450)+SUM(F453:F454)+SUM(F457:F458)+SUM(F461:F465)</f>
        <v>12415568.709999999</v>
      </c>
      <c r="G466" s="13"/>
      <c r="H466" s="18">
        <f>SUM(H440:H450)+SUM(H453:H454)+SUM(H457:H458)+SUM(H461:H465)</f>
        <v>-151739.87</v>
      </c>
      <c r="I466" s="13"/>
      <c r="J466" s="18">
        <f>SUM(J440:J450)+SUM(J453:J454)+SUM(J457:J458)+SUM(J461:J465)</f>
        <v>0</v>
      </c>
      <c r="K466" s="13"/>
      <c r="L466" s="18">
        <f>SUM(L440:L450)+SUM(L453:L454)+SUM(L457:L458)+SUM(L461:L465)</f>
        <v>5249970.93</v>
      </c>
      <c r="M466" s="13"/>
      <c r="N466" s="18">
        <f>SUM(N440:N450)+SUM(N453:N454)+SUM(N457:N458)+SUM(N461:N465)</f>
        <v>-50482.12</v>
      </c>
      <c r="O466" s="13"/>
      <c r="P466" s="18">
        <f>SUM(P440:P450)+SUM(P453:P454)+SUM(P457:P458)+SUM(P461:P465)</f>
        <v>-299309.67</v>
      </c>
      <c r="Q466" s="13"/>
      <c r="R466" s="17">
        <f>SUM(R440:R450)+SUM(R453:R454)+SUM(R457:R458)+SUM(R461:R465)</f>
        <v>-312225509.52999991</v>
      </c>
    </row>
    <row r="467" spans="1:18" x14ac:dyDescent="0.2">
      <c r="C467" s="13"/>
      <c r="E467" s="13"/>
      <c r="G467" s="13"/>
      <c r="I467" s="13"/>
      <c r="J467" s="17"/>
      <c r="K467" s="13"/>
      <c r="M467" s="13"/>
      <c r="O467" s="13"/>
      <c r="Q467" s="13"/>
    </row>
    <row r="468" spans="1:18" x14ac:dyDescent="0.2">
      <c r="C468" s="13"/>
      <c r="E468" s="13"/>
      <c r="G468" s="13"/>
      <c r="I468" s="13"/>
      <c r="K468" s="13"/>
      <c r="M468" s="13"/>
      <c r="O468" s="13"/>
      <c r="Q468" s="13"/>
    </row>
    <row r="469" spans="1:18" ht="13.5" thickBot="1" x14ac:dyDescent="0.25">
      <c r="A469" s="12" t="s">
        <v>4278</v>
      </c>
      <c r="B469" s="78">
        <f>B466+B437+B219+B92+B81+B34</f>
        <v>-2954921392.4700003</v>
      </c>
      <c r="C469" s="13"/>
      <c r="D469" s="78">
        <f>D466+D437+D219+D92+D81+D34</f>
        <v>-257313657.84999993</v>
      </c>
      <c r="E469" s="13"/>
      <c r="F469" s="78">
        <f>F466+F437+F219+F92+F81+F34</f>
        <v>58281799.950000003</v>
      </c>
      <c r="G469" s="13"/>
      <c r="H469" s="78">
        <f>H466+H437+H219+H92+H81+H34</f>
        <v>-11785.629999999917</v>
      </c>
      <c r="I469" s="13"/>
      <c r="J469" s="78">
        <f>J466+J437+J219+J92+J81+J34</f>
        <v>0</v>
      </c>
      <c r="K469" s="13"/>
      <c r="L469" s="78">
        <f>L466+L437+L219+L92+L81+L34</f>
        <v>20432390.219999999</v>
      </c>
      <c r="M469" s="13"/>
      <c r="N469" s="78">
        <f>N466+N437+N219+N92+N81+N34</f>
        <v>-588802.66999999993</v>
      </c>
      <c r="O469" s="13"/>
      <c r="P469" s="78">
        <f>P466+P437+P219+P92+P81+P34</f>
        <v>-879206.91</v>
      </c>
      <c r="Q469" s="13"/>
      <c r="R469" s="78">
        <f>R466+R437+R219+R92+R81+R34</f>
        <v>-3135000655.3599997</v>
      </c>
    </row>
    <row r="470" spans="1:18" ht="13.5" thickTop="1" x14ac:dyDescent="0.2">
      <c r="C470" s="13"/>
      <c r="E470" s="13"/>
      <c r="G470" s="13"/>
      <c r="I470" s="13"/>
      <c r="K470" s="13"/>
      <c r="M470" s="13"/>
      <c r="O470" s="13"/>
      <c r="Q470" s="13"/>
    </row>
    <row r="471" spans="1:18" x14ac:dyDescent="0.2">
      <c r="C471" s="13"/>
      <c r="E471" s="13"/>
      <c r="G471" s="13"/>
      <c r="I471" s="13"/>
      <c r="K471" s="13"/>
      <c r="M471" s="13"/>
      <c r="O471" s="13"/>
      <c r="Q471" s="13"/>
    </row>
    <row r="472" spans="1:18" x14ac:dyDescent="0.2">
      <c r="A472" s="12" t="s">
        <v>15</v>
      </c>
      <c r="C472" s="13"/>
      <c r="E472" s="13"/>
      <c r="G472" s="13"/>
      <c r="I472" s="13"/>
      <c r="K472" s="13"/>
      <c r="M472" s="13"/>
      <c r="O472" s="13"/>
      <c r="Q472" s="13"/>
    </row>
    <row r="473" spans="1:18" x14ac:dyDescent="0.2">
      <c r="A473" s="3" t="s">
        <v>4279</v>
      </c>
      <c r="B473" s="14">
        <v>0</v>
      </c>
      <c r="C473" s="13"/>
      <c r="D473" s="14">
        <v>0</v>
      </c>
      <c r="E473" s="13"/>
      <c r="F473" s="14">
        <v>0</v>
      </c>
      <c r="G473" s="13"/>
      <c r="H473" s="111">
        <v>0</v>
      </c>
      <c r="I473" s="13"/>
      <c r="J473" s="14">
        <v>0</v>
      </c>
      <c r="K473" s="13"/>
      <c r="L473" s="111">
        <v>0</v>
      </c>
      <c r="M473" s="13"/>
      <c r="N473" s="111">
        <v>0</v>
      </c>
      <c r="O473" s="13"/>
      <c r="P473" s="111">
        <v>0</v>
      </c>
      <c r="Q473" s="13"/>
      <c r="R473" s="14">
        <f>SUM(B473:P473)</f>
        <v>0</v>
      </c>
    </row>
    <row r="474" spans="1:18" x14ac:dyDescent="0.2">
      <c r="A474" s="3" t="s">
        <v>4280</v>
      </c>
      <c r="B474" s="14">
        <v>-76540.789999999994</v>
      </c>
      <c r="C474" s="13"/>
      <c r="D474" s="14">
        <v>-6265.68</v>
      </c>
      <c r="E474" s="13"/>
      <c r="F474" s="14">
        <v>0</v>
      </c>
      <c r="G474" s="13"/>
      <c r="H474" s="111">
        <v>0</v>
      </c>
      <c r="I474" s="13"/>
      <c r="J474" s="14">
        <v>0</v>
      </c>
      <c r="K474" s="13"/>
      <c r="L474" s="111">
        <v>0</v>
      </c>
      <c r="M474" s="13"/>
      <c r="N474" s="111">
        <v>0</v>
      </c>
      <c r="O474" s="13"/>
      <c r="P474" s="111">
        <v>0</v>
      </c>
      <c r="Q474" s="13"/>
      <c r="R474" s="14">
        <f>SUM(B474:P474)</f>
        <v>-82806.47</v>
      </c>
    </row>
    <row r="475" spans="1:18" x14ac:dyDescent="0.2">
      <c r="A475" s="3" t="s">
        <v>4281</v>
      </c>
      <c r="B475" s="14">
        <v>13461</v>
      </c>
      <c r="C475" s="13"/>
      <c r="D475" s="14">
        <v>0</v>
      </c>
      <c r="E475" s="13"/>
      <c r="F475" s="14">
        <v>0</v>
      </c>
      <c r="G475" s="13"/>
      <c r="H475" s="111">
        <v>0</v>
      </c>
      <c r="I475" s="13"/>
      <c r="J475" s="14">
        <v>0</v>
      </c>
      <c r="K475" s="13"/>
      <c r="L475" s="111">
        <v>0</v>
      </c>
      <c r="M475" s="13"/>
      <c r="N475" s="111">
        <v>0</v>
      </c>
      <c r="O475" s="13"/>
      <c r="P475" s="111">
        <v>0</v>
      </c>
      <c r="Q475" s="13"/>
      <c r="R475" s="14">
        <f>SUM(B475:P475)</f>
        <v>13461</v>
      </c>
    </row>
    <row r="476" spans="1:18" x14ac:dyDescent="0.2">
      <c r="A476" s="3" t="s">
        <v>4282</v>
      </c>
      <c r="B476" s="17">
        <v>-19867146.920000002</v>
      </c>
      <c r="C476" s="94"/>
      <c r="D476" s="14">
        <v>-10561804.689999999</v>
      </c>
      <c r="E476" s="94"/>
      <c r="F476" s="14">
        <v>7464577.3600000003</v>
      </c>
      <c r="G476" s="94"/>
      <c r="H476" s="111">
        <v>0</v>
      </c>
      <c r="I476" s="94"/>
      <c r="J476" s="14">
        <v>0</v>
      </c>
      <c r="K476" s="94"/>
      <c r="L476" s="111">
        <v>0</v>
      </c>
      <c r="M476" s="94"/>
      <c r="N476" s="111">
        <v>0</v>
      </c>
      <c r="O476" s="94"/>
      <c r="P476" s="111">
        <v>0</v>
      </c>
      <c r="Q476" s="94"/>
      <c r="R476" s="17">
        <f>SUM(B476:P476)</f>
        <v>-22964374.25</v>
      </c>
    </row>
    <row r="477" spans="1:18" x14ac:dyDescent="0.2">
      <c r="A477" s="3" t="s">
        <v>4283</v>
      </c>
      <c r="B477" s="16">
        <v>-30666797.129999999</v>
      </c>
      <c r="C477" s="13"/>
      <c r="D477" s="14">
        <v>-5004142.38</v>
      </c>
      <c r="E477" s="13"/>
      <c r="F477" s="14">
        <v>0</v>
      </c>
      <c r="G477" s="13"/>
      <c r="H477" s="111">
        <v>0</v>
      </c>
      <c r="I477" s="13"/>
      <c r="J477" s="14">
        <v>0</v>
      </c>
      <c r="K477" s="13"/>
      <c r="L477" s="111">
        <v>0</v>
      </c>
      <c r="M477" s="13"/>
      <c r="N477" s="111">
        <v>0</v>
      </c>
      <c r="O477" s="13"/>
      <c r="P477" s="111">
        <v>0</v>
      </c>
      <c r="Q477" s="13"/>
      <c r="R477" s="16">
        <f>SUM(B477:P477)</f>
        <v>-35670939.509999998</v>
      </c>
    </row>
    <row r="478" spans="1:18" x14ac:dyDescent="0.2">
      <c r="A478" s="3" t="s">
        <v>4284</v>
      </c>
      <c r="B478" s="17">
        <f>SUM(B473:B477)</f>
        <v>-50597023.840000004</v>
      </c>
      <c r="C478" s="13"/>
      <c r="D478" s="18">
        <f>SUM(D473:D477)</f>
        <v>-15572212.75</v>
      </c>
      <c r="E478" s="13"/>
      <c r="F478" s="18">
        <f>SUM(F473:F477)</f>
        <v>7464577.3600000003</v>
      </c>
      <c r="G478" s="13"/>
      <c r="H478" s="18">
        <f>SUM(H473:H477)</f>
        <v>0</v>
      </c>
      <c r="I478" s="13"/>
      <c r="J478" s="18">
        <f>SUM(J473:J477)</f>
        <v>0</v>
      </c>
      <c r="K478" s="13"/>
      <c r="L478" s="18">
        <f>SUM(L473:L477)</f>
        <v>0</v>
      </c>
      <c r="M478" s="13"/>
      <c r="N478" s="18">
        <f>SUM(N473:N477)</f>
        <v>0</v>
      </c>
      <c r="O478" s="13"/>
      <c r="P478" s="18">
        <f>SUM(P473:P477)</f>
        <v>0</v>
      </c>
      <c r="Q478" s="13"/>
      <c r="R478" s="17">
        <f>SUM(R473:R477)</f>
        <v>-58704659.229999997</v>
      </c>
    </row>
    <row r="479" spans="1:18" x14ac:dyDescent="0.2">
      <c r="C479" s="13"/>
      <c r="E479" s="13"/>
      <c r="G479" s="13"/>
      <c r="I479" s="13"/>
      <c r="K479" s="13"/>
      <c r="M479" s="13"/>
      <c r="O479" s="13"/>
      <c r="Q479" s="13"/>
    </row>
    <row r="480" spans="1:18" x14ac:dyDescent="0.2">
      <c r="C480" s="13"/>
      <c r="E480" s="13"/>
      <c r="G480" s="13"/>
      <c r="I480" s="13"/>
      <c r="K480" s="13"/>
      <c r="M480" s="13"/>
      <c r="O480" s="13"/>
      <c r="Q480" s="13"/>
    </row>
    <row r="481" spans="1:18" ht="13.5" thickBot="1" x14ac:dyDescent="0.25">
      <c r="A481" s="12" t="s">
        <v>4285</v>
      </c>
      <c r="B481" s="78">
        <f>B478</f>
        <v>-50597023.840000004</v>
      </c>
      <c r="C481" s="13"/>
      <c r="D481" s="78">
        <f>D478</f>
        <v>-15572212.75</v>
      </c>
      <c r="E481" s="13"/>
      <c r="F481" s="78">
        <f>F478</f>
        <v>7464577.3600000003</v>
      </c>
      <c r="G481" s="13"/>
      <c r="H481" s="78">
        <f>H478</f>
        <v>0</v>
      </c>
      <c r="I481" s="13"/>
      <c r="J481" s="78">
        <f>J478</f>
        <v>0</v>
      </c>
      <c r="K481" s="13"/>
      <c r="L481" s="78">
        <f>L478</f>
        <v>0</v>
      </c>
      <c r="M481" s="13"/>
      <c r="N481" s="78">
        <f>N478</f>
        <v>0</v>
      </c>
      <c r="O481" s="13"/>
      <c r="P481" s="78">
        <f>P478</f>
        <v>0</v>
      </c>
      <c r="Q481" s="13"/>
      <c r="R481" s="78">
        <f>R478</f>
        <v>-58704659.229999997</v>
      </c>
    </row>
    <row r="482" spans="1:18" ht="13.5" thickTop="1" x14ac:dyDescent="0.2">
      <c r="C482" s="13"/>
      <c r="E482" s="13"/>
      <c r="G482" s="13"/>
      <c r="I482" s="13"/>
      <c r="K482" s="13"/>
      <c r="M482" s="13"/>
      <c r="O482" s="13"/>
      <c r="Q482" s="13"/>
    </row>
    <row r="483" spans="1:18" x14ac:dyDescent="0.2">
      <c r="C483" s="14"/>
      <c r="E483" s="14"/>
      <c r="G483" s="14"/>
      <c r="I483" s="14"/>
      <c r="K483" s="14"/>
      <c r="M483" s="14"/>
      <c r="O483" s="14"/>
      <c r="Q483" s="14"/>
    </row>
    <row r="484" spans="1:18" x14ac:dyDescent="0.2">
      <c r="C484" s="13"/>
      <c r="E484" s="13"/>
      <c r="G484" s="13"/>
      <c r="I484" s="13"/>
      <c r="K484" s="13"/>
      <c r="M484" s="13"/>
      <c r="O484" s="13"/>
      <c r="Q484" s="13"/>
    </row>
    <row r="485" spans="1:18" x14ac:dyDescent="0.2">
      <c r="C485" s="14"/>
      <c r="E485" s="14"/>
      <c r="G485" s="14"/>
      <c r="I485" s="14"/>
      <c r="K485" s="14"/>
      <c r="M485" s="14"/>
      <c r="O485" s="14"/>
      <c r="Q485" s="14"/>
    </row>
    <row r="486" spans="1:18" x14ac:dyDescent="0.2">
      <c r="C486" s="14"/>
      <c r="E486" s="14"/>
      <c r="G486" s="14"/>
      <c r="I486" s="14"/>
      <c r="K486" s="14"/>
      <c r="M486" s="14"/>
      <c r="O486" s="14"/>
      <c r="Q486" s="14"/>
    </row>
    <row r="487" spans="1:18" x14ac:dyDescent="0.2">
      <c r="B487" s="3"/>
      <c r="C487" s="13"/>
      <c r="E487" s="13"/>
      <c r="G487" s="13"/>
      <c r="I487" s="13"/>
      <c r="K487" s="13"/>
      <c r="M487" s="13"/>
      <c r="O487" s="13"/>
      <c r="Q487" s="13"/>
      <c r="R487" s="3"/>
    </row>
    <row r="488" spans="1:18" x14ac:dyDescent="0.2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x14ac:dyDescent="0.2">
      <c r="B489" s="3"/>
      <c r="C489" s="13"/>
      <c r="E489" s="13"/>
      <c r="G489" s="13"/>
      <c r="I489" s="13"/>
      <c r="K489" s="13"/>
      <c r="M489" s="13"/>
      <c r="O489" s="13"/>
      <c r="Q489" s="13"/>
      <c r="R489" s="3"/>
    </row>
    <row r="490" spans="1:18" x14ac:dyDescent="0.2">
      <c r="B490" s="3"/>
      <c r="C490" s="13"/>
      <c r="E490" s="13"/>
      <c r="G490" s="13"/>
      <c r="I490" s="13"/>
      <c r="K490" s="13"/>
      <c r="M490" s="13"/>
      <c r="O490" s="13"/>
      <c r="Q490" s="13"/>
      <c r="R490" s="3"/>
    </row>
    <row r="491" spans="1:18" x14ac:dyDescent="0.2">
      <c r="B491" s="3"/>
      <c r="C491" s="13"/>
      <c r="E491" s="13"/>
      <c r="G491" s="13"/>
      <c r="I491" s="13"/>
      <c r="K491" s="13"/>
      <c r="M491" s="13"/>
      <c r="O491" s="13"/>
      <c r="Q491" s="13"/>
      <c r="R491" s="3"/>
    </row>
    <row r="492" spans="1:18" x14ac:dyDescent="0.2">
      <c r="B492" s="3"/>
      <c r="C492" s="13"/>
      <c r="E492" s="13"/>
      <c r="G492" s="13"/>
      <c r="I492" s="13"/>
      <c r="K492" s="13"/>
      <c r="M492" s="13"/>
      <c r="O492" s="13"/>
      <c r="Q492" s="13"/>
      <c r="R492" s="3"/>
    </row>
    <row r="493" spans="1:18" x14ac:dyDescent="0.2">
      <c r="B493" s="3"/>
      <c r="C493" s="13"/>
      <c r="E493" s="13"/>
      <c r="G493" s="13"/>
      <c r="I493" s="13"/>
      <c r="K493" s="13"/>
      <c r="M493" s="13"/>
      <c r="O493" s="13"/>
      <c r="Q493" s="13"/>
      <c r="R493" s="3"/>
    </row>
    <row r="494" spans="1:18" x14ac:dyDescent="0.2">
      <c r="B494" s="3"/>
      <c r="C494" s="13"/>
      <c r="E494" s="13"/>
      <c r="G494" s="13"/>
      <c r="I494" s="13"/>
      <c r="K494" s="13"/>
      <c r="M494" s="13"/>
      <c r="O494" s="13"/>
      <c r="Q494" s="13"/>
      <c r="R494" s="3"/>
    </row>
    <row r="495" spans="1:18" x14ac:dyDescent="0.2">
      <c r="B495" s="3"/>
      <c r="C495" s="13"/>
      <c r="E495" s="13"/>
      <c r="G495" s="13"/>
      <c r="I495" s="13"/>
      <c r="K495" s="13"/>
      <c r="M495" s="13"/>
      <c r="O495" s="13"/>
      <c r="Q495" s="13"/>
      <c r="R495" s="3"/>
    </row>
    <row r="496" spans="1:18" x14ac:dyDescent="0.2">
      <c r="B496" s="3"/>
      <c r="C496" s="13"/>
      <c r="E496" s="13"/>
      <c r="G496" s="13"/>
      <c r="I496" s="13"/>
      <c r="K496" s="13"/>
      <c r="M496" s="13"/>
      <c r="O496" s="13"/>
      <c r="Q496" s="13"/>
      <c r="R496" s="3"/>
    </row>
    <row r="497" spans="2:18" x14ac:dyDescent="0.2">
      <c r="B497" s="3"/>
      <c r="C497" s="13"/>
      <c r="E497" s="13"/>
      <c r="G497" s="13"/>
      <c r="I497" s="13"/>
      <c r="K497" s="13"/>
      <c r="M497" s="13"/>
      <c r="O497" s="13"/>
      <c r="Q497" s="13"/>
      <c r="R497" s="3"/>
    </row>
    <row r="498" spans="2:18" x14ac:dyDescent="0.2">
      <c r="B498" s="3"/>
      <c r="C498" s="13"/>
      <c r="E498" s="13"/>
      <c r="G498" s="13"/>
      <c r="I498" s="13"/>
      <c r="K498" s="13"/>
      <c r="M498" s="13"/>
      <c r="O498" s="13"/>
      <c r="Q498" s="13"/>
      <c r="R498" s="3"/>
    </row>
    <row r="499" spans="2:18" x14ac:dyDescent="0.2">
      <c r="B499" s="3"/>
      <c r="C499" s="13"/>
      <c r="E499" s="13"/>
      <c r="G499" s="13"/>
      <c r="I499" s="13"/>
      <c r="K499" s="13"/>
      <c r="M499" s="13"/>
      <c r="O499" s="13"/>
      <c r="Q499" s="13"/>
      <c r="R499" s="3"/>
    </row>
    <row r="500" spans="2:18" x14ac:dyDescent="0.2">
      <c r="B500" s="3"/>
      <c r="C500" s="13"/>
      <c r="E500" s="13"/>
      <c r="G500" s="13"/>
      <c r="I500" s="13"/>
      <c r="K500" s="13"/>
      <c r="M500" s="13"/>
      <c r="O500" s="13"/>
      <c r="Q500" s="13"/>
      <c r="R500" s="3"/>
    </row>
    <row r="501" spans="2:18" x14ac:dyDescent="0.2">
      <c r="B501" s="3"/>
      <c r="C501" s="13"/>
      <c r="E501" s="13"/>
      <c r="G501" s="13"/>
      <c r="I501" s="13"/>
      <c r="K501" s="13"/>
      <c r="M501" s="13"/>
      <c r="O501" s="13"/>
      <c r="Q501" s="13"/>
      <c r="R501" s="3"/>
    </row>
    <row r="502" spans="2:18" x14ac:dyDescent="0.2">
      <c r="B502" s="3"/>
      <c r="C502" s="13"/>
      <c r="E502" s="13"/>
      <c r="G502" s="13"/>
      <c r="I502" s="13"/>
      <c r="K502" s="13"/>
      <c r="M502" s="13"/>
      <c r="O502" s="13"/>
      <c r="Q502" s="13"/>
      <c r="R502" s="3"/>
    </row>
    <row r="503" spans="2:18" x14ac:dyDescent="0.2">
      <c r="B503" s="3"/>
      <c r="C503" s="13"/>
      <c r="E503" s="13"/>
      <c r="G503" s="13"/>
      <c r="I503" s="13"/>
      <c r="K503" s="13"/>
      <c r="M503" s="13"/>
      <c r="O503" s="13"/>
      <c r="Q503" s="13"/>
      <c r="R503" s="3"/>
    </row>
    <row r="504" spans="2:18" x14ac:dyDescent="0.2">
      <c r="B504" s="3"/>
      <c r="C504" s="13"/>
      <c r="E504" s="13"/>
      <c r="G504" s="13"/>
      <c r="I504" s="13"/>
      <c r="K504" s="13"/>
      <c r="M504" s="13"/>
      <c r="O504" s="13"/>
      <c r="Q504" s="13"/>
      <c r="R504" s="3"/>
    </row>
    <row r="505" spans="2:18" x14ac:dyDescent="0.2">
      <c r="B505" s="3"/>
      <c r="C505" s="13"/>
      <c r="E505" s="13"/>
      <c r="G505" s="13"/>
      <c r="I505" s="13"/>
      <c r="K505" s="13"/>
      <c r="M505" s="13"/>
      <c r="O505" s="13"/>
      <c r="Q505" s="13"/>
      <c r="R505" s="3"/>
    </row>
    <row r="506" spans="2:18" x14ac:dyDescent="0.2">
      <c r="B506" s="3"/>
      <c r="C506" s="13"/>
      <c r="E506" s="13"/>
      <c r="G506" s="13"/>
      <c r="I506" s="13"/>
      <c r="K506" s="13"/>
      <c r="M506" s="13"/>
      <c r="O506" s="13"/>
      <c r="Q506" s="13"/>
      <c r="R506" s="3"/>
    </row>
    <row r="507" spans="2:18" x14ac:dyDescent="0.2">
      <c r="B507" s="3"/>
      <c r="C507" s="13"/>
      <c r="E507" s="13"/>
      <c r="G507" s="13"/>
      <c r="I507" s="13"/>
      <c r="K507" s="13"/>
      <c r="M507" s="13"/>
      <c r="O507" s="13"/>
      <c r="Q507" s="13"/>
      <c r="R507" s="3"/>
    </row>
    <row r="508" spans="2:18" x14ac:dyDescent="0.2">
      <c r="B508" s="3"/>
      <c r="C508" s="13"/>
      <c r="E508" s="13"/>
      <c r="G508" s="13"/>
      <c r="I508" s="13"/>
      <c r="K508" s="13"/>
      <c r="M508" s="13"/>
      <c r="O508" s="13"/>
      <c r="Q508" s="13"/>
      <c r="R508" s="3"/>
    </row>
    <row r="509" spans="2:18" x14ac:dyDescent="0.2">
      <c r="B509" s="3"/>
      <c r="C509" s="13"/>
      <c r="E509" s="13"/>
      <c r="G509" s="13"/>
      <c r="I509" s="13"/>
      <c r="K509" s="13"/>
      <c r="M509" s="13"/>
      <c r="O509" s="13"/>
      <c r="Q509" s="13"/>
      <c r="R509" s="3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1" manualBreakCount="1">
    <brk id="9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83"/>
  <sheetViews>
    <sheetView zoomScale="90" zoomScaleNormal="90" workbookViewId="0">
      <pane xSplit="1" ySplit="7" topLeftCell="B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1" x14ac:dyDescent="0.2"/>
  <cols>
    <col min="1" max="1" width="36.42578125" style="3" bestFit="1" customWidth="1"/>
    <col min="2" max="2" width="17.7109375" style="14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7109375" style="3" customWidth="1"/>
    <col min="14" max="14" width="17.7109375" style="14" customWidth="1"/>
    <col min="15" max="15" width="1.7109375" style="3" customWidth="1"/>
    <col min="16" max="16" width="17.7109375" style="14" customWidth="1"/>
    <col min="17" max="17" width="1.7109375" style="3" customWidth="1"/>
    <col min="18" max="18" width="17.7109375" style="14" customWidth="1"/>
    <col min="19" max="16384" width="9.140625" style="3"/>
  </cols>
  <sheetData>
    <row r="1" spans="1:19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s="87" customFormat="1" ht="15.75" x14ac:dyDescent="0.25">
      <c r="A2" s="103" t="s">
        <v>4286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9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07"/>
    </row>
    <row r="4" spans="1:19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7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3" t="s">
        <v>4287</v>
      </c>
      <c r="B10" s="14">
        <v>-68534.059999999983</v>
      </c>
      <c r="C10" s="13"/>
      <c r="D10" s="14">
        <v>-555.05999999999995</v>
      </c>
      <c r="E10" s="13"/>
      <c r="F10" s="14">
        <v>0</v>
      </c>
      <c r="G10" s="13"/>
      <c r="H10" s="14">
        <v>0</v>
      </c>
      <c r="I10" s="13"/>
      <c r="J10" s="14">
        <v>0</v>
      </c>
      <c r="K10" s="13"/>
      <c r="L10" s="14">
        <v>0</v>
      </c>
      <c r="M10" s="13"/>
      <c r="N10" s="14">
        <v>0</v>
      </c>
      <c r="O10" s="13"/>
      <c r="P10" s="14">
        <v>0</v>
      </c>
      <c r="Q10" s="13"/>
      <c r="R10" s="14">
        <f t="shared" ref="R10:R22" si="0">SUM(B10:P10)</f>
        <v>-69089.119999999981</v>
      </c>
    </row>
    <row r="11" spans="1:19" x14ac:dyDescent="0.2">
      <c r="A11" s="43" t="s">
        <v>4288</v>
      </c>
      <c r="B11" s="14">
        <v>-123384.54000000004</v>
      </c>
      <c r="C11" s="13"/>
      <c r="D11" s="14">
        <v>-10769.12</v>
      </c>
      <c r="E11" s="13"/>
      <c r="F11" s="14">
        <v>49.61</v>
      </c>
      <c r="G11" s="13"/>
      <c r="H11" s="14">
        <v>0</v>
      </c>
      <c r="I11" s="13"/>
      <c r="J11" s="14">
        <v>0</v>
      </c>
      <c r="K11" s="13"/>
      <c r="L11" s="14">
        <v>607.27</v>
      </c>
      <c r="M11" s="13"/>
      <c r="N11" s="14">
        <v>-317.76</v>
      </c>
      <c r="O11" s="13"/>
      <c r="P11" s="14">
        <v>0</v>
      </c>
      <c r="Q11" s="13"/>
      <c r="R11" s="14">
        <f t="shared" si="0"/>
        <v>-133814.54000000007</v>
      </c>
    </row>
    <row r="12" spans="1:19" x14ac:dyDescent="0.2">
      <c r="A12" s="43" t="s">
        <v>4289</v>
      </c>
      <c r="B12" s="14">
        <v>-3021321.9699999997</v>
      </c>
      <c r="C12" s="13"/>
      <c r="D12" s="14">
        <v>-191350.53</v>
      </c>
      <c r="E12" s="13"/>
      <c r="F12" s="14">
        <v>32176.81</v>
      </c>
      <c r="G12" s="13"/>
      <c r="H12" s="14">
        <v>0</v>
      </c>
      <c r="I12" s="13"/>
      <c r="J12" s="14">
        <v>0</v>
      </c>
      <c r="K12" s="13"/>
      <c r="L12" s="14">
        <v>6996.03</v>
      </c>
      <c r="M12" s="13"/>
      <c r="N12" s="14">
        <v>-1044.8599999999999</v>
      </c>
      <c r="O12" s="13"/>
      <c r="P12" s="14">
        <v>0</v>
      </c>
      <c r="Q12" s="13"/>
      <c r="R12" s="14">
        <f t="shared" si="0"/>
        <v>-3174544.5199999996</v>
      </c>
    </row>
    <row r="13" spans="1:19" x14ac:dyDescent="0.2">
      <c r="A13" s="3" t="s">
        <v>4290</v>
      </c>
      <c r="B13" s="14">
        <v>-12071065.77</v>
      </c>
      <c r="C13" s="13"/>
      <c r="D13" s="14">
        <v>-717276.48</v>
      </c>
      <c r="E13" s="13"/>
      <c r="F13" s="14">
        <v>154973.03</v>
      </c>
      <c r="G13" s="13"/>
      <c r="H13" s="14">
        <v>0</v>
      </c>
      <c r="I13" s="13"/>
      <c r="J13" s="14">
        <v>0</v>
      </c>
      <c r="K13" s="13"/>
      <c r="L13" s="14">
        <v>100069.39</v>
      </c>
      <c r="M13" s="13"/>
      <c r="N13" s="14">
        <v>-3210.23</v>
      </c>
      <c r="O13" s="13"/>
      <c r="P13" s="14">
        <v>-8304.33</v>
      </c>
      <c r="Q13" s="13"/>
      <c r="R13" s="14">
        <f t="shared" si="0"/>
        <v>-12544814.390000001</v>
      </c>
    </row>
    <row r="14" spans="1:19" x14ac:dyDescent="0.2">
      <c r="A14" s="3" t="s">
        <v>4291</v>
      </c>
      <c r="B14" s="14">
        <v>-9114666.5999999996</v>
      </c>
      <c r="C14" s="13"/>
      <c r="D14" s="14">
        <v>-719789.32</v>
      </c>
      <c r="E14" s="13"/>
      <c r="F14" s="14">
        <v>676893.99</v>
      </c>
      <c r="G14" s="13"/>
      <c r="H14" s="14">
        <v>0</v>
      </c>
      <c r="I14" s="13"/>
      <c r="J14" s="14">
        <v>0</v>
      </c>
      <c r="K14" s="13"/>
      <c r="L14" s="14">
        <v>204668.77999999997</v>
      </c>
      <c r="M14" s="13"/>
      <c r="N14" s="14">
        <v>-6579.42</v>
      </c>
      <c r="O14" s="13"/>
      <c r="P14" s="14">
        <v>-32946.42</v>
      </c>
      <c r="Q14" s="13"/>
      <c r="R14" s="14">
        <f t="shared" si="0"/>
        <v>-8992418.9900000002</v>
      </c>
    </row>
    <row r="15" spans="1:19" x14ac:dyDescent="0.2">
      <c r="A15" s="3" t="s">
        <v>4292</v>
      </c>
      <c r="B15" s="14">
        <v>0</v>
      </c>
      <c r="C15" s="13"/>
      <c r="D15" s="14">
        <v>0</v>
      </c>
      <c r="E15" s="13"/>
      <c r="F15" s="14">
        <v>0</v>
      </c>
      <c r="G15" s="13"/>
      <c r="H15" s="14">
        <v>0</v>
      </c>
      <c r="I15" s="13"/>
      <c r="J15" s="14">
        <v>0</v>
      </c>
      <c r="K15" s="13"/>
      <c r="L15" s="14">
        <v>0</v>
      </c>
      <c r="M15" s="13"/>
      <c r="N15" s="14">
        <v>0</v>
      </c>
      <c r="O15" s="13"/>
      <c r="P15" s="14">
        <v>0</v>
      </c>
      <c r="Q15" s="13"/>
      <c r="R15" s="14">
        <f t="shared" si="0"/>
        <v>0</v>
      </c>
    </row>
    <row r="16" spans="1:19" x14ac:dyDescent="0.2">
      <c r="A16" s="110" t="s">
        <v>4293</v>
      </c>
      <c r="B16" s="14">
        <v>-564430.45000000007</v>
      </c>
      <c r="C16" s="13"/>
      <c r="D16" s="14">
        <v>-112567</v>
      </c>
      <c r="E16" s="13"/>
      <c r="F16" s="14">
        <v>5152.2299999999996</v>
      </c>
      <c r="G16" s="13"/>
      <c r="H16" s="14">
        <v>0</v>
      </c>
      <c r="I16" s="13"/>
      <c r="J16" s="14">
        <v>0</v>
      </c>
      <c r="K16" s="13"/>
      <c r="L16" s="14">
        <v>447.3</v>
      </c>
      <c r="M16" s="13"/>
      <c r="N16" s="14">
        <v>-30.28</v>
      </c>
      <c r="O16" s="13"/>
      <c r="P16" s="14">
        <v>-88.25</v>
      </c>
      <c r="Q16" s="13"/>
      <c r="R16" s="14">
        <f t="shared" si="0"/>
        <v>-671516.45000000007</v>
      </c>
    </row>
    <row r="17" spans="1:18" x14ac:dyDescent="0.2">
      <c r="A17" s="110" t="s">
        <v>4294</v>
      </c>
      <c r="B17" s="14">
        <v>-6959364.0700000012</v>
      </c>
      <c r="C17" s="13"/>
      <c r="D17" s="14">
        <v>-259104.74</v>
      </c>
      <c r="E17" s="13"/>
      <c r="F17" s="14">
        <v>1807396.2</v>
      </c>
      <c r="G17" s="13"/>
      <c r="H17" s="14">
        <v>0</v>
      </c>
      <c r="I17" s="13"/>
      <c r="J17" s="14">
        <v>0</v>
      </c>
      <c r="K17" s="13"/>
      <c r="L17" s="14">
        <v>-10356.379999999999</v>
      </c>
      <c r="M17" s="13"/>
      <c r="N17" s="14">
        <v>-3529.19</v>
      </c>
      <c r="O17" s="13"/>
      <c r="P17" s="14">
        <v>0</v>
      </c>
      <c r="Q17" s="13"/>
      <c r="R17" s="14">
        <f t="shared" si="0"/>
        <v>-5424958.1800000016</v>
      </c>
    </row>
    <row r="18" spans="1:18" x14ac:dyDescent="0.2">
      <c r="A18" s="110" t="s">
        <v>4295</v>
      </c>
      <c r="B18" s="14">
        <v>-4189392.6499999994</v>
      </c>
      <c r="C18" s="13"/>
      <c r="D18" s="14">
        <v>-101352.64</v>
      </c>
      <c r="E18" s="13"/>
      <c r="F18" s="14">
        <v>1408.17</v>
      </c>
      <c r="G18" s="13"/>
      <c r="H18" s="14">
        <v>0</v>
      </c>
      <c r="I18" s="13"/>
      <c r="J18" s="14">
        <v>0</v>
      </c>
      <c r="K18" s="13"/>
      <c r="L18" s="14">
        <v>24182.26</v>
      </c>
      <c r="M18" s="13"/>
      <c r="N18" s="14">
        <v>0</v>
      </c>
      <c r="O18" s="13"/>
      <c r="P18" s="14">
        <v>0</v>
      </c>
      <c r="Q18" s="13"/>
      <c r="R18" s="14">
        <f t="shared" si="0"/>
        <v>-4265154.8599999994</v>
      </c>
    </row>
    <row r="19" spans="1:18" x14ac:dyDescent="0.2">
      <c r="A19" s="110" t="s">
        <v>4296</v>
      </c>
      <c r="B19" s="14">
        <v>-2740337.0100000002</v>
      </c>
      <c r="C19" s="13"/>
      <c r="D19" s="14">
        <v>-102441.07</v>
      </c>
      <c r="E19" s="13"/>
      <c r="F19" s="14">
        <v>236291.41</v>
      </c>
      <c r="G19" s="13"/>
      <c r="H19" s="14">
        <v>677453.29</v>
      </c>
      <c r="I19" s="13"/>
      <c r="J19" s="14">
        <v>0</v>
      </c>
      <c r="K19" s="13"/>
      <c r="L19" s="14">
        <v>0</v>
      </c>
      <c r="M19" s="13"/>
      <c r="N19" s="14">
        <v>0</v>
      </c>
      <c r="O19" s="13"/>
      <c r="P19" s="14">
        <v>0</v>
      </c>
      <c r="Q19" s="13"/>
      <c r="R19" s="14">
        <f t="shared" si="0"/>
        <v>-1929033.38</v>
      </c>
    </row>
    <row r="20" spans="1:18" x14ac:dyDescent="0.2">
      <c r="A20" s="3" t="s">
        <v>4297</v>
      </c>
      <c r="B20" s="14">
        <v>0</v>
      </c>
      <c r="C20" s="13"/>
      <c r="D20" s="14">
        <v>-16709.599999999999</v>
      </c>
      <c r="E20" s="13"/>
      <c r="F20" s="14">
        <v>56276.28</v>
      </c>
      <c r="G20" s="13"/>
      <c r="H20" s="14">
        <v>-677453.29</v>
      </c>
      <c r="I20" s="13"/>
      <c r="J20" s="14">
        <v>0</v>
      </c>
      <c r="K20" s="13"/>
      <c r="L20" s="14">
        <v>0</v>
      </c>
      <c r="M20" s="13"/>
      <c r="N20" s="14">
        <v>0</v>
      </c>
      <c r="O20" s="13"/>
      <c r="Q20" s="13"/>
      <c r="R20" s="14">
        <f t="shared" si="0"/>
        <v>-637886.61</v>
      </c>
    </row>
    <row r="21" spans="1:18" x14ac:dyDescent="0.2">
      <c r="A21" s="110" t="s">
        <v>4298</v>
      </c>
      <c r="B21" s="14">
        <v>0</v>
      </c>
      <c r="C21" s="13"/>
      <c r="D21" s="14">
        <v>0</v>
      </c>
      <c r="E21" s="13"/>
      <c r="F21" s="14">
        <v>0</v>
      </c>
      <c r="G21" s="13"/>
      <c r="H21" s="14">
        <v>0</v>
      </c>
      <c r="I21" s="13"/>
      <c r="J21" s="14">
        <v>0</v>
      </c>
      <c r="K21" s="13"/>
      <c r="L21" s="14">
        <v>0</v>
      </c>
      <c r="M21" s="13"/>
      <c r="N21" s="14">
        <v>0</v>
      </c>
      <c r="O21" s="13"/>
      <c r="P21" s="14">
        <v>0</v>
      </c>
      <c r="Q21" s="13"/>
      <c r="R21" s="14">
        <f t="shared" si="0"/>
        <v>0</v>
      </c>
    </row>
    <row r="22" spans="1:18" x14ac:dyDescent="0.2">
      <c r="A22" s="110" t="s">
        <v>4299</v>
      </c>
      <c r="B22" s="16">
        <v>-1634852.4500000002</v>
      </c>
      <c r="C22" s="13"/>
      <c r="D22" s="14">
        <v>-145586.1</v>
      </c>
      <c r="E22" s="13"/>
      <c r="F22" s="14">
        <v>5779.46</v>
      </c>
      <c r="G22" s="13"/>
      <c r="H22" s="14">
        <v>0</v>
      </c>
      <c r="I22" s="13"/>
      <c r="J22" s="17">
        <v>0</v>
      </c>
      <c r="K22" s="13"/>
      <c r="L22" s="14">
        <v>21369.859999999997</v>
      </c>
      <c r="M22" s="13"/>
      <c r="N22" s="14">
        <v>-518.63</v>
      </c>
      <c r="O22" s="13"/>
      <c r="P22" s="14">
        <v>-18.600000000000001</v>
      </c>
      <c r="Q22" s="13"/>
      <c r="R22" s="16">
        <f t="shared" si="0"/>
        <v>-1753826.4600000002</v>
      </c>
    </row>
    <row r="23" spans="1:18" x14ac:dyDescent="0.2">
      <c r="A23" s="3" t="s">
        <v>3855</v>
      </c>
      <c r="B23" s="17">
        <f>SUM(B10:B22)</f>
        <v>-40487349.57</v>
      </c>
      <c r="C23" s="13"/>
      <c r="D23" s="18">
        <f>SUM(D10:D22)</f>
        <v>-2377501.6599999997</v>
      </c>
      <c r="E23" s="13"/>
      <c r="F23" s="18">
        <f>SUM(F10:F22)</f>
        <v>2976397.19</v>
      </c>
      <c r="G23" s="13"/>
      <c r="H23" s="18">
        <f>SUM(H10:H22)</f>
        <v>0</v>
      </c>
      <c r="I23" s="13"/>
      <c r="J23" s="18">
        <f>SUM(J10:J22)</f>
        <v>0</v>
      </c>
      <c r="K23" s="13"/>
      <c r="L23" s="18">
        <f>SUM(L10:L22)</f>
        <v>347984.50999999995</v>
      </c>
      <c r="M23" s="13"/>
      <c r="N23" s="18">
        <f>SUM(N10:N22)</f>
        <v>-15230.37</v>
      </c>
      <c r="O23" s="13"/>
      <c r="P23" s="18">
        <f>SUM(P10:P22)</f>
        <v>-41357.599999999999</v>
      </c>
      <c r="Q23" s="13"/>
      <c r="R23" s="17">
        <f>SUM(R10:R22)</f>
        <v>-39597057.500000007</v>
      </c>
    </row>
    <row r="24" spans="1:18" x14ac:dyDescent="0.2">
      <c r="C24" s="13"/>
      <c r="E24" s="13"/>
      <c r="G24" s="13"/>
      <c r="I24" s="13"/>
      <c r="K24" s="13"/>
      <c r="M24" s="13"/>
      <c r="O24" s="13"/>
      <c r="Q24" s="13"/>
    </row>
    <row r="25" spans="1:18" x14ac:dyDescent="0.2">
      <c r="A25" s="12" t="s">
        <v>13</v>
      </c>
      <c r="C25" s="13"/>
      <c r="E25" s="13"/>
      <c r="G25" s="13"/>
      <c r="I25" s="13"/>
      <c r="K25" s="13"/>
      <c r="M25" s="13"/>
      <c r="O25" s="13"/>
      <c r="Q25" s="13"/>
    </row>
    <row r="26" spans="1:18" ht="15" customHeight="1" x14ac:dyDescent="0.2">
      <c r="A26" s="43" t="s">
        <v>4300</v>
      </c>
      <c r="B26" s="14">
        <v>-285150.9800000001</v>
      </c>
      <c r="C26" s="13"/>
      <c r="D26" s="14">
        <v>-23060.02</v>
      </c>
      <c r="E26" s="13"/>
      <c r="F26" s="14">
        <v>0</v>
      </c>
      <c r="G26" s="13"/>
      <c r="H26" s="14">
        <v>0</v>
      </c>
      <c r="I26" s="13"/>
      <c r="J26" s="14">
        <v>0</v>
      </c>
      <c r="K26" s="13"/>
      <c r="L26" s="14">
        <v>0</v>
      </c>
      <c r="M26" s="13"/>
      <c r="N26" s="14">
        <v>0</v>
      </c>
      <c r="O26" s="13"/>
      <c r="P26" s="14">
        <v>0</v>
      </c>
      <c r="Q26" s="13"/>
      <c r="R26" s="14">
        <f>SUM(B26:P26)</f>
        <v>-308211.00000000012</v>
      </c>
    </row>
    <row r="27" spans="1:18" outlineLevel="1" x14ac:dyDescent="0.2">
      <c r="A27" s="43" t="s">
        <v>4301</v>
      </c>
      <c r="B27" s="14">
        <v>-32528.890000000007</v>
      </c>
      <c r="C27" s="13"/>
      <c r="D27" s="14">
        <v>-448.8</v>
      </c>
      <c r="E27" s="13"/>
      <c r="F27" s="14">
        <v>0</v>
      </c>
      <c r="G27" s="13"/>
      <c r="H27" s="14">
        <v>0</v>
      </c>
      <c r="I27" s="13"/>
      <c r="J27" s="14">
        <v>0</v>
      </c>
      <c r="K27" s="13"/>
      <c r="L27" s="14">
        <v>0</v>
      </c>
      <c r="M27" s="13"/>
      <c r="N27" s="14">
        <v>0</v>
      </c>
      <c r="O27" s="13"/>
      <c r="P27" s="14">
        <v>0</v>
      </c>
      <c r="Q27" s="13"/>
      <c r="R27" s="14">
        <f>SUM(B27:P27)</f>
        <v>-32977.69000000001</v>
      </c>
    </row>
    <row r="28" spans="1:18" outlineLevel="1" x14ac:dyDescent="0.2">
      <c r="A28" s="43" t="s">
        <v>4302</v>
      </c>
      <c r="B28" s="14">
        <v>-11653.070000000002</v>
      </c>
      <c r="C28" s="13"/>
      <c r="D28" s="14">
        <v>-195.12</v>
      </c>
      <c r="E28" s="13"/>
      <c r="F28" s="14">
        <v>0</v>
      </c>
      <c r="G28" s="13"/>
      <c r="H28" s="14">
        <v>0</v>
      </c>
      <c r="I28" s="13"/>
      <c r="J28" s="14">
        <v>0</v>
      </c>
      <c r="K28" s="13"/>
      <c r="L28" s="14">
        <v>0</v>
      </c>
      <c r="M28" s="13"/>
      <c r="N28" s="14">
        <v>0</v>
      </c>
      <c r="O28" s="13"/>
      <c r="P28" s="14">
        <v>0</v>
      </c>
      <c r="Q28" s="13"/>
      <c r="R28" s="14">
        <f>SUM(B28:P28)</f>
        <v>-11848.190000000002</v>
      </c>
    </row>
    <row r="29" spans="1:18" x14ac:dyDescent="0.2">
      <c r="A29" s="3" t="s">
        <v>3884</v>
      </c>
      <c r="B29" s="14">
        <v>-44181.960000000006</v>
      </c>
      <c r="C29" s="13"/>
      <c r="D29" s="14">
        <f>SUM(D27:D28)</f>
        <v>-643.92000000000007</v>
      </c>
      <c r="E29" s="13"/>
      <c r="F29" s="14">
        <f>SUM(F27:F28)</f>
        <v>0</v>
      </c>
      <c r="G29" s="13"/>
      <c r="H29" s="14">
        <f>SUM(H27:H28)</f>
        <v>0</v>
      </c>
      <c r="I29" s="13"/>
      <c r="J29" s="14">
        <f>SUM(J27:J28)</f>
        <v>0</v>
      </c>
      <c r="K29" s="13"/>
      <c r="L29" s="14">
        <f>SUM(L27:L28)</f>
        <v>0</v>
      </c>
      <c r="M29" s="13"/>
      <c r="N29" s="14">
        <f>SUM(N27:N28)</f>
        <v>0</v>
      </c>
      <c r="O29" s="13"/>
      <c r="P29" s="14">
        <f>SUM(P27:P28)</f>
        <v>0</v>
      </c>
      <c r="Q29" s="13"/>
      <c r="R29" s="14">
        <f>SUM(R27:R28)</f>
        <v>-44825.880000000012</v>
      </c>
    </row>
    <row r="30" spans="1:18" x14ac:dyDescent="0.2">
      <c r="A30" s="43" t="s">
        <v>4303</v>
      </c>
      <c r="B30" s="14">
        <v>0</v>
      </c>
      <c r="C30" s="13"/>
      <c r="D30" s="14">
        <v>0</v>
      </c>
      <c r="E30" s="13"/>
      <c r="F30" s="14">
        <v>0</v>
      </c>
      <c r="G30" s="13"/>
      <c r="H30" s="14">
        <v>0</v>
      </c>
      <c r="I30" s="13"/>
      <c r="J30" s="14">
        <v>0</v>
      </c>
      <c r="K30" s="13"/>
      <c r="L30" s="14">
        <v>0</v>
      </c>
      <c r="M30" s="13"/>
      <c r="N30" s="14">
        <v>0</v>
      </c>
      <c r="O30" s="13"/>
      <c r="P30" s="14">
        <v>0</v>
      </c>
      <c r="Q30" s="13"/>
      <c r="R30" s="14">
        <f t="shared" ref="R30:R39" si="1">SUM(B30:P30)</f>
        <v>0</v>
      </c>
    </row>
    <row r="31" spans="1:18" x14ac:dyDescent="0.2">
      <c r="A31" s="43" t="s">
        <v>4304</v>
      </c>
      <c r="B31" s="14">
        <v>308.65000000000055</v>
      </c>
      <c r="C31" s="13"/>
      <c r="D31" s="14">
        <v>0</v>
      </c>
      <c r="E31" s="13"/>
      <c r="F31" s="14">
        <v>0</v>
      </c>
      <c r="G31" s="13"/>
      <c r="H31" s="14">
        <v>0</v>
      </c>
      <c r="I31" s="13"/>
      <c r="J31" s="14">
        <v>0</v>
      </c>
      <c r="K31" s="13"/>
      <c r="L31" s="14">
        <v>0</v>
      </c>
      <c r="M31" s="13"/>
      <c r="N31" s="14">
        <v>0</v>
      </c>
      <c r="O31" s="13"/>
      <c r="P31" s="14">
        <v>0</v>
      </c>
      <c r="Q31" s="13"/>
      <c r="R31" s="14">
        <f t="shared" si="1"/>
        <v>308.65000000000055</v>
      </c>
    </row>
    <row r="32" spans="1:18" x14ac:dyDescent="0.2">
      <c r="A32" s="43" t="s">
        <v>4305</v>
      </c>
      <c r="B32" s="14">
        <v>-7.2759576141834259E-12</v>
      </c>
      <c r="C32" s="13"/>
      <c r="D32" s="14">
        <v>0</v>
      </c>
      <c r="E32" s="13"/>
      <c r="F32" s="14">
        <v>0</v>
      </c>
      <c r="G32" s="13"/>
      <c r="H32" s="14">
        <v>0</v>
      </c>
      <c r="I32" s="13"/>
      <c r="J32" s="14">
        <v>0</v>
      </c>
      <c r="K32" s="13"/>
      <c r="L32" s="14">
        <v>0</v>
      </c>
      <c r="M32" s="13"/>
      <c r="N32" s="14">
        <v>0</v>
      </c>
      <c r="O32" s="13"/>
      <c r="P32" s="14">
        <v>0</v>
      </c>
      <c r="Q32" s="13"/>
      <c r="R32" s="14">
        <f t="shared" si="1"/>
        <v>-7.2759576141834259E-12</v>
      </c>
    </row>
    <row r="33" spans="1:18" x14ac:dyDescent="0.2">
      <c r="A33" s="43" t="s">
        <v>4306</v>
      </c>
      <c r="B33" s="14">
        <v>-3492.2499999999995</v>
      </c>
      <c r="C33" s="13"/>
      <c r="D33" s="14">
        <v>-214.32</v>
      </c>
      <c r="E33" s="13"/>
      <c r="F33" s="14">
        <v>0</v>
      </c>
      <c r="G33" s="13"/>
      <c r="H33" s="14">
        <v>0</v>
      </c>
      <c r="I33" s="13"/>
      <c r="J33" s="14">
        <v>0</v>
      </c>
      <c r="K33" s="13"/>
      <c r="L33" s="14">
        <v>0</v>
      </c>
      <c r="M33" s="13"/>
      <c r="N33" s="14">
        <v>0</v>
      </c>
      <c r="O33" s="13"/>
      <c r="P33" s="14">
        <v>0</v>
      </c>
      <c r="Q33" s="13"/>
      <c r="R33" s="14">
        <f t="shared" si="1"/>
        <v>-3706.5699999999997</v>
      </c>
    </row>
    <row r="34" spans="1:18" x14ac:dyDescent="0.2">
      <c r="A34" s="43" t="s">
        <v>4307</v>
      </c>
      <c r="B34" s="14">
        <v>-185488.93</v>
      </c>
      <c r="C34" s="13"/>
      <c r="D34" s="14">
        <v>-19765.16</v>
      </c>
      <c r="E34" s="13"/>
      <c r="F34" s="14">
        <v>662.68</v>
      </c>
      <c r="G34" s="13"/>
      <c r="H34" s="14">
        <v>0</v>
      </c>
      <c r="I34" s="13"/>
      <c r="J34" s="14">
        <v>0</v>
      </c>
      <c r="K34" s="13"/>
      <c r="L34" s="14">
        <v>0</v>
      </c>
      <c r="M34" s="13"/>
      <c r="N34" s="14">
        <v>0</v>
      </c>
      <c r="O34" s="13"/>
      <c r="P34" s="14">
        <v>0</v>
      </c>
      <c r="Q34" s="13"/>
      <c r="R34" s="14">
        <f t="shared" si="1"/>
        <v>-204591.41</v>
      </c>
    </row>
    <row r="35" spans="1:18" x14ac:dyDescent="0.2">
      <c r="A35" s="3" t="s">
        <v>4308</v>
      </c>
      <c r="B35" s="14">
        <v>0</v>
      </c>
      <c r="C35" s="13"/>
      <c r="D35" s="14">
        <v>0</v>
      </c>
      <c r="E35" s="13"/>
      <c r="F35" s="14">
        <v>0</v>
      </c>
      <c r="G35" s="13"/>
      <c r="H35" s="14">
        <v>0</v>
      </c>
      <c r="I35" s="13"/>
      <c r="J35" s="14">
        <v>0</v>
      </c>
      <c r="K35" s="13"/>
      <c r="L35" s="14">
        <v>0</v>
      </c>
      <c r="M35" s="13"/>
      <c r="N35" s="14">
        <v>0</v>
      </c>
      <c r="O35" s="13"/>
      <c r="P35" s="14">
        <v>0</v>
      </c>
      <c r="Q35" s="13"/>
      <c r="R35" s="14">
        <f t="shared" si="1"/>
        <v>0</v>
      </c>
    </row>
    <row r="36" spans="1:18" x14ac:dyDescent="0.2">
      <c r="A36" s="3" t="s">
        <v>4309</v>
      </c>
      <c r="B36" s="14">
        <v>-93747.540000000008</v>
      </c>
      <c r="C36" s="13"/>
      <c r="D36" s="14">
        <v>-20521.560000000001</v>
      </c>
      <c r="E36" s="13"/>
      <c r="F36" s="14">
        <v>0</v>
      </c>
      <c r="G36" s="13"/>
      <c r="H36" s="14">
        <v>0</v>
      </c>
      <c r="I36" s="13"/>
      <c r="J36" s="14">
        <v>0</v>
      </c>
      <c r="K36" s="13"/>
      <c r="L36" s="14">
        <v>0</v>
      </c>
      <c r="M36" s="13"/>
      <c r="N36" s="14">
        <v>0</v>
      </c>
      <c r="O36" s="13"/>
      <c r="P36" s="14">
        <v>0</v>
      </c>
      <c r="Q36" s="13"/>
      <c r="R36" s="14">
        <f>SUM(B36:P36)</f>
        <v>-114269.1</v>
      </c>
    </row>
    <row r="37" spans="1:18" x14ac:dyDescent="0.2">
      <c r="A37" s="3" t="s">
        <v>4310</v>
      </c>
      <c r="B37" s="14">
        <v>-231198.71</v>
      </c>
      <c r="C37" s="13"/>
      <c r="D37" s="14">
        <v>-31673.58</v>
      </c>
      <c r="E37" s="13"/>
      <c r="F37" s="14">
        <v>0</v>
      </c>
      <c r="G37" s="13"/>
      <c r="H37" s="14">
        <v>0</v>
      </c>
      <c r="I37" s="13"/>
      <c r="J37" s="14">
        <v>0</v>
      </c>
      <c r="K37" s="13"/>
      <c r="L37" s="14">
        <v>0</v>
      </c>
      <c r="M37" s="13"/>
      <c r="N37" s="14">
        <v>0</v>
      </c>
      <c r="O37" s="13"/>
      <c r="P37" s="14">
        <v>0</v>
      </c>
      <c r="Q37" s="13"/>
      <c r="R37" s="14">
        <f t="shared" si="1"/>
        <v>-262872.28999999998</v>
      </c>
    </row>
    <row r="38" spans="1:18" x14ac:dyDescent="0.2">
      <c r="A38" s="3" t="s">
        <v>4311</v>
      </c>
      <c r="B38" s="14">
        <v>-344469.72000000003</v>
      </c>
      <c r="C38" s="13"/>
      <c r="D38" s="14">
        <v>-27902.22</v>
      </c>
      <c r="E38" s="13"/>
      <c r="F38" s="14">
        <v>0</v>
      </c>
      <c r="G38" s="13"/>
      <c r="H38" s="14">
        <v>0</v>
      </c>
      <c r="I38" s="13"/>
      <c r="J38" s="14">
        <v>0</v>
      </c>
      <c r="K38" s="13"/>
      <c r="L38" s="14">
        <v>0</v>
      </c>
      <c r="M38" s="13"/>
      <c r="N38" s="14">
        <v>0</v>
      </c>
      <c r="O38" s="13"/>
      <c r="P38" s="14">
        <v>0</v>
      </c>
      <c r="Q38" s="13"/>
      <c r="R38" s="14">
        <f t="shared" si="1"/>
        <v>-372371.94000000006</v>
      </c>
    </row>
    <row r="39" spans="1:18" x14ac:dyDescent="0.2">
      <c r="A39" s="43" t="s">
        <v>4312</v>
      </c>
      <c r="B39" s="16">
        <v>0</v>
      </c>
      <c r="C39" s="13"/>
      <c r="D39" s="14">
        <v>0</v>
      </c>
      <c r="E39" s="13"/>
      <c r="F39" s="14">
        <v>0</v>
      </c>
      <c r="G39" s="13"/>
      <c r="H39" s="14">
        <v>0</v>
      </c>
      <c r="I39" s="13"/>
      <c r="J39" s="17">
        <v>0</v>
      </c>
      <c r="K39" s="13"/>
      <c r="L39" s="14">
        <v>0</v>
      </c>
      <c r="M39" s="13"/>
      <c r="N39" s="14">
        <v>0</v>
      </c>
      <c r="O39" s="13"/>
      <c r="P39" s="14">
        <v>0</v>
      </c>
      <c r="Q39" s="13"/>
      <c r="R39" s="16">
        <f t="shared" si="1"/>
        <v>0</v>
      </c>
    </row>
    <row r="40" spans="1:18" x14ac:dyDescent="0.2">
      <c r="A40" s="3" t="s">
        <v>3900</v>
      </c>
      <c r="B40" s="17">
        <f>B39+B37+B35+B34+B33+B32+B31+B30+B29+B26+B36+B38</f>
        <v>-1187421.4400000002</v>
      </c>
      <c r="C40" s="13"/>
      <c r="D40" s="18">
        <f>D39+D37+D35+D34+D33+D32+D31+D30+D29+D26+D36+D38</f>
        <v>-123780.78</v>
      </c>
      <c r="E40" s="13"/>
      <c r="F40" s="18">
        <f>F39+F37+F35+F34+F33+F32+F31+F30+F29+F26+F36+F38</f>
        <v>662.68</v>
      </c>
      <c r="G40" s="13"/>
      <c r="H40" s="18">
        <f>H39+H37+H35+H34+H33+H32+H31+H30+H29+H26+H36+H38</f>
        <v>0</v>
      </c>
      <c r="I40" s="13"/>
      <c r="J40" s="18">
        <f>J39+J37+J35+J34+J33+J32+J31+J30+J29+J26+J36+J38</f>
        <v>0</v>
      </c>
      <c r="K40" s="13"/>
      <c r="L40" s="18">
        <f>L39+L37+L35+L34+L33+L32+L31+L30+L29+L26+L36+L38</f>
        <v>0</v>
      </c>
      <c r="M40" s="13"/>
      <c r="N40" s="18">
        <f>N39+N37+N35+N34+N33+N32+N31+N30+N29+N26+N36+N38</f>
        <v>0</v>
      </c>
      <c r="O40" s="13"/>
      <c r="P40" s="18">
        <f>P39+P37+P35+P34+P33+P32+P31+P30+P29+P26+P36+P38</f>
        <v>0</v>
      </c>
      <c r="Q40" s="17"/>
      <c r="R40" s="17">
        <f>R39+R37+R35+R34+R33+R32+R31+R30+R29+R26+R36+R38</f>
        <v>-1310539.54</v>
      </c>
    </row>
    <row r="41" spans="1:18" x14ac:dyDescent="0.2">
      <c r="C41" s="13"/>
      <c r="E41" s="13"/>
      <c r="G41" s="13"/>
      <c r="I41" s="13"/>
      <c r="K41" s="13"/>
      <c r="M41" s="13"/>
      <c r="O41" s="13"/>
      <c r="Q41" s="13"/>
    </row>
    <row r="42" spans="1:18" x14ac:dyDescent="0.2">
      <c r="C42" s="13"/>
      <c r="E42" s="13"/>
      <c r="G42" s="13"/>
      <c r="I42" s="13"/>
      <c r="K42" s="13"/>
      <c r="M42" s="13"/>
      <c r="O42" s="13"/>
      <c r="Q42" s="13"/>
    </row>
    <row r="43" spans="1:18" x14ac:dyDescent="0.2">
      <c r="C43" s="13"/>
      <c r="E43" s="13"/>
      <c r="G43" s="13"/>
      <c r="I43" s="13"/>
      <c r="K43" s="13"/>
      <c r="M43" s="13"/>
      <c r="O43" s="13"/>
      <c r="Q43" s="13"/>
    </row>
    <row r="44" spans="1:18" x14ac:dyDescent="0.2">
      <c r="A44" s="12" t="s">
        <v>18</v>
      </c>
      <c r="C44" s="13"/>
      <c r="E44" s="13"/>
      <c r="G44" s="13"/>
      <c r="I44" s="13"/>
      <c r="K44" s="13"/>
      <c r="M44" s="13"/>
      <c r="O44" s="13"/>
      <c r="Q44" s="13"/>
    </row>
    <row r="45" spans="1:18" x14ac:dyDescent="0.2">
      <c r="A45" s="3" t="s">
        <v>4313</v>
      </c>
      <c r="B45" s="14">
        <v>-1925671.7699999998</v>
      </c>
      <c r="C45" s="13"/>
      <c r="D45" s="14">
        <v>-20197.2</v>
      </c>
      <c r="E45" s="13"/>
      <c r="F45" s="14">
        <v>0</v>
      </c>
      <c r="G45" s="13"/>
      <c r="H45" s="14">
        <v>0</v>
      </c>
      <c r="I45" s="13"/>
      <c r="J45" s="14">
        <v>0</v>
      </c>
      <c r="K45" s="13"/>
      <c r="L45" s="14">
        <v>0</v>
      </c>
      <c r="M45" s="13"/>
      <c r="N45" s="14">
        <v>0</v>
      </c>
      <c r="O45" s="13"/>
      <c r="P45" s="14">
        <v>0</v>
      </c>
      <c r="Q45" s="13"/>
      <c r="R45" s="14">
        <f>SUM(B45:P45)</f>
        <v>-1945868.9699999997</v>
      </c>
    </row>
    <row r="46" spans="1:18" x14ac:dyDescent="0.2">
      <c r="A46" s="110" t="s">
        <v>4314</v>
      </c>
      <c r="B46" s="14">
        <v>-807162.27000000025</v>
      </c>
      <c r="C46" s="13"/>
      <c r="D46" s="14">
        <v>-29298.73</v>
      </c>
      <c r="E46" s="13"/>
      <c r="F46" s="14">
        <v>11316.48</v>
      </c>
      <c r="G46" s="13"/>
      <c r="H46" s="14">
        <v>0</v>
      </c>
      <c r="I46" s="13"/>
      <c r="J46" s="14">
        <v>0</v>
      </c>
      <c r="K46" s="13"/>
      <c r="L46" s="14">
        <v>38227.199999999997</v>
      </c>
      <c r="M46" s="13"/>
      <c r="N46" s="14">
        <v>0</v>
      </c>
      <c r="O46" s="13"/>
      <c r="P46" s="14">
        <v>0</v>
      </c>
      <c r="Q46" s="13"/>
      <c r="R46" s="14">
        <f t="shared" ref="R46:R52" si="2">SUM(B46:P46)</f>
        <v>-786917.3200000003</v>
      </c>
    </row>
    <row r="47" spans="1:18" x14ac:dyDescent="0.2">
      <c r="A47" s="110" t="s">
        <v>4315</v>
      </c>
      <c r="B47" s="14">
        <v>-7707875.2700000023</v>
      </c>
      <c r="C47" s="13"/>
      <c r="D47" s="14">
        <v>-405643.07</v>
      </c>
      <c r="E47" s="13"/>
      <c r="F47" s="14">
        <v>168359.82</v>
      </c>
      <c r="G47" s="13"/>
      <c r="H47" s="14">
        <v>-15852.23</v>
      </c>
      <c r="I47" s="13"/>
      <c r="J47" s="14">
        <v>0</v>
      </c>
      <c r="K47" s="13"/>
      <c r="L47" s="14">
        <v>65506.37</v>
      </c>
      <c r="M47" s="13"/>
      <c r="N47" s="14">
        <v>-1749.84</v>
      </c>
      <c r="O47" s="13"/>
      <c r="P47" s="14">
        <v>0</v>
      </c>
      <c r="Q47" s="13"/>
      <c r="R47" s="14">
        <f>SUM(B47:P47)</f>
        <v>-7897254.2200000025</v>
      </c>
    </row>
    <row r="48" spans="1:18" x14ac:dyDescent="0.2">
      <c r="A48" s="110" t="s">
        <v>4316</v>
      </c>
      <c r="B48" s="14">
        <v>-4925050.629999999</v>
      </c>
      <c r="C48" s="13"/>
      <c r="D48" s="14">
        <v>-109511.58</v>
      </c>
      <c r="E48" s="13"/>
      <c r="F48" s="14">
        <v>0</v>
      </c>
      <c r="G48" s="13"/>
      <c r="H48" s="14">
        <v>0</v>
      </c>
      <c r="I48" s="13"/>
      <c r="J48" s="14">
        <v>0</v>
      </c>
      <c r="K48" s="13"/>
      <c r="L48" s="14">
        <v>0</v>
      </c>
      <c r="M48" s="13"/>
      <c r="N48" s="14">
        <v>0</v>
      </c>
      <c r="O48" s="13"/>
      <c r="P48" s="14">
        <v>0</v>
      </c>
      <c r="Q48" s="13"/>
      <c r="R48" s="14">
        <f t="shared" si="2"/>
        <v>-5034562.209999999</v>
      </c>
    </row>
    <row r="49" spans="1:18" x14ac:dyDescent="0.2">
      <c r="A49" s="43" t="s">
        <v>4317</v>
      </c>
      <c r="B49" s="14">
        <v>-4352326.0700000012</v>
      </c>
      <c r="C49" s="13"/>
      <c r="D49" s="14">
        <v>-323041.32</v>
      </c>
      <c r="E49" s="13"/>
      <c r="F49" s="14">
        <v>32431.8</v>
      </c>
      <c r="G49" s="13"/>
      <c r="H49" s="14">
        <v>0</v>
      </c>
      <c r="I49" s="13"/>
      <c r="J49" s="14">
        <v>0</v>
      </c>
      <c r="K49" s="13"/>
      <c r="L49" s="14">
        <v>73406.16</v>
      </c>
      <c r="M49" s="13"/>
      <c r="N49" s="14">
        <v>0</v>
      </c>
      <c r="O49" s="13"/>
      <c r="P49" s="14">
        <v>0</v>
      </c>
      <c r="Q49" s="13"/>
      <c r="R49" s="14">
        <f t="shared" si="2"/>
        <v>-4569529.4300000016</v>
      </c>
    </row>
    <row r="50" spans="1:18" x14ac:dyDescent="0.2">
      <c r="A50" s="110" t="s">
        <v>4318</v>
      </c>
      <c r="B50" s="14">
        <v>-10181763.579999996</v>
      </c>
      <c r="C50" s="13"/>
      <c r="D50" s="14">
        <v>-389633.06</v>
      </c>
      <c r="E50" s="13"/>
      <c r="F50" s="14">
        <v>72079.460000000006</v>
      </c>
      <c r="G50" s="13"/>
      <c r="H50" s="14">
        <v>0</v>
      </c>
      <c r="I50" s="13"/>
      <c r="J50" s="14">
        <v>0</v>
      </c>
      <c r="K50" s="13"/>
      <c r="L50" s="14">
        <v>30381.55</v>
      </c>
      <c r="M50" s="13"/>
      <c r="N50" s="14">
        <v>0</v>
      </c>
      <c r="O50" s="13"/>
      <c r="P50" s="14">
        <v>0</v>
      </c>
      <c r="Q50" s="13"/>
      <c r="R50" s="14">
        <f t="shared" si="2"/>
        <v>-10468935.629999995</v>
      </c>
    </row>
    <row r="51" spans="1:18" x14ac:dyDescent="0.2">
      <c r="A51" s="110" t="s">
        <v>4319</v>
      </c>
      <c r="B51" s="14">
        <v>0</v>
      </c>
      <c r="C51" s="13"/>
      <c r="D51" s="14">
        <v>0</v>
      </c>
      <c r="E51" s="13"/>
      <c r="F51" s="14">
        <v>0</v>
      </c>
      <c r="G51" s="13"/>
      <c r="H51" s="14">
        <v>0</v>
      </c>
      <c r="I51" s="13"/>
      <c r="J51" s="14">
        <v>0</v>
      </c>
      <c r="K51" s="13"/>
      <c r="L51" s="14">
        <v>0</v>
      </c>
      <c r="M51" s="13"/>
      <c r="N51" s="14">
        <v>0</v>
      </c>
      <c r="O51" s="13"/>
      <c r="P51" s="14">
        <v>0</v>
      </c>
      <c r="Q51" s="13"/>
      <c r="R51" s="14">
        <f t="shared" si="2"/>
        <v>0</v>
      </c>
    </row>
    <row r="52" spans="1:18" x14ac:dyDescent="0.2">
      <c r="A52" s="110" t="s">
        <v>4320</v>
      </c>
      <c r="B52" s="16">
        <v>0</v>
      </c>
      <c r="C52" s="13"/>
      <c r="D52" s="14">
        <v>0</v>
      </c>
      <c r="E52" s="13"/>
      <c r="F52" s="14">
        <v>0</v>
      </c>
      <c r="G52" s="13"/>
      <c r="H52" s="14">
        <v>0</v>
      </c>
      <c r="I52" s="13"/>
      <c r="J52" s="17">
        <v>0</v>
      </c>
      <c r="K52" s="13"/>
      <c r="L52" s="14">
        <v>0</v>
      </c>
      <c r="M52" s="13"/>
      <c r="N52" s="14">
        <v>0</v>
      </c>
      <c r="O52" s="13"/>
      <c r="P52" s="14">
        <v>0</v>
      </c>
      <c r="Q52" s="13"/>
      <c r="R52" s="16">
        <f t="shared" si="2"/>
        <v>0</v>
      </c>
    </row>
    <row r="53" spans="1:18" x14ac:dyDescent="0.2">
      <c r="A53" s="3" t="s">
        <v>4277</v>
      </c>
      <c r="B53" s="17">
        <f>SUM(B45:B52)</f>
        <v>-29899849.589999996</v>
      </c>
      <c r="C53" s="13"/>
      <c r="D53" s="18">
        <f>SUM(D45:D52)</f>
        <v>-1277324.96</v>
      </c>
      <c r="E53" s="13"/>
      <c r="F53" s="18">
        <f>SUM(F45:F52)</f>
        <v>284187.56</v>
      </c>
      <c r="G53" s="13"/>
      <c r="H53" s="18">
        <f>SUM(H45:H52)</f>
        <v>-15852.23</v>
      </c>
      <c r="I53" s="13"/>
      <c r="J53" s="18">
        <f>SUM(J45:J52)</f>
        <v>0</v>
      </c>
      <c r="K53" s="13"/>
      <c r="L53" s="18">
        <f>SUM(L45:L52)</f>
        <v>207521.28</v>
      </c>
      <c r="M53" s="13"/>
      <c r="N53" s="18">
        <f>SUM(N45:N52)</f>
        <v>-1749.84</v>
      </c>
      <c r="O53" s="13"/>
      <c r="P53" s="18">
        <f>SUM(P45:P52)</f>
        <v>0</v>
      </c>
      <c r="Q53" s="13"/>
      <c r="R53" s="17">
        <f>SUM(R45:R52)</f>
        <v>-30703067.779999997</v>
      </c>
    </row>
    <row r="54" spans="1:18" x14ac:dyDescent="0.2">
      <c r="C54" s="13"/>
      <c r="E54" s="13"/>
      <c r="G54" s="13"/>
      <c r="I54" s="13"/>
      <c r="J54" s="17"/>
      <c r="K54" s="13"/>
      <c r="M54" s="13"/>
      <c r="O54" s="13"/>
      <c r="Q54" s="13"/>
    </row>
    <row r="55" spans="1:18" x14ac:dyDescent="0.2">
      <c r="C55" s="13"/>
      <c r="E55" s="13"/>
      <c r="G55" s="13"/>
      <c r="I55" s="13"/>
      <c r="K55" s="13"/>
      <c r="M55" s="13"/>
      <c r="O55" s="13"/>
      <c r="Q55" s="13"/>
    </row>
    <row r="56" spans="1:18" ht="13.5" thickBot="1" x14ac:dyDescent="0.25">
      <c r="A56" s="12" t="s">
        <v>4278</v>
      </c>
      <c r="B56" s="78">
        <f>B53+B40+B23</f>
        <v>-71574620.599999994</v>
      </c>
      <c r="C56" s="13"/>
      <c r="D56" s="78">
        <f>D53+D40+D23</f>
        <v>-3778607.3999999994</v>
      </c>
      <c r="E56" s="13"/>
      <c r="F56" s="78">
        <f>F53+F40+F23</f>
        <v>3261247.4299999997</v>
      </c>
      <c r="G56" s="13"/>
      <c r="H56" s="78">
        <f>H53+H40+H23</f>
        <v>-15852.23</v>
      </c>
      <c r="I56" s="13"/>
      <c r="J56" s="78">
        <f>J53+J40+J23</f>
        <v>0</v>
      </c>
      <c r="K56" s="13"/>
      <c r="L56" s="78">
        <f>L53+L40+L23</f>
        <v>555505.78999999992</v>
      </c>
      <c r="M56" s="13"/>
      <c r="N56" s="78">
        <f>N53+N40+N23</f>
        <v>-16980.21</v>
      </c>
      <c r="O56" s="13"/>
      <c r="P56" s="78">
        <f>P53+P40+P23</f>
        <v>-41357.599999999999</v>
      </c>
      <c r="Q56" s="13"/>
      <c r="R56" s="78">
        <f>R53+R40+R23</f>
        <v>-71610664.820000008</v>
      </c>
    </row>
    <row r="57" spans="1:18" ht="13.5" thickTop="1" x14ac:dyDescent="0.2">
      <c r="C57" s="13"/>
      <c r="E57" s="13"/>
      <c r="G57" s="13"/>
      <c r="I57" s="13"/>
      <c r="K57" s="13"/>
      <c r="M57" s="13"/>
      <c r="O57" s="13"/>
      <c r="Q57" s="13"/>
    </row>
    <row r="58" spans="1:18" x14ac:dyDescent="0.2">
      <c r="C58" s="13"/>
      <c r="E58" s="13"/>
      <c r="G58" s="13"/>
      <c r="I58" s="13"/>
      <c r="K58" s="13"/>
      <c r="M58" s="13"/>
      <c r="O58" s="13"/>
      <c r="Q58" s="13"/>
    </row>
    <row r="59" spans="1:18" x14ac:dyDescent="0.2">
      <c r="C59" s="13"/>
      <c r="E59" s="13"/>
      <c r="G59" s="13"/>
      <c r="I59" s="13"/>
      <c r="K59" s="13"/>
      <c r="M59" s="13"/>
      <c r="O59" s="13"/>
      <c r="Q59" s="13"/>
    </row>
    <row r="60" spans="1:18" x14ac:dyDescent="0.2">
      <c r="C60" s="13"/>
      <c r="E60" s="13"/>
      <c r="G60" s="13"/>
      <c r="I60" s="13"/>
      <c r="K60" s="13"/>
      <c r="M60" s="13"/>
      <c r="O60" s="13"/>
      <c r="Q60" s="13"/>
    </row>
    <row r="61" spans="1:18" x14ac:dyDescent="0.2">
      <c r="C61" s="13"/>
      <c r="E61" s="13"/>
      <c r="G61" s="13"/>
      <c r="I61" s="13"/>
      <c r="K61" s="13"/>
      <c r="M61" s="13"/>
      <c r="O61" s="13"/>
      <c r="Q61" s="13"/>
    </row>
    <row r="62" spans="1:18" x14ac:dyDescent="0.2">
      <c r="C62" s="13"/>
      <c r="E62" s="13"/>
      <c r="G62" s="13"/>
      <c r="I62" s="13"/>
      <c r="K62" s="13"/>
      <c r="M62" s="13"/>
      <c r="O62" s="13"/>
      <c r="Q62" s="13"/>
    </row>
    <row r="63" spans="1:18" x14ac:dyDescent="0.2">
      <c r="C63" s="13"/>
      <c r="E63" s="13"/>
      <c r="G63" s="13"/>
      <c r="I63" s="13"/>
      <c r="K63" s="13"/>
      <c r="M63" s="13"/>
      <c r="O63" s="13"/>
      <c r="Q63" s="13"/>
    </row>
    <row r="64" spans="1:18" x14ac:dyDescent="0.2">
      <c r="C64" s="13"/>
      <c r="E64" s="13"/>
      <c r="G64" s="13"/>
      <c r="I64" s="13"/>
      <c r="K64" s="13"/>
      <c r="M64" s="13"/>
      <c r="O64" s="13"/>
      <c r="Q64" s="13"/>
    </row>
    <row r="65" spans="3:17" x14ac:dyDescent="0.2">
      <c r="C65" s="13"/>
      <c r="E65" s="13"/>
      <c r="G65" s="13"/>
      <c r="I65" s="13"/>
      <c r="K65" s="13"/>
      <c r="M65" s="13"/>
      <c r="O65" s="13"/>
      <c r="Q65" s="13"/>
    </row>
    <row r="66" spans="3:17" x14ac:dyDescent="0.2">
      <c r="C66" s="13"/>
      <c r="E66" s="13"/>
      <c r="G66" s="13"/>
      <c r="I66" s="13"/>
      <c r="K66" s="13"/>
      <c r="M66" s="13"/>
      <c r="O66" s="13"/>
      <c r="Q66" s="13"/>
    </row>
    <row r="67" spans="3:17" x14ac:dyDescent="0.2">
      <c r="C67" s="13"/>
      <c r="E67" s="13"/>
      <c r="G67" s="13"/>
      <c r="I67" s="13"/>
      <c r="K67" s="13"/>
      <c r="M67" s="13"/>
      <c r="O67" s="13"/>
      <c r="Q67" s="13"/>
    </row>
    <row r="68" spans="3:17" x14ac:dyDescent="0.2">
      <c r="C68" s="13"/>
      <c r="E68" s="13"/>
      <c r="G68" s="13"/>
      <c r="I68" s="13"/>
      <c r="K68" s="13"/>
      <c r="M68" s="13"/>
      <c r="O68" s="13"/>
      <c r="Q68" s="13"/>
    </row>
    <row r="69" spans="3:17" x14ac:dyDescent="0.2">
      <c r="C69" s="13"/>
      <c r="E69" s="13"/>
      <c r="G69" s="13"/>
      <c r="I69" s="13"/>
      <c r="K69" s="13"/>
      <c r="M69" s="13"/>
      <c r="O69" s="13"/>
      <c r="Q69" s="13"/>
    </row>
    <row r="70" spans="3:17" x14ac:dyDescent="0.2">
      <c r="C70" s="13"/>
      <c r="E70" s="13"/>
      <c r="G70" s="13"/>
      <c r="I70" s="13"/>
      <c r="K70" s="13"/>
      <c r="M70" s="13"/>
      <c r="O70" s="13"/>
      <c r="Q70" s="13"/>
    </row>
    <row r="71" spans="3:17" x14ac:dyDescent="0.2">
      <c r="C71" s="13"/>
      <c r="E71" s="13"/>
      <c r="G71" s="13"/>
      <c r="I71" s="13"/>
      <c r="K71" s="13"/>
      <c r="M71" s="13"/>
      <c r="O71" s="13"/>
      <c r="Q71" s="13"/>
    </row>
    <row r="72" spans="3:17" x14ac:dyDescent="0.2">
      <c r="C72" s="13"/>
      <c r="E72" s="13"/>
      <c r="G72" s="13"/>
      <c r="I72" s="13"/>
      <c r="K72" s="13"/>
      <c r="M72" s="13"/>
      <c r="O72" s="13"/>
      <c r="Q72" s="13"/>
    </row>
    <row r="73" spans="3:17" x14ac:dyDescent="0.2">
      <c r="C73" s="13"/>
      <c r="E73" s="13"/>
      <c r="G73" s="13"/>
      <c r="I73" s="13"/>
      <c r="K73" s="13"/>
      <c r="M73" s="13"/>
      <c r="O73" s="13"/>
      <c r="Q73" s="13"/>
    </row>
    <row r="74" spans="3:17" x14ac:dyDescent="0.2">
      <c r="C74" s="13"/>
      <c r="E74" s="13"/>
      <c r="G74" s="13"/>
      <c r="I74" s="13"/>
      <c r="K74" s="13"/>
      <c r="M74" s="13"/>
      <c r="O74" s="13"/>
      <c r="Q74" s="13"/>
    </row>
    <row r="75" spans="3:17" x14ac:dyDescent="0.2">
      <c r="C75" s="13"/>
      <c r="E75" s="13"/>
      <c r="G75" s="13"/>
      <c r="I75" s="13"/>
      <c r="K75" s="13"/>
      <c r="M75" s="13"/>
      <c r="O75" s="13"/>
      <c r="Q75" s="13"/>
    </row>
    <row r="76" spans="3:17" x14ac:dyDescent="0.2">
      <c r="C76" s="13"/>
      <c r="E76" s="13"/>
      <c r="G76" s="13"/>
      <c r="I76" s="13"/>
      <c r="K76" s="13"/>
      <c r="M76" s="13"/>
      <c r="O76" s="13"/>
      <c r="Q76" s="13"/>
    </row>
    <row r="77" spans="3:17" x14ac:dyDescent="0.2">
      <c r="C77" s="13"/>
      <c r="E77" s="13"/>
      <c r="G77" s="13"/>
      <c r="I77" s="13"/>
      <c r="K77" s="13"/>
      <c r="M77" s="13"/>
      <c r="O77" s="13"/>
      <c r="Q77" s="13"/>
    </row>
    <row r="78" spans="3:17" x14ac:dyDescent="0.2">
      <c r="C78" s="13"/>
      <c r="E78" s="13"/>
      <c r="G78" s="13"/>
      <c r="I78" s="13"/>
      <c r="K78" s="13"/>
      <c r="M78" s="13"/>
      <c r="O78" s="13"/>
      <c r="Q78" s="13"/>
    </row>
    <row r="79" spans="3:17" x14ac:dyDescent="0.2">
      <c r="C79" s="13"/>
      <c r="E79" s="13"/>
      <c r="G79" s="13"/>
      <c r="I79" s="13"/>
      <c r="K79" s="13"/>
      <c r="M79" s="13"/>
      <c r="O79" s="13"/>
      <c r="Q79" s="13"/>
    </row>
    <row r="80" spans="3:17" x14ac:dyDescent="0.2">
      <c r="C80" s="13"/>
      <c r="E80" s="13"/>
      <c r="G80" s="13"/>
      <c r="I80" s="13"/>
      <c r="K80" s="13"/>
      <c r="M80" s="13"/>
      <c r="O80" s="13"/>
      <c r="Q80" s="13"/>
    </row>
    <row r="81" spans="3:17" x14ac:dyDescent="0.2">
      <c r="C81" s="13"/>
      <c r="E81" s="13"/>
      <c r="G81" s="13"/>
      <c r="I81" s="13"/>
      <c r="K81" s="13"/>
      <c r="M81" s="13"/>
      <c r="O81" s="13"/>
      <c r="Q81" s="13"/>
    </row>
    <row r="82" spans="3:17" x14ac:dyDescent="0.2">
      <c r="C82" s="13"/>
      <c r="E82" s="13"/>
      <c r="G82" s="13"/>
      <c r="I82" s="13"/>
      <c r="K82" s="13"/>
      <c r="M82" s="13"/>
      <c r="O82" s="13"/>
      <c r="Q82" s="13"/>
    </row>
    <row r="83" spans="3:17" x14ac:dyDescent="0.2">
      <c r="C83" s="13"/>
      <c r="E83" s="13"/>
      <c r="G83" s="13"/>
      <c r="I83" s="13"/>
      <c r="K83" s="13"/>
      <c r="M83" s="13"/>
      <c r="O83" s="13"/>
      <c r="Q83" s="13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8"/>
  <sheetViews>
    <sheetView zoomScale="90" zoomScaleNormal="90" workbookViewId="0">
      <pane xSplit="1" ySplit="9" topLeftCell="B10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36.42578125" style="3" bestFit="1" customWidth="1"/>
    <col min="2" max="2" width="17.7109375" style="19" customWidth="1"/>
    <col min="3" max="3" width="1.7109375" style="3" customWidth="1"/>
    <col min="4" max="4" width="17.7109375" style="19" customWidth="1"/>
    <col min="5" max="5" width="1.7109375" style="3" customWidth="1"/>
    <col min="6" max="6" width="17.7109375" style="19" customWidth="1"/>
    <col min="7" max="7" width="1.7109375" style="3" customWidth="1"/>
    <col min="8" max="8" width="17.7109375" style="19" customWidth="1"/>
    <col min="9" max="9" width="1.7109375" style="3" customWidth="1"/>
    <col min="10" max="10" width="17.7109375" style="19" customWidth="1"/>
    <col min="11" max="11" width="1.7109375" style="3" customWidth="1"/>
    <col min="12" max="12" width="17.7109375" style="19" customWidth="1"/>
    <col min="13" max="13" width="1.7109375" style="3" customWidth="1"/>
    <col min="14" max="14" width="17.7109375" style="19" customWidth="1"/>
    <col min="15" max="15" width="1.7109375" style="3" customWidth="1"/>
    <col min="16" max="16" width="17.7109375" style="19" customWidth="1"/>
    <col min="17" max="17" width="1.7109375" style="3" customWidth="1"/>
    <col min="18" max="18" width="17.7109375" style="19" customWidth="1"/>
    <col min="19" max="16384" width="9.140625" style="3"/>
  </cols>
  <sheetData>
    <row r="1" spans="1:19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s="87" customFormat="1" ht="15.75" x14ac:dyDescent="0.25">
      <c r="A2" s="103" t="s">
        <v>4321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9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07"/>
    </row>
    <row r="4" spans="1:19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7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4322</v>
      </c>
      <c r="B10" s="19">
        <v>-2453.1299999999992</v>
      </c>
      <c r="C10" s="109"/>
      <c r="D10" s="14">
        <v>-16.02</v>
      </c>
      <c r="E10" s="109"/>
      <c r="F10" s="14">
        <v>0</v>
      </c>
      <c r="G10" s="109"/>
      <c r="H10" s="14">
        <v>0</v>
      </c>
      <c r="I10" s="109"/>
      <c r="J10" s="19">
        <v>0</v>
      </c>
      <c r="K10" s="109"/>
      <c r="L10" s="14">
        <v>0</v>
      </c>
      <c r="M10" s="109"/>
      <c r="N10" s="14">
        <v>0</v>
      </c>
      <c r="O10" s="109"/>
      <c r="P10" s="14">
        <v>0</v>
      </c>
      <c r="Q10" s="109"/>
      <c r="R10" s="19">
        <f t="shared" ref="R10:R21" si="0">SUM(B10:P10)</f>
        <v>-2469.1499999999992</v>
      </c>
    </row>
    <row r="11" spans="1:19" x14ac:dyDescent="0.2">
      <c r="A11" s="43" t="s">
        <v>4323</v>
      </c>
      <c r="B11" s="19">
        <v>-2615.3000000000002</v>
      </c>
      <c r="C11" s="109"/>
      <c r="D11" s="14">
        <v>-52.82</v>
      </c>
      <c r="E11" s="109"/>
      <c r="F11" s="14">
        <v>30.76</v>
      </c>
      <c r="G11" s="109"/>
      <c r="H11" s="14">
        <v>0</v>
      </c>
      <c r="I11" s="109"/>
      <c r="J11" s="19">
        <v>0</v>
      </c>
      <c r="K11" s="109"/>
      <c r="L11" s="14">
        <v>376.53</v>
      </c>
      <c r="M11" s="109"/>
      <c r="N11" s="14">
        <v>-197.03</v>
      </c>
      <c r="O11" s="109"/>
      <c r="P11" s="14">
        <v>0</v>
      </c>
      <c r="Q11" s="109"/>
      <c r="R11" s="19">
        <f t="shared" si="0"/>
        <v>-2457.86</v>
      </c>
    </row>
    <row r="12" spans="1:19" x14ac:dyDescent="0.2">
      <c r="A12" s="43" t="s">
        <v>4324</v>
      </c>
      <c r="B12" s="19">
        <v>-32970.89</v>
      </c>
      <c r="C12" s="109"/>
      <c r="D12" s="14">
        <v>-1524.85</v>
      </c>
      <c r="E12" s="109"/>
      <c r="F12" s="14">
        <v>7.1</v>
      </c>
      <c r="G12" s="109"/>
      <c r="H12" s="14">
        <v>0</v>
      </c>
      <c r="I12" s="109"/>
      <c r="J12" s="19">
        <v>0</v>
      </c>
      <c r="K12" s="109"/>
      <c r="L12" s="14">
        <v>86.91</v>
      </c>
      <c r="M12" s="109"/>
      <c r="N12" s="14">
        <v>-45.48</v>
      </c>
      <c r="O12" s="109"/>
      <c r="P12" s="14">
        <v>0</v>
      </c>
      <c r="Q12" s="109"/>
      <c r="R12" s="19">
        <f t="shared" si="0"/>
        <v>-34447.21</v>
      </c>
    </row>
    <row r="13" spans="1:19" x14ac:dyDescent="0.2">
      <c r="A13" s="3" t="s">
        <v>4325</v>
      </c>
      <c r="B13" s="19">
        <v>-46448.889999999992</v>
      </c>
      <c r="C13" s="109"/>
      <c r="D13" s="14">
        <v>-1194.5999999999999</v>
      </c>
      <c r="E13" s="109"/>
      <c r="F13" s="14">
        <v>0</v>
      </c>
      <c r="G13" s="109"/>
      <c r="H13" s="14">
        <v>0</v>
      </c>
      <c r="I13" s="109"/>
      <c r="J13" s="19">
        <v>0</v>
      </c>
      <c r="K13" s="109"/>
      <c r="L13" s="14">
        <v>0</v>
      </c>
      <c r="M13" s="109"/>
      <c r="N13" s="14">
        <v>0</v>
      </c>
      <c r="O13" s="109"/>
      <c r="P13" s="14">
        <v>0</v>
      </c>
      <c r="Q13" s="109"/>
      <c r="R13" s="19">
        <f t="shared" si="0"/>
        <v>-47643.489999999991</v>
      </c>
    </row>
    <row r="14" spans="1:19" x14ac:dyDescent="0.2">
      <c r="A14" s="43" t="s">
        <v>4326</v>
      </c>
      <c r="B14" s="19">
        <v>-51330.500000000015</v>
      </c>
      <c r="C14" s="109"/>
      <c r="D14" s="14">
        <v>-1332.72</v>
      </c>
      <c r="E14" s="109"/>
      <c r="F14" s="14">
        <v>0</v>
      </c>
      <c r="G14" s="109"/>
      <c r="H14" s="14">
        <v>0</v>
      </c>
      <c r="I14" s="109"/>
      <c r="J14" s="19">
        <v>0</v>
      </c>
      <c r="K14" s="109"/>
      <c r="L14" s="14">
        <v>0</v>
      </c>
      <c r="M14" s="109"/>
      <c r="N14" s="14">
        <v>0</v>
      </c>
      <c r="O14" s="109"/>
      <c r="P14" s="14">
        <v>0</v>
      </c>
      <c r="Q14" s="109"/>
      <c r="R14" s="19">
        <f t="shared" si="0"/>
        <v>-52663.220000000016</v>
      </c>
    </row>
    <row r="15" spans="1:19" x14ac:dyDescent="0.2">
      <c r="A15" s="43" t="s">
        <v>4327</v>
      </c>
      <c r="B15" s="19">
        <v>0</v>
      </c>
      <c r="C15" s="109"/>
      <c r="D15" s="14">
        <v>0</v>
      </c>
      <c r="E15" s="109"/>
      <c r="F15" s="14">
        <v>0</v>
      </c>
      <c r="G15" s="109"/>
      <c r="H15" s="14">
        <v>0</v>
      </c>
      <c r="I15" s="109"/>
      <c r="J15" s="19">
        <v>0</v>
      </c>
      <c r="K15" s="109"/>
      <c r="L15" s="14">
        <v>0</v>
      </c>
      <c r="M15" s="109"/>
      <c r="N15" s="14">
        <v>0</v>
      </c>
      <c r="O15" s="109"/>
      <c r="P15" s="14">
        <v>0</v>
      </c>
      <c r="Q15" s="109"/>
      <c r="R15" s="19">
        <f t="shared" si="0"/>
        <v>0</v>
      </c>
    </row>
    <row r="16" spans="1:19" x14ac:dyDescent="0.2">
      <c r="A16" s="43" t="s">
        <v>4328</v>
      </c>
      <c r="B16" s="19">
        <v>0</v>
      </c>
      <c r="C16" s="109"/>
      <c r="D16" s="14">
        <v>0</v>
      </c>
      <c r="E16" s="109"/>
      <c r="F16" s="14">
        <v>0</v>
      </c>
      <c r="G16" s="109"/>
      <c r="H16" s="14">
        <v>0</v>
      </c>
      <c r="I16" s="109"/>
      <c r="J16" s="19">
        <v>0</v>
      </c>
      <c r="K16" s="109"/>
      <c r="L16" s="14">
        <v>0</v>
      </c>
      <c r="M16" s="109"/>
      <c r="N16" s="14">
        <v>0</v>
      </c>
      <c r="O16" s="109"/>
      <c r="P16" s="14">
        <v>0</v>
      </c>
      <c r="Q16" s="109"/>
      <c r="R16" s="19">
        <f t="shared" si="0"/>
        <v>0</v>
      </c>
    </row>
    <row r="17" spans="1:18" x14ac:dyDescent="0.2">
      <c r="A17" s="43" t="s">
        <v>4329</v>
      </c>
      <c r="B17" s="19">
        <v>-5133.0499999999984</v>
      </c>
      <c r="C17" s="109"/>
      <c r="D17" s="14">
        <v>-66.06</v>
      </c>
      <c r="E17" s="109"/>
      <c r="F17" s="14">
        <v>0</v>
      </c>
      <c r="G17" s="109"/>
      <c r="H17" s="14">
        <v>0</v>
      </c>
      <c r="I17" s="109"/>
      <c r="J17" s="19">
        <v>0</v>
      </c>
      <c r="K17" s="109"/>
      <c r="L17" s="14">
        <v>0</v>
      </c>
      <c r="M17" s="109"/>
      <c r="N17" s="14">
        <v>0</v>
      </c>
      <c r="O17" s="109"/>
      <c r="P17" s="14">
        <v>0</v>
      </c>
      <c r="Q17" s="109"/>
      <c r="R17" s="19">
        <f t="shared" si="0"/>
        <v>-5199.1099999999988</v>
      </c>
    </row>
    <row r="18" spans="1:18" x14ac:dyDescent="0.2">
      <c r="A18" s="43" t="s">
        <v>4330</v>
      </c>
      <c r="B18" s="19">
        <v>-1144.4700000000003</v>
      </c>
      <c r="C18" s="109"/>
      <c r="D18" s="14">
        <v>-4.68</v>
      </c>
      <c r="E18" s="109"/>
      <c r="F18" s="14">
        <v>0</v>
      </c>
      <c r="G18" s="109"/>
      <c r="H18" s="14">
        <v>0</v>
      </c>
      <c r="I18" s="109"/>
      <c r="J18" s="19">
        <v>0</v>
      </c>
      <c r="K18" s="109"/>
      <c r="L18" s="14">
        <v>0</v>
      </c>
      <c r="M18" s="109"/>
      <c r="N18" s="14">
        <v>0</v>
      </c>
      <c r="O18" s="109"/>
      <c r="P18" s="14">
        <v>0</v>
      </c>
      <c r="Q18" s="109"/>
      <c r="R18" s="19">
        <f t="shared" si="0"/>
        <v>-1149.1500000000003</v>
      </c>
    </row>
    <row r="19" spans="1:18" x14ac:dyDescent="0.2">
      <c r="A19" s="43" t="s">
        <v>4331</v>
      </c>
      <c r="B19" s="19">
        <v>-293.28999999999974</v>
      </c>
      <c r="C19" s="109"/>
      <c r="D19" s="14">
        <v>-59.04</v>
      </c>
      <c r="E19" s="109"/>
      <c r="F19" s="14">
        <v>0</v>
      </c>
      <c r="G19" s="109"/>
      <c r="H19" s="14">
        <v>269.91000000000003</v>
      </c>
      <c r="I19" s="109"/>
      <c r="J19" s="19">
        <v>0</v>
      </c>
      <c r="K19" s="109"/>
      <c r="L19" s="14">
        <v>0</v>
      </c>
      <c r="M19" s="109"/>
      <c r="N19" s="14">
        <v>0</v>
      </c>
      <c r="O19" s="109"/>
      <c r="P19" s="14">
        <v>0</v>
      </c>
      <c r="Q19" s="109"/>
      <c r="R19" s="19">
        <f t="shared" si="0"/>
        <v>-82.419999999999732</v>
      </c>
    </row>
    <row r="20" spans="1:18" x14ac:dyDescent="0.2">
      <c r="A20" s="3" t="s">
        <v>4332</v>
      </c>
      <c r="B20" s="19">
        <v>0</v>
      </c>
      <c r="C20" s="109"/>
      <c r="D20" s="14">
        <v>-76.67</v>
      </c>
      <c r="E20" s="109"/>
      <c r="F20" s="14">
        <v>0</v>
      </c>
      <c r="G20" s="109"/>
      <c r="H20" s="14">
        <v>-269.91000000000003</v>
      </c>
      <c r="I20" s="109"/>
      <c r="J20" s="19">
        <v>0</v>
      </c>
      <c r="K20" s="109"/>
      <c r="L20" s="14">
        <v>0</v>
      </c>
      <c r="M20" s="109"/>
      <c r="N20" s="14">
        <v>0</v>
      </c>
      <c r="O20" s="109"/>
      <c r="P20" s="14">
        <v>0</v>
      </c>
      <c r="Q20" s="109"/>
      <c r="R20" s="19">
        <f t="shared" si="0"/>
        <v>-346.58000000000004</v>
      </c>
    </row>
    <row r="21" spans="1:18" x14ac:dyDescent="0.2">
      <c r="A21" s="110" t="s">
        <v>4333</v>
      </c>
      <c r="B21" s="27">
        <v>0</v>
      </c>
      <c r="C21" s="109"/>
      <c r="D21" s="14">
        <v>0</v>
      </c>
      <c r="E21" s="109"/>
      <c r="F21" s="14">
        <v>0</v>
      </c>
      <c r="G21" s="109"/>
      <c r="H21" s="14">
        <v>0</v>
      </c>
      <c r="I21" s="109"/>
      <c r="J21" s="26">
        <v>0</v>
      </c>
      <c r="K21" s="109"/>
      <c r="L21" s="14">
        <v>0</v>
      </c>
      <c r="M21" s="109"/>
      <c r="N21" s="14">
        <v>0</v>
      </c>
      <c r="O21" s="109"/>
      <c r="P21" s="14">
        <v>0</v>
      </c>
      <c r="Q21" s="109"/>
      <c r="R21" s="27">
        <f t="shared" si="0"/>
        <v>0</v>
      </c>
    </row>
    <row r="22" spans="1:18" x14ac:dyDescent="0.2">
      <c r="A22" s="3" t="s">
        <v>3855</v>
      </c>
      <c r="B22" s="26">
        <f>SUM(B10:B21)</f>
        <v>-142389.52000000002</v>
      </c>
      <c r="C22" s="109"/>
      <c r="D22" s="32">
        <f>SUM(D10:D21)</f>
        <v>-4327.4600000000009</v>
      </c>
      <c r="E22" s="109"/>
      <c r="F22" s="32">
        <f>SUM(F10:F21)</f>
        <v>37.86</v>
      </c>
      <c r="G22" s="109"/>
      <c r="H22" s="32">
        <f>SUM(H10:H21)</f>
        <v>0</v>
      </c>
      <c r="I22" s="109"/>
      <c r="J22" s="32">
        <f>SUM(J10:J21)</f>
        <v>0</v>
      </c>
      <c r="K22" s="109"/>
      <c r="L22" s="32">
        <f>SUM(L10:L21)</f>
        <v>463.43999999999994</v>
      </c>
      <c r="M22" s="109"/>
      <c r="N22" s="32">
        <f>SUM(N10:N21)</f>
        <v>-242.51</v>
      </c>
      <c r="O22" s="109"/>
      <c r="P22" s="32">
        <f>SUM(P10:P21)</f>
        <v>0</v>
      </c>
      <c r="Q22" s="109"/>
      <c r="R22" s="26">
        <f>SUM(R10:R21)</f>
        <v>-146458.18999999997</v>
      </c>
    </row>
    <row r="23" spans="1:18" x14ac:dyDescent="0.2">
      <c r="C23" s="109"/>
      <c r="E23" s="109"/>
      <c r="G23" s="109"/>
      <c r="I23" s="109"/>
      <c r="K23" s="109"/>
      <c r="M23" s="109"/>
      <c r="O23" s="109"/>
      <c r="Q23" s="109"/>
    </row>
    <row r="24" spans="1:18" x14ac:dyDescent="0.2">
      <c r="A24" s="12" t="s">
        <v>18</v>
      </c>
      <c r="C24" s="109"/>
      <c r="E24" s="109"/>
      <c r="G24" s="109"/>
      <c r="I24" s="109"/>
      <c r="K24" s="109"/>
      <c r="M24" s="109"/>
      <c r="O24" s="109"/>
      <c r="Q24" s="109"/>
    </row>
    <row r="25" spans="1:18" x14ac:dyDescent="0.2">
      <c r="A25" s="43" t="s">
        <v>4334</v>
      </c>
      <c r="B25" s="19">
        <v>-365.25999999999993</v>
      </c>
      <c r="C25" s="109"/>
      <c r="D25" s="14">
        <v>-3.96</v>
      </c>
      <c r="E25" s="109"/>
      <c r="F25" s="14">
        <v>0</v>
      </c>
      <c r="G25" s="109"/>
      <c r="H25" s="14">
        <v>0</v>
      </c>
      <c r="I25" s="109"/>
      <c r="J25" s="19">
        <v>0</v>
      </c>
      <c r="K25" s="109"/>
      <c r="L25" s="14">
        <v>0</v>
      </c>
      <c r="M25" s="109"/>
      <c r="N25" s="14">
        <v>0</v>
      </c>
      <c r="O25" s="109"/>
      <c r="P25" s="14">
        <v>0</v>
      </c>
      <c r="Q25" s="109"/>
      <c r="R25" s="19">
        <f>SUM(B25:P25)</f>
        <v>-369.21999999999991</v>
      </c>
    </row>
    <row r="26" spans="1:18" x14ac:dyDescent="0.2">
      <c r="A26" s="43" t="s">
        <v>4335</v>
      </c>
      <c r="B26" s="19">
        <v>-86195.550000000017</v>
      </c>
      <c r="C26" s="109"/>
      <c r="D26" s="14">
        <v>-3319.5</v>
      </c>
      <c r="E26" s="109"/>
      <c r="F26" s="14">
        <v>0</v>
      </c>
      <c r="G26" s="109"/>
      <c r="H26" s="14">
        <v>0</v>
      </c>
      <c r="I26" s="109"/>
      <c r="J26" s="19">
        <v>0</v>
      </c>
      <c r="K26" s="109"/>
      <c r="L26" s="14">
        <v>0</v>
      </c>
      <c r="M26" s="109"/>
      <c r="N26" s="14">
        <v>0</v>
      </c>
      <c r="O26" s="109"/>
      <c r="P26" s="14">
        <v>0</v>
      </c>
      <c r="Q26" s="109"/>
      <c r="R26" s="19">
        <f>SUM(B26:P26)</f>
        <v>-89515.050000000017</v>
      </c>
    </row>
    <row r="27" spans="1:18" x14ac:dyDescent="0.2">
      <c r="A27" s="110" t="s">
        <v>4336</v>
      </c>
      <c r="B27" s="27">
        <v>-52069.709999999992</v>
      </c>
      <c r="C27" s="109"/>
      <c r="D27" s="14">
        <v>-1748.64</v>
      </c>
      <c r="E27" s="109"/>
      <c r="F27" s="14">
        <v>0</v>
      </c>
      <c r="G27" s="109"/>
      <c r="H27" s="14">
        <v>0</v>
      </c>
      <c r="I27" s="109"/>
      <c r="J27" s="26">
        <v>0</v>
      </c>
      <c r="K27" s="109"/>
      <c r="L27" s="14">
        <v>0</v>
      </c>
      <c r="M27" s="109"/>
      <c r="N27" s="14">
        <v>0</v>
      </c>
      <c r="O27" s="109"/>
      <c r="P27" s="14">
        <v>0</v>
      </c>
      <c r="Q27" s="109"/>
      <c r="R27" s="27">
        <f>SUM(B27:P27)</f>
        <v>-53818.349999999991</v>
      </c>
    </row>
    <row r="28" spans="1:18" x14ac:dyDescent="0.2">
      <c r="A28" s="3" t="s">
        <v>4277</v>
      </c>
      <c r="B28" s="26">
        <f>SUM(B25:B27)</f>
        <v>-138630.52000000002</v>
      </c>
      <c r="C28" s="109"/>
      <c r="D28" s="32">
        <f>SUM(D25:D27)</f>
        <v>-5072.1000000000004</v>
      </c>
      <c r="E28" s="109"/>
      <c r="F28" s="32">
        <f>SUM(F25:F27)</f>
        <v>0</v>
      </c>
      <c r="G28" s="109"/>
      <c r="H28" s="32">
        <f>SUM(H25:H27)</f>
        <v>0</v>
      </c>
      <c r="I28" s="109"/>
      <c r="J28" s="32">
        <f>SUM(J25:J27)</f>
        <v>0</v>
      </c>
      <c r="K28" s="109"/>
      <c r="L28" s="32">
        <f>SUM(L25:L27)</f>
        <v>0</v>
      </c>
      <c r="M28" s="109"/>
      <c r="N28" s="32">
        <f>SUM(N25:N27)</f>
        <v>0</v>
      </c>
      <c r="O28" s="109"/>
      <c r="P28" s="32">
        <f>SUM(P25:P27)</f>
        <v>0</v>
      </c>
      <c r="Q28" s="109"/>
      <c r="R28" s="26">
        <f>SUM(R25:R27)</f>
        <v>-143702.62</v>
      </c>
    </row>
    <row r="29" spans="1:18" x14ac:dyDescent="0.2">
      <c r="C29" s="109"/>
      <c r="E29" s="109"/>
      <c r="G29" s="109"/>
      <c r="I29" s="109"/>
      <c r="J29" s="26"/>
      <c r="K29" s="109"/>
      <c r="M29" s="109"/>
      <c r="O29" s="109"/>
      <c r="Q29" s="109"/>
    </row>
    <row r="30" spans="1:18" x14ac:dyDescent="0.2">
      <c r="C30" s="109"/>
      <c r="E30" s="109"/>
      <c r="G30" s="109"/>
      <c r="I30" s="109"/>
      <c r="K30" s="109"/>
      <c r="M30" s="109"/>
      <c r="O30" s="109"/>
      <c r="Q30" s="109"/>
    </row>
    <row r="31" spans="1:18" ht="13.5" thickBot="1" x14ac:dyDescent="0.25">
      <c r="A31" s="12" t="s">
        <v>4278</v>
      </c>
      <c r="B31" s="33">
        <f>B28+B22</f>
        <v>-281020.04000000004</v>
      </c>
      <c r="C31" s="109"/>
      <c r="D31" s="33">
        <f>D28+D22</f>
        <v>-9399.5600000000013</v>
      </c>
      <c r="E31" s="109"/>
      <c r="F31" s="33">
        <f>F28+F22</f>
        <v>37.86</v>
      </c>
      <c r="G31" s="109"/>
      <c r="H31" s="33">
        <f>H28+H22</f>
        <v>0</v>
      </c>
      <c r="I31" s="109"/>
      <c r="J31" s="33">
        <f>J28+J22</f>
        <v>0</v>
      </c>
      <c r="K31" s="109"/>
      <c r="L31" s="33">
        <f>L28+L22</f>
        <v>463.43999999999994</v>
      </c>
      <c r="M31" s="109"/>
      <c r="N31" s="33">
        <f>N28+N22</f>
        <v>-242.51</v>
      </c>
      <c r="O31" s="109"/>
      <c r="P31" s="33">
        <f>P28+P22</f>
        <v>0</v>
      </c>
      <c r="Q31" s="109"/>
      <c r="R31" s="33">
        <f>R28+R22</f>
        <v>-290160.80999999994</v>
      </c>
    </row>
    <row r="32" spans="1:18" ht="13.5" thickTop="1" x14ac:dyDescent="0.2">
      <c r="C32" s="109"/>
      <c r="E32" s="109"/>
      <c r="G32" s="109"/>
      <c r="I32" s="109"/>
      <c r="K32" s="109"/>
      <c r="M32" s="109"/>
      <c r="O32" s="109"/>
      <c r="Q32" s="109"/>
    </row>
    <row r="33" spans="3:17" x14ac:dyDescent="0.2">
      <c r="C33" s="109"/>
      <c r="E33" s="109"/>
      <c r="G33" s="109"/>
      <c r="I33" s="109"/>
      <c r="K33" s="109"/>
      <c r="M33" s="109"/>
      <c r="O33" s="109"/>
      <c r="Q33" s="109"/>
    </row>
    <row r="34" spans="3:17" x14ac:dyDescent="0.2">
      <c r="C34" s="109"/>
      <c r="E34" s="109"/>
      <c r="G34" s="109"/>
      <c r="I34" s="109"/>
      <c r="K34" s="109"/>
      <c r="M34" s="109"/>
      <c r="O34" s="109"/>
      <c r="Q34" s="109"/>
    </row>
    <row r="35" spans="3:17" x14ac:dyDescent="0.2">
      <c r="C35" s="109"/>
      <c r="E35" s="109"/>
      <c r="G35" s="109"/>
      <c r="I35" s="109"/>
      <c r="K35" s="109"/>
      <c r="M35" s="109"/>
      <c r="O35" s="109"/>
      <c r="Q35" s="109"/>
    </row>
    <row r="36" spans="3:17" x14ac:dyDescent="0.2">
      <c r="C36" s="109"/>
      <c r="E36" s="109"/>
      <c r="G36" s="109"/>
      <c r="I36" s="109"/>
      <c r="K36" s="109"/>
      <c r="M36" s="109"/>
      <c r="O36" s="109"/>
      <c r="Q36" s="109"/>
    </row>
    <row r="37" spans="3:17" x14ac:dyDescent="0.2">
      <c r="C37" s="109"/>
      <c r="E37" s="109"/>
      <c r="G37" s="109"/>
      <c r="I37" s="109"/>
      <c r="K37" s="109"/>
      <c r="M37" s="109"/>
      <c r="O37" s="109"/>
      <c r="Q37" s="109"/>
    </row>
    <row r="38" spans="3:17" x14ac:dyDescent="0.2">
      <c r="C38" s="109"/>
      <c r="E38" s="109"/>
      <c r="G38" s="109"/>
      <c r="I38" s="109"/>
      <c r="K38" s="109"/>
      <c r="M38" s="109"/>
      <c r="O38" s="109"/>
      <c r="Q38" s="109"/>
    </row>
    <row r="39" spans="3:17" x14ac:dyDescent="0.2">
      <c r="C39" s="109"/>
      <c r="E39" s="109"/>
      <c r="G39" s="109"/>
      <c r="I39" s="109"/>
      <c r="K39" s="109"/>
      <c r="M39" s="109"/>
      <c r="O39" s="109"/>
      <c r="Q39" s="109"/>
    </row>
    <row r="40" spans="3:17" x14ac:dyDescent="0.2">
      <c r="C40" s="109"/>
      <c r="E40" s="109"/>
      <c r="G40" s="109"/>
      <c r="I40" s="109"/>
      <c r="K40" s="109"/>
      <c r="M40" s="109"/>
      <c r="O40" s="109"/>
      <c r="Q40" s="109"/>
    </row>
    <row r="41" spans="3:17" x14ac:dyDescent="0.2">
      <c r="C41" s="109"/>
      <c r="E41" s="109"/>
      <c r="G41" s="109"/>
      <c r="I41" s="109"/>
      <c r="K41" s="109"/>
      <c r="M41" s="109"/>
      <c r="O41" s="109"/>
      <c r="Q41" s="109"/>
    </row>
    <row r="42" spans="3:17" x14ac:dyDescent="0.2">
      <c r="C42" s="109"/>
      <c r="E42" s="109"/>
      <c r="G42" s="109"/>
      <c r="I42" s="109"/>
      <c r="K42" s="109"/>
      <c r="M42" s="109"/>
      <c r="O42" s="109"/>
      <c r="Q42" s="109"/>
    </row>
    <row r="43" spans="3:17" x14ac:dyDescent="0.2">
      <c r="C43" s="109"/>
      <c r="E43" s="109"/>
      <c r="G43" s="109"/>
      <c r="I43" s="109"/>
      <c r="K43" s="109"/>
      <c r="M43" s="109"/>
      <c r="O43" s="109"/>
      <c r="Q43" s="109"/>
    </row>
    <row r="44" spans="3:17" x14ac:dyDescent="0.2">
      <c r="C44" s="109"/>
      <c r="E44" s="109"/>
      <c r="G44" s="109"/>
      <c r="I44" s="109"/>
      <c r="K44" s="109"/>
      <c r="M44" s="109"/>
      <c r="O44" s="109"/>
      <c r="Q44" s="109"/>
    </row>
    <row r="45" spans="3:17" x14ac:dyDescent="0.2">
      <c r="C45" s="109"/>
      <c r="E45" s="109"/>
      <c r="G45" s="109"/>
      <c r="I45" s="109"/>
      <c r="K45" s="109"/>
      <c r="M45" s="109"/>
      <c r="O45" s="109"/>
      <c r="Q45" s="109"/>
    </row>
    <row r="46" spans="3:17" x14ac:dyDescent="0.2">
      <c r="C46" s="109"/>
      <c r="E46" s="109"/>
      <c r="G46" s="109"/>
      <c r="I46" s="109"/>
      <c r="K46" s="109"/>
      <c r="M46" s="109"/>
      <c r="O46" s="109"/>
      <c r="Q46" s="109"/>
    </row>
    <row r="47" spans="3:17" x14ac:dyDescent="0.2">
      <c r="C47" s="109"/>
      <c r="E47" s="109"/>
      <c r="G47" s="109"/>
      <c r="I47" s="109"/>
      <c r="K47" s="109"/>
      <c r="M47" s="109"/>
      <c r="O47" s="109"/>
      <c r="Q47" s="109"/>
    </row>
    <row r="48" spans="3:17" x14ac:dyDescent="0.2">
      <c r="C48" s="109"/>
      <c r="E48" s="109"/>
      <c r="G48" s="109"/>
      <c r="I48" s="109"/>
      <c r="K48" s="109"/>
      <c r="M48" s="109"/>
      <c r="O48" s="109"/>
      <c r="Q48" s="109"/>
    </row>
    <row r="49" spans="3:17" x14ac:dyDescent="0.2">
      <c r="C49" s="109"/>
      <c r="E49" s="109"/>
      <c r="G49" s="109"/>
      <c r="I49" s="109"/>
      <c r="K49" s="109"/>
      <c r="M49" s="109"/>
      <c r="O49" s="109"/>
      <c r="Q49" s="109"/>
    </row>
    <row r="50" spans="3:17" x14ac:dyDescent="0.2">
      <c r="C50" s="109"/>
      <c r="E50" s="109"/>
      <c r="G50" s="109"/>
      <c r="I50" s="109"/>
      <c r="K50" s="109"/>
      <c r="M50" s="109"/>
      <c r="O50" s="109"/>
      <c r="Q50" s="109"/>
    </row>
    <row r="51" spans="3:17" x14ac:dyDescent="0.2">
      <c r="C51" s="109"/>
      <c r="E51" s="109"/>
      <c r="G51" s="109"/>
      <c r="I51" s="109"/>
      <c r="K51" s="109"/>
      <c r="M51" s="109"/>
      <c r="O51" s="109"/>
      <c r="Q51" s="109"/>
    </row>
    <row r="52" spans="3:17" x14ac:dyDescent="0.2">
      <c r="C52" s="109"/>
      <c r="E52" s="109"/>
      <c r="G52" s="109"/>
      <c r="I52" s="109"/>
      <c r="K52" s="109"/>
      <c r="M52" s="109"/>
      <c r="O52" s="109"/>
      <c r="Q52" s="109"/>
    </row>
    <row r="53" spans="3:17" x14ac:dyDescent="0.2">
      <c r="C53" s="109"/>
      <c r="E53" s="109"/>
      <c r="G53" s="109"/>
      <c r="I53" s="109"/>
      <c r="K53" s="109"/>
      <c r="M53" s="109"/>
      <c r="O53" s="109"/>
      <c r="Q53" s="109"/>
    </row>
    <row r="54" spans="3:17" x14ac:dyDescent="0.2">
      <c r="C54" s="109"/>
      <c r="E54" s="109"/>
      <c r="G54" s="109"/>
      <c r="I54" s="109"/>
      <c r="K54" s="109"/>
      <c r="M54" s="109"/>
      <c r="O54" s="109"/>
      <c r="Q54" s="109"/>
    </row>
    <row r="55" spans="3:17" x14ac:dyDescent="0.2">
      <c r="C55" s="109"/>
      <c r="E55" s="109"/>
      <c r="G55" s="109"/>
      <c r="I55" s="109"/>
      <c r="K55" s="109"/>
      <c r="M55" s="109"/>
      <c r="O55" s="109"/>
      <c r="Q55" s="109"/>
    </row>
    <row r="56" spans="3:17" x14ac:dyDescent="0.2">
      <c r="C56" s="109"/>
      <c r="E56" s="109"/>
      <c r="G56" s="109"/>
      <c r="I56" s="109"/>
      <c r="K56" s="109"/>
      <c r="M56" s="109"/>
      <c r="O56" s="109"/>
      <c r="Q56" s="109"/>
    </row>
    <row r="57" spans="3:17" x14ac:dyDescent="0.2">
      <c r="C57" s="109"/>
      <c r="E57" s="109"/>
      <c r="G57" s="109"/>
      <c r="I57" s="109"/>
      <c r="K57" s="109"/>
      <c r="M57" s="109"/>
      <c r="O57" s="109"/>
      <c r="Q57" s="109"/>
    </row>
    <row r="58" spans="3:17" x14ac:dyDescent="0.2">
      <c r="C58" s="109"/>
      <c r="E58" s="109"/>
      <c r="G58" s="109"/>
      <c r="I58" s="109"/>
      <c r="K58" s="109"/>
      <c r="M58" s="109"/>
      <c r="O58" s="109"/>
      <c r="Q58" s="109"/>
    </row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313"/>
  <sheetViews>
    <sheetView topLeftCell="A34" workbookViewId="0">
      <selection sqref="A1:N1"/>
    </sheetView>
  </sheetViews>
  <sheetFormatPr defaultRowHeight="12.75" x14ac:dyDescent="0.2"/>
  <cols>
    <col min="1" max="1" width="9.140625" style="3"/>
    <col min="2" max="2" width="36" style="3" bestFit="1" customWidth="1"/>
    <col min="3" max="3" width="18.7109375" style="3" bestFit="1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8.7109375" style="3" bestFit="1" customWidth="1"/>
    <col min="22" max="22" width="2.7109375" style="3" customWidth="1"/>
    <col min="23" max="16384" width="9.140625" style="3"/>
  </cols>
  <sheetData>
    <row r="1" spans="1:22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1"/>
    </row>
    <row r="2" spans="1:22" x14ac:dyDescent="0.2">
      <c r="A2" s="95" t="s">
        <v>4337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</row>
    <row r="3" spans="1:22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4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  <c r="V6" s="25"/>
    </row>
    <row r="7" spans="1:22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  <c r="V7" s="11"/>
    </row>
    <row r="8" spans="1:22" x14ac:dyDescent="0.2">
      <c r="C8" s="11"/>
      <c r="E8" s="11"/>
      <c r="G8" s="11"/>
      <c r="I8" s="11"/>
      <c r="J8" s="11"/>
      <c r="K8" s="11"/>
      <c r="M8" s="11"/>
      <c r="O8" s="11"/>
      <c r="Q8" s="11"/>
      <c r="S8" s="11"/>
      <c r="U8" s="11"/>
      <c r="V8" s="11"/>
    </row>
    <row r="9" spans="1:22" x14ac:dyDescent="0.2">
      <c r="A9" s="12" t="s">
        <v>45</v>
      </c>
      <c r="C9" s="11"/>
      <c r="E9" s="11"/>
      <c r="G9" s="11"/>
      <c r="I9" s="11"/>
      <c r="J9" s="11"/>
      <c r="K9" s="11"/>
      <c r="M9" s="11"/>
      <c r="O9" s="11"/>
      <c r="Q9" s="11"/>
      <c r="S9" s="11"/>
      <c r="U9" s="11"/>
      <c r="V9" s="11"/>
    </row>
    <row r="10" spans="1:22" x14ac:dyDescent="0.2">
      <c r="B10" s="3" t="s">
        <v>12</v>
      </c>
      <c r="C10" s="17">
        <f>+'KU_Summary - Reserve - P2 (REG)'!C10</f>
        <v>-490672507.89999998</v>
      </c>
      <c r="D10" s="14"/>
      <c r="E10" s="17">
        <f>+'KU_Summary - Reserve - P2 (REG)'!E10</f>
        <v>-35749150.469999999</v>
      </c>
      <c r="F10" s="14"/>
      <c r="G10" s="17">
        <f>+'KU_Summary - Reserve - P2 (REG)'!G10</f>
        <v>25441207.449999999</v>
      </c>
      <c r="H10" s="14"/>
      <c r="I10" s="17">
        <f>+'KU_Summary - Reserve - P2 (REG)'!I10</f>
        <v>109068.5</v>
      </c>
      <c r="J10" s="14"/>
      <c r="K10" s="17">
        <f>+'KU_Summary - Reserve - P2 (REG)'!K10</f>
        <v>0</v>
      </c>
      <c r="L10" s="14"/>
      <c r="M10" s="17">
        <f>+'KU_Summary - Reserve - P2 (REG)'!M10</f>
        <v>0</v>
      </c>
      <c r="N10" s="14"/>
      <c r="O10" s="17">
        <f>+'KU_Summary - Reserve - P2 (REG)'!O10</f>
        <v>0</v>
      </c>
      <c r="P10" s="14"/>
      <c r="Q10" s="17">
        <f>+'KU_Summary - Reserve - P2 (REG)'!Q10</f>
        <v>0</v>
      </c>
      <c r="R10" s="19"/>
      <c r="S10" s="17">
        <f>+'KU_Summary - Reserve - P2 (REG)'!S10</f>
        <v>0</v>
      </c>
      <c r="T10" s="19"/>
      <c r="U10" s="19">
        <f>S10+Q10+O10+M10+I10+G10+E10+C10</f>
        <v>-500871382.41999996</v>
      </c>
      <c r="V10" s="19"/>
    </row>
    <row r="11" spans="1:22" x14ac:dyDescent="0.2">
      <c r="B11" s="3" t="s">
        <v>46</v>
      </c>
      <c r="C11" s="17">
        <f>+'KU_Summary - Reserve - P2 (REG)'!C11</f>
        <v>-124497.79999999996</v>
      </c>
      <c r="D11" s="14"/>
      <c r="E11" s="17">
        <f>+'KU_Summary - Reserve - P2 (REG)'!E11</f>
        <v>-2559.9499999999998</v>
      </c>
      <c r="F11" s="14"/>
      <c r="G11" s="17">
        <f>+'KU_Summary - Reserve - P2 (REG)'!G11</f>
        <v>1700.75</v>
      </c>
      <c r="H11" s="14"/>
      <c r="I11" s="17">
        <f>+'KU_Summary - Reserve - P2 (REG)'!I11</f>
        <v>0</v>
      </c>
      <c r="J11" s="14"/>
      <c r="K11" s="17">
        <f>+'KU_Summary - Reserve - P2 (REG)'!K11</f>
        <v>0</v>
      </c>
      <c r="L11" s="14"/>
      <c r="M11" s="17">
        <f>+'KU_Summary - Reserve - P2 (REG)'!M11</f>
        <v>0</v>
      </c>
      <c r="N11" s="14"/>
      <c r="O11" s="17">
        <f>+'KU_Summary - Reserve - P2 (REG)'!O11</f>
        <v>0</v>
      </c>
      <c r="P11" s="14"/>
      <c r="Q11" s="17">
        <f>+'KU_Summary - Reserve - P2 (REG)'!Q11</f>
        <v>0</v>
      </c>
      <c r="R11" s="19"/>
      <c r="S11" s="17">
        <f>+'KU_Summary - Reserve - P2 (REG)'!S11</f>
        <v>0</v>
      </c>
      <c r="T11" s="19"/>
      <c r="U11" s="19">
        <f t="shared" ref="U11:U21" si="0">S11+Q11+O11+M11+I11+G11+E11+C11</f>
        <v>-125356.99999999996</v>
      </c>
      <c r="V11" s="19"/>
    </row>
    <row r="12" spans="1:22" x14ac:dyDescent="0.2">
      <c r="B12" s="3" t="s">
        <v>13</v>
      </c>
      <c r="C12" s="17">
        <f>+'KU_Summary - Reserve - P2 (REG)'!C12</f>
        <v>-60872288.390000001</v>
      </c>
      <c r="D12" s="14"/>
      <c r="E12" s="17">
        <f>+'KU_Summary - Reserve - P2 (REG)'!E12</f>
        <v>-11473992.720000001</v>
      </c>
      <c r="F12" s="14"/>
      <c r="G12" s="17">
        <f>+'KU_Summary - Reserve - P2 (REG)'!G12</f>
        <v>5739015.4199999999</v>
      </c>
      <c r="H12" s="14"/>
      <c r="I12" s="17">
        <f>+'KU_Summary - Reserve - P2 (REG)'!I12</f>
        <v>-13259.090000000022</v>
      </c>
      <c r="J12" s="14"/>
      <c r="K12" s="17">
        <f>+'KU_Summary - Reserve - P2 (REG)'!K12</f>
        <v>0</v>
      </c>
      <c r="L12" s="14"/>
      <c r="M12" s="17">
        <f>+'KU_Summary - Reserve - P2 (REG)'!M12</f>
        <v>0</v>
      </c>
      <c r="N12" s="14"/>
      <c r="O12" s="17">
        <f>+'KU_Summary - Reserve - P2 (REG)'!O12</f>
        <v>0</v>
      </c>
      <c r="P12" s="14"/>
      <c r="Q12" s="17">
        <f>+'KU_Summary - Reserve - P2 (REG)'!Q12</f>
        <v>0</v>
      </c>
      <c r="R12" s="19"/>
      <c r="S12" s="17">
        <f>+'KU_Summary - Reserve - P2 (REG)'!S12</f>
        <v>0</v>
      </c>
      <c r="T12" s="19"/>
      <c r="U12" s="19">
        <f t="shared" si="0"/>
        <v>-66620524.780000001</v>
      </c>
      <c r="V12" s="19"/>
    </row>
    <row r="13" spans="1:22" x14ac:dyDescent="0.2">
      <c r="B13" s="3" t="s">
        <v>14</v>
      </c>
      <c r="C13" s="17">
        <f>+'KU_Summary - Reserve - P2 (REG)'!C13</f>
        <v>-12162259.890000001</v>
      </c>
      <c r="D13" s="14"/>
      <c r="E13" s="17">
        <f>+'KU_Summary - Reserve - P2 (REG)'!E13</f>
        <v>-1183261.57</v>
      </c>
      <c r="F13" s="14"/>
      <c r="G13" s="17">
        <f>+'KU_Summary - Reserve - P2 (REG)'!G13</f>
        <v>23675</v>
      </c>
      <c r="H13" s="14"/>
      <c r="I13" s="17">
        <f>+'KU_Summary - Reserve - P2 (REG)'!I13</f>
        <v>0</v>
      </c>
      <c r="J13" s="35"/>
      <c r="K13" s="17">
        <f>+'KU_Summary - Reserve - P2 (REG)'!K13</f>
        <v>0</v>
      </c>
      <c r="L13" s="14"/>
      <c r="M13" s="17">
        <f>+'KU_Summary - Reserve - P2 (REG)'!M13</f>
        <v>0</v>
      </c>
      <c r="N13" s="14"/>
      <c r="O13" s="17">
        <f>+'KU_Summary - Reserve - P2 (REG)'!O13</f>
        <v>0</v>
      </c>
      <c r="P13" s="14"/>
      <c r="Q13" s="17">
        <f>+'KU_Summary - Reserve - P2 (REG)'!Q13</f>
        <v>0</v>
      </c>
      <c r="R13" s="19"/>
      <c r="S13" s="17">
        <f>+'KU_Summary - Reserve - P2 (REG)'!S13</f>
        <v>0</v>
      </c>
      <c r="T13" s="19"/>
      <c r="U13" s="19">
        <f t="shared" si="0"/>
        <v>-13321846.460000001</v>
      </c>
      <c r="V13" s="19"/>
    </row>
    <row r="14" spans="1:22" x14ac:dyDescent="0.2">
      <c r="B14" s="3" t="s">
        <v>47</v>
      </c>
      <c r="C14" s="17">
        <f>+'KU_Summary - Reserve - P2 (REG)'!C14</f>
        <v>-19701.79</v>
      </c>
      <c r="D14" s="14"/>
      <c r="E14" s="17">
        <f>+'KU_Summary - Reserve - P2 (REG)'!E14</f>
        <v>-17888.16</v>
      </c>
      <c r="F14" s="14"/>
      <c r="G14" s="17">
        <f>+'KU_Summary - Reserve - P2 (REG)'!G14</f>
        <v>0</v>
      </c>
      <c r="H14" s="14"/>
      <c r="I14" s="17">
        <f>+'KU_Summary - Reserve - P2 (REG)'!I14</f>
        <v>0</v>
      </c>
      <c r="J14" s="14"/>
      <c r="K14" s="17">
        <f>+'KU_Summary - Reserve - P2 (REG)'!K14</f>
        <v>0</v>
      </c>
      <c r="L14" s="14"/>
      <c r="M14" s="17">
        <f>+'KU_Summary - Reserve - P2 (REG)'!M14</f>
        <v>0</v>
      </c>
      <c r="N14" s="14"/>
      <c r="O14" s="17">
        <f>+'KU_Summary - Reserve - P2 (REG)'!O14</f>
        <v>0</v>
      </c>
      <c r="P14" s="14"/>
      <c r="Q14" s="17">
        <f>+'KU_Summary - Reserve - P2 (REG)'!Q14</f>
        <v>0</v>
      </c>
      <c r="R14" s="19"/>
      <c r="S14" s="17">
        <f>+'KU_Summary - Reserve - P2 (REG)'!S14</f>
        <v>0</v>
      </c>
      <c r="T14" s="19"/>
      <c r="U14" s="19">
        <f t="shared" si="0"/>
        <v>-37589.949999999997</v>
      </c>
      <c r="V14" s="19"/>
    </row>
    <row r="15" spans="1:22" x14ac:dyDescent="0.2">
      <c r="B15" s="3" t="s">
        <v>16</v>
      </c>
      <c r="C15" s="17">
        <f>+'KU_Summary - Reserve - P2 (REG)'!C15</f>
        <v>-276847290.56</v>
      </c>
      <c r="D15" s="14"/>
      <c r="E15" s="17">
        <f>+'KU_Summary - Reserve - P2 (REG)'!E15</f>
        <v>-35768980.219999999</v>
      </c>
      <c r="F15" s="14"/>
      <c r="G15" s="17">
        <f>+'KU_Summary - Reserve - P2 (REG)'!G15</f>
        <v>3080794.96</v>
      </c>
      <c r="H15" s="14"/>
      <c r="I15" s="17">
        <f>+'KU_Summary - Reserve - P2 (REG)'!I15</f>
        <v>0</v>
      </c>
      <c r="J15" s="14"/>
      <c r="K15" s="17">
        <f>+'KU_Summary - Reserve - P2 (REG)'!K15</f>
        <v>0</v>
      </c>
      <c r="L15" s="14"/>
      <c r="M15" s="17">
        <f>+'KU_Summary - Reserve - P2 (REG)'!M15</f>
        <v>0</v>
      </c>
      <c r="N15" s="14"/>
      <c r="O15" s="17">
        <f>+'KU_Summary - Reserve - P2 (REG)'!O15</f>
        <v>0</v>
      </c>
      <c r="P15" s="14"/>
      <c r="Q15" s="17">
        <f>+'KU_Summary - Reserve - P2 (REG)'!Q15</f>
        <v>0</v>
      </c>
      <c r="R15" s="19"/>
      <c r="S15" s="17">
        <f>+'KU_Summary - Reserve - P2 (REG)'!S15</f>
        <v>0</v>
      </c>
      <c r="T15" s="19"/>
      <c r="U15" s="19">
        <f t="shared" si="0"/>
        <v>-309535475.81999999</v>
      </c>
      <c r="V15" s="19"/>
    </row>
    <row r="16" spans="1:22" x14ac:dyDescent="0.2">
      <c r="B16" s="3" t="s">
        <v>48</v>
      </c>
      <c r="C16" s="17">
        <f>+'KU_Summary - Reserve - P2 (REG)'!C16</f>
        <v>-32972.979999999996</v>
      </c>
      <c r="D16" s="14"/>
      <c r="E16" s="17">
        <f>+'KU_Summary - Reserve - P2 (REG)'!E16</f>
        <v>-20404.599999999999</v>
      </c>
      <c r="F16" s="14"/>
      <c r="G16" s="17">
        <f>+'KU_Summary - Reserve - P2 (REG)'!G16</f>
        <v>0</v>
      </c>
      <c r="H16" s="14"/>
      <c r="I16" s="17">
        <f>+'KU_Summary - Reserve - P2 (REG)'!I16</f>
        <v>0</v>
      </c>
      <c r="J16" s="14"/>
      <c r="K16" s="17">
        <f>+'KU_Summary - Reserve - P2 (REG)'!K16</f>
        <v>0</v>
      </c>
      <c r="L16" s="14"/>
      <c r="M16" s="17">
        <f>+'KU_Summary - Reserve - P2 (REG)'!M16</f>
        <v>0</v>
      </c>
      <c r="N16" s="14"/>
      <c r="O16" s="17">
        <f>+'KU_Summary - Reserve - P2 (REG)'!O16</f>
        <v>0</v>
      </c>
      <c r="P16" s="14"/>
      <c r="Q16" s="17">
        <f>+'KU_Summary - Reserve - P2 (REG)'!Q16</f>
        <v>0</v>
      </c>
      <c r="R16" s="19"/>
      <c r="S16" s="17">
        <f>+'KU_Summary - Reserve - P2 (REG)'!S16</f>
        <v>0</v>
      </c>
      <c r="T16" s="19"/>
      <c r="U16" s="19">
        <f t="shared" si="0"/>
        <v>-53377.579999999994</v>
      </c>
      <c r="V16" s="19"/>
    </row>
    <row r="17" spans="1:22" x14ac:dyDescent="0.2">
      <c r="B17" s="3" t="s">
        <v>17</v>
      </c>
      <c r="C17" s="17">
        <f>+'KU_Summary - Reserve - P2 (REG)'!C17</f>
        <v>-1433175831.1800001</v>
      </c>
      <c r="D17" s="14"/>
      <c r="E17" s="17">
        <f>+'KU_Summary - Reserve - P2 (REG)'!E17</f>
        <v>-121310270.25</v>
      </c>
      <c r="F17" s="14"/>
      <c r="G17" s="17">
        <f>+'KU_Summary - Reserve - P2 (REG)'!G17</f>
        <v>14353801.390000001</v>
      </c>
      <c r="H17" s="14"/>
      <c r="I17" s="17">
        <f>+'KU_Summary - Reserve - P2 (REG)'!I17</f>
        <v>0</v>
      </c>
      <c r="J17" s="14"/>
      <c r="K17" s="17">
        <f>+'KU_Summary - Reserve - P2 (REG)'!K17</f>
        <v>0</v>
      </c>
      <c r="L17" s="14"/>
      <c r="M17" s="17">
        <f>+'KU_Summary - Reserve - P2 (REG)'!M17</f>
        <v>0</v>
      </c>
      <c r="N17" s="14"/>
      <c r="O17" s="17">
        <f>+'KU_Summary - Reserve - P2 (REG)'!O17</f>
        <v>0</v>
      </c>
      <c r="P17" s="14"/>
      <c r="Q17" s="17">
        <f>+'KU_Summary - Reserve - P2 (REG)'!Q17</f>
        <v>0</v>
      </c>
      <c r="R17" s="19"/>
      <c r="S17" s="17">
        <f>+'KU_Summary - Reserve - P2 (REG)'!S17</f>
        <v>0</v>
      </c>
      <c r="T17" s="19"/>
      <c r="U17" s="19">
        <f t="shared" si="0"/>
        <v>-1540132300.04</v>
      </c>
      <c r="V17" s="19"/>
    </row>
    <row r="18" spans="1:22" x14ac:dyDescent="0.2">
      <c r="B18" s="3" t="s">
        <v>49</v>
      </c>
      <c r="C18" s="17">
        <f>+'KU_Summary - Reserve - P2 (REG)'!C18</f>
        <v>-93356858.729999989</v>
      </c>
      <c r="D18" s="14"/>
      <c r="E18" s="17">
        <f>+'KU_Summary - Reserve - P2 (REG)'!E18</f>
        <v>-20831566.579999998</v>
      </c>
      <c r="F18" s="14"/>
      <c r="G18" s="17">
        <f>+'KU_Summary - Reserve - P2 (REG)'!G18</f>
        <v>203134</v>
      </c>
      <c r="H18" s="14"/>
      <c r="I18" s="17">
        <f>+'KU_Summary - Reserve - P2 (REG)'!I18</f>
        <v>0</v>
      </c>
      <c r="J18" s="14"/>
      <c r="K18" s="17">
        <f>+'KU_Summary - Reserve - P2 (REG)'!K18</f>
        <v>0</v>
      </c>
      <c r="L18" s="14"/>
      <c r="M18" s="17">
        <f>+'KU_Summary - Reserve - P2 (REG)'!M18</f>
        <v>0</v>
      </c>
      <c r="N18" s="14"/>
      <c r="O18" s="17">
        <f>+'KU_Summary - Reserve - P2 (REG)'!O18</f>
        <v>0</v>
      </c>
      <c r="P18" s="14"/>
      <c r="Q18" s="17">
        <f>+'KU_Summary - Reserve - P2 (REG)'!Q18</f>
        <v>0</v>
      </c>
      <c r="R18" s="19"/>
      <c r="S18" s="17">
        <f>+'KU_Summary - Reserve - P2 (REG)'!S18</f>
        <v>0</v>
      </c>
      <c r="T18" s="19"/>
      <c r="U18" s="19">
        <f t="shared" si="0"/>
        <v>-113985291.30999999</v>
      </c>
      <c r="V18" s="19"/>
    </row>
    <row r="19" spans="1:22" x14ac:dyDescent="0.2">
      <c r="B19" s="3" t="s">
        <v>18</v>
      </c>
      <c r="C19" s="17">
        <f>+'KU_Summary - Reserve - P2 (REG)'!C19</f>
        <v>-239527180.41999999</v>
      </c>
      <c r="D19" s="14"/>
      <c r="E19" s="17">
        <f>+'KU_Summary - Reserve - P2 (REG)'!E19</f>
        <v>-13091705.779999999</v>
      </c>
      <c r="F19" s="14"/>
      <c r="G19" s="17">
        <f>+'KU_Summary - Reserve - P2 (REG)'!G19</f>
        <v>12699756.27</v>
      </c>
      <c r="H19" s="14"/>
      <c r="I19" s="17">
        <f>+'KU_Summary - Reserve - P2 (REG)'!I19</f>
        <v>-123447.27</v>
      </c>
      <c r="J19" s="14"/>
      <c r="K19" s="17">
        <f>+'KU_Summary - Reserve - P2 (REG)'!K19</f>
        <v>0</v>
      </c>
      <c r="L19" s="14"/>
      <c r="M19" s="17">
        <f>+'KU_Summary - Reserve - P2 (REG)'!M19</f>
        <v>0</v>
      </c>
      <c r="N19" s="14"/>
      <c r="O19" s="17">
        <f>+'KU_Summary - Reserve - P2 (REG)'!O19</f>
        <v>0</v>
      </c>
      <c r="P19" s="14"/>
      <c r="Q19" s="17">
        <f>+'KU_Summary - Reserve - P2 (REG)'!Q19</f>
        <v>0</v>
      </c>
      <c r="R19" s="19"/>
      <c r="S19" s="17">
        <f>+'KU_Summary - Reserve - P2 (REG)'!S19</f>
        <v>0</v>
      </c>
      <c r="T19" s="19"/>
      <c r="U19" s="19">
        <f t="shared" si="0"/>
        <v>-240042577.19999999</v>
      </c>
      <c r="V19" s="19"/>
    </row>
    <row r="20" spans="1:22" x14ac:dyDescent="0.2">
      <c r="B20" s="3" t="s">
        <v>50</v>
      </c>
      <c r="C20" s="17">
        <f>+'KU_Summary - Reserve - P2 (REG)'!C20</f>
        <v>-53704.109999999993</v>
      </c>
      <c r="D20" s="14"/>
      <c r="E20" s="17">
        <f>+'KU_Summary - Reserve - P2 (REG)'!E20</f>
        <v>-19263.57</v>
      </c>
      <c r="F20" s="14"/>
      <c r="G20" s="17">
        <f>+'KU_Summary - Reserve - P2 (REG)'!G20</f>
        <v>0</v>
      </c>
      <c r="H20" s="14"/>
      <c r="I20" s="17">
        <f>+'KU_Summary - Reserve - P2 (REG)'!I20</f>
        <v>0</v>
      </c>
      <c r="J20" s="14"/>
      <c r="K20" s="17">
        <f>+'KU_Summary - Reserve - P2 (REG)'!K20</f>
        <v>0</v>
      </c>
      <c r="L20" s="14"/>
      <c r="M20" s="17">
        <f>+'KU_Summary - Reserve - P2 (REG)'!M20</f>
        <v>0</v>
      </c>
      <c r="N20" s="14"/>
      <c r="O20" s="17">
        <f>+'KU_Summary - Reserve - P2 (REG)'!O20</f>
        <v>0</v>
      </c>
      <c r="P20" s="14"/>
      <c r="Q20" s="17">
        <f>+'KU_Summary - Reserve - P2 (REG)'!Q20</f>
        <v>0</v>
      </c>
      <c r="R20" s="19"/>
      <c r="S20" s="17">
        <f>+'KU_Summary - Reserve - P2 (REG)'!S20</f>
        <v>0</v>
      </c>
      <c r="T20" s="19"/>
      <c r="U20" s="19">
        <f t="shared" si="0"/>
        <v>-72967.679999999993</v>
      </c>
      <c r="V20" s="19"/>
    </row>
    <row r="21" spans="1:22" x14ac:dyDescent="0.2">
      <c r="B21" s="3" t="s">
        <v>29</v>
      </c>
      <c r="C21" s="16">
        <f>+'KU_Summary - Reserve - P2 (REG)'!C21</f>
        <v>0</v>
      </c>
      <c r="D21" s="17"/>
      <c r="E21" s="16">
        <f>+'KU_Summary - Reserve - P2 (REG)'!E21</f>
        <v>0</v>
      </c>
      <c r="F21" s="17"/>
      <c r="G21" s="16">
        <f>+'KU_Summary - Reserve - P2 (REG)'!G21</f>
        <v>0</v>
      </c>
      <c r="H21" s="17"/>
      <c r="I21" s="16">
        <f>+'KU_Summary - Reserve - P2 (REG)'!I21</f>
        <v>0</v>
      </c>
      <c r="J21" s="17"/>
      <c r="K21" s="16">
        <f>+'KU_Summary - Reserve - P2 (REG)'!K21</f>
        <v>0</v>
      </c>
      <c r="L21" s="17"/>
      <c r="M21" s="16">
        <f>+'KU_Summary - Reserve - P2 (REG)'!M21</f>
        <v>0</v>
      </c>
      <c r="N21" s="17"/>
      <c r="O21" s="16">
        <f>+'KU_Summary - Reserve - P2 (REG)'!O21</f>
        <v>0</v>
      </c>
      <c r="P21" s="17"/>
      <c r="Q21" s="16">
        <f>+'KU_Summary - Reserve - P2 (REG)'!Q21</f>
        <v>0</v>
      </c>
      <c r="R21" s="26"/>
      <c r="S21" s="16">
        <f>+'KU_Summary - Reserve - P2 (REG)'!S21</f>
        <v>0</v>
      </c>
      <c r="T21" s="26"/>
      <c r="U21" s="27">
        <f t="shared" si="0"/>
        <v>0</v>
      </c>
      <c r="V21" s="26"/>
    </row>
    <row r="22" spans="1:22" x14ac:dyDescent="0.2">
      <c r="B22" s="20"/>
      <c r="C22" s="17">
        <f>SUM(C10:C21)</f>
        <v>-2606845093.75</v>
      </c>
      <c r="D22" s="17"/>
      <c r="E22" s="17">
        <f>SUM(E10:E21)</f>
        <v>-239469043.86999997</v>
      </c>
      <c r="F22" s="17"/>
      <c r="G22" s="17">
        <f>SUM(G10:G21)</f>
        <v>61543085.239999995</v>
      </c>
      <c r="H22" s="17"/>
      <c r="I22" s="17">
        <f>SUM(I10:I21)</f>
        <v>-27637.86000000003</v>
      </c>
      <c r="J22" s="17"/>
      <c r="K22" s="17">
        <f>SUM(K10:K21)</f>
        <v>0</v>
      </c>
      <c r="L22" s="17"/>
      <c r="M22" s="17">
        <f>SUM(M10:M21)</f>
        <v>0</v>
      </c>
      <c r="N22" s="17"/>
      <c r="O22" s="17">
        <f>SUM(O10:O21)</f>
        <v>0</v>
      </c>
      <c r="P22" s="17"/>
      <c r="Q22" s="17">
        <f>SUM(Q10:Q21)</f>
        <v>0</v>
      </c>
      <c r="R22" s="26"/>
      <c r="S22" s="17">
        <f>SUM(S10:S21)</f>
        <v>0</v>
      </c>
      <c r="T22" s="26"/>
      <c r="U22" s="17">
        <f>SUM(U10:U21)</f>
        <v>-2784798690.2399998</v>
      </c>
      <c r="V22" s="17"/>
    </row>
    <row r="23" spans="1:22" x14ac:dyDescent="0.2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6"/>
      <c r="R23" s="26"/>
      <c r="S23" s="26"/>
      <c r="T23" s="26"/>
      <c r="U23" s="26"/>
      <c r="V23" s="26"/>
    </row>
    <row r="24" spans="1:22" x14ac:dyDescent="0.2">
      <c r="A24" s="12" t="s">
        <v>51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x14ac:dyDescent="0.2">
      <c r="B25" s="3" t="s">
        <v>12</v>
      </c>
      <c r="C25" s="17">
        <f>+'KU_Summary - Reserve - P2 (REG)'!C25</f>
        <v>-223361288.31</v>
      </c>
      <c r="D25" s="17"/>
      <c r="E25" s="17">
        <f>+'KU_Summary - Reserve - P2 (REG)'!E25</f>
        <v>-10618871.59</v>
      </c>
      <c r="F25" s="17"/>
      <c r="G25" s="17">
        <f>+'KU_Summary - Reserve - P2 (REG)'!G25</f>
        <v>0</v>
      </c>
      <c r="H25" s="17"/>
      <c r="I25" s="17">
        <f>+'KU_Summary - Reserve - P2 (REG)'!I25</f>
        <v>44144.83</v>
      </c>
      <c r="J25" s="17"/>
      <c r="K25" s="17">
        <f>+'KU_Summary - Reserve - P2 (REG)'!K25</f>
        <v>0</v>
      </c>
      <c r="L25" s="17"/>
      <c r="M25" s="17">
        <f>+'KU_Summary - Reserve - P2 (REG)'!M25</f>
        <v>0</v>
      </c>
      <c r="N25" s="17"/>
      <c r="O25" s="17">
        <f>+'KU_Summary - Reserve - P2 (REG)'!O25</f>
        <v>7327480.5</v>
      </c>
      <c r="P25" s="17"/>
      <c r="Q25" s="17">
        <f>+'KU_Summary - Reserve - P2 (REG)'!Q25</f>
        <v>0</v>
      </c>
      <c r="R25" s="26"/>
      <c r="S25" s="17">
        <f>+'KU_Summary - Reserve - P2 (REG)'!S25</f>
        <v>-469483.01</v>
      </c>
      <c r="T25" s="26"/>
      <c r="U25" s="26">
        <f t="shared" ref="U25:U34" si="1">S25+Q25+O25+M25+I25+G25+E25+C25</f>
        <v>-227078017.58000001</v>
      </c>
      <c r="V25" s="26"/>
    </row>
    <row r="26" spans="1:22" x14ac:dyDescent="0.2">
      <c r="B26" s="3" t="s">
        <v>13</v>
      </c>
      <c r="C26" s="17">
        <f>+'KU_Summary - Reserve - P2 (REG)'!C26</f>
        <v>229453.61999999997</v>
      </c>
      <c r="D26" s="17"/>
      <c r="E26" s="17">
        <f>+'KU_Summary - Reserve - P2 (REG)'!E26</f>
        <v>-151724.42000000001</v>
      </c>
      <c r="F26" s="17"/>
      <c r="G26" s="17">
        <f>+'KU_Summary - Reserve - P2 (REG)'!G26</f>
        <v>0</v>
      </c>
      <c r="H26" s="17"/>
      <c r="I26" s="17">
        <f>+'KU_Summary - Reserve - P2 (REG)'!I26</f>
        <v>0</v>
      </c>
      <c r="J26" s="17"/>
      <c r="K26" s="17">
        <f>+'KU_Summary - Reserve - P2 (REG)'!K26</f>
        <v>0</v>
      </c>
      <c r="L26" s="17"/>
      <c r="M26" s="17">
        <f>+'KU_Summary - Reserve - P2 (REG)'!M26</f>
        <v>0</v>
      </c>
      <c r="N26" s="17"/>
      <c r="O26" s="17">
        <f>+'KU_Summary - Reserve - P2 (REG)'!O26</f>
        <v>29109.11</v>
      </c>
      <c r="P26" s="17"/>
      <c r="Q26" s="17">
        <f>+'KU_Summary - Reserve - P2 (REG)'!Q26</f>
        <v>0</v>
      </c>
      <c r="R26" s="26"/>
      <c r="S26" s="17">
        <f>+'KU_Summary - Reserve - P2 (REG)'!S26</f>
        <v>0</v>
      </c>
      <c r="T26" s="26"/>
      <c r="U26" s="19">
        <f t="shared" si="1"/>
        <v>106838.30999999995</v>
      </c>
      <c r="V26" s="19"/>
    </row>
    <row r="27" spans="1:22" x14ac:dyDescent="0.2">
      <c r="B27" s="3" t="s">
        <v>14</v>
      </c>
      <c r="C27" s="17">
        <f>+'KU_Summary - Reserve - P2 (REG)'!C27</f>
        <v>264266.51999999996</v>
      </c>
      <c r="D27" s="17"/>
      <c r="E27" s="17">
        <f>+'KU_Summary - Reserve - P2 (REG)'!E27</f>
        <v>-40652.58</v>
      </c>
      <c r="F27" s="17"/>
      <c r="G27" s="17">
        <f>+'KU_Summary - Reserve - P2 (REG)'!G27</f>
        <v>0</v>
      </c>
      <c r="H27" s="17"/>
      <c r="I27" s="17">
        <f>+'KU_Summary - Reserve - P2 (REG)'!I27</f>
        <v>0</v>
      </c>
      <c r="J27" s="17"/>
      <c r="K27" s="17">
        <f>+'KU_Summary - Reserve - P2 (REG)'!K27</f>
        <v>0</v>
      </c>
      <c r="L27" s="17"/>
      <c r="M27" s="17">
        <f>+'KU_Summary - Reserve - P2 (REG)'!M27</f>
        <v>0</v>
      </c>
      <c r="N27" s="17"/>
      <c r="O27" s="17">
        <f>+'KU_Summary - Reserve - P2 (REG)'!O27</f>
        <v>0</v>
      </c>
      <c r="P27" s="17"/>
      <c r="Q27" s="17">
        <f>+'KU_Summary - Reserve - P2 (REG)'!Q27</f>
        <v>0</v>
      </c>
      <c r="R27" s="26"/>
      <c r="S27" s="17">
        <f>+'KU_Summary - Reserve - P2 (REG)'!S27</f>
        <v>0</v>
      </c>
      <c r="T27" s="26"/>
      <c r="U27" s="26">
        <f t="shared" si="1"/>
        <v>223613.93999999994</v>
      </c>
      <c r="V27" s="26"/>
    </row>
    <row r="28" spans="1:22" x14ac:dyDescent="0.2">
      <c r="B28" s="3" t="s">
        <v>16</v>
      </c>
      <c r="C28" s="17">
        <f>+'KU_Summary - Reserve - P2 (REG)'!C28</f>
        <v>-6617473.1799999997</v>
      </c>
      <c r="D28" s="17"/>
      <c r="E28" s="17">
        <f>+'KU_Summary - Reserve - P2 (REG)'!E28</f>
        <v>-2498863.91</v>
      </c>
      <c r="F28" s="17"/>
      <c r="G28" s="17">
        <f>+'KU_Summary - Reserve - P2 (REG)'!G28</f>
        <v>0</v>
      </c>
      <c r="H28" s="17"/>
      <c r="I28" s="17">
        <f>+'KU_Summary - Reserve - P2 (REG)'!I28</f>
        <v>0</v>
      </c>
      <c r="J28" s="17"/>
      <c r="K28" s="17">
        <f>+'KU_Summary - Reserve - P2 (REG)'!K28</f>
        <v>0</v>
      </c>
      <c r="L28" s="17"/>
      <c r="M28" s="17">
        <f>+'KU_Summary - Reserve - P2 (REG)'!M28</f>
        <v>0</v>
      </c>
      <c r="N28" s="17"/>
      <c r="O28" s="17">
        <f>+'KU_Summary - Reserve - P2 (REG)'!O28</f>
        <v>411258.45</v>
      </c>
      <c r="P28" s="17"/>
      <c r="Q28" s="17">
        <f>+'KU_Summary - Reserve - P2 (REG)'!Q28</f>
        <v>0</v>
      </c>
      <c r="R28" s="26"/>
      <c r="S28" s="17">
        <f>+'KU_Summary - Reserve - P2 (REG)'!S28</f>
        <v>0</v>
      </c>
      <c r="T28" s="26"/>
      <c r="U28" s="26">
        <f t="shared" si="1"/>
        <v>-8705078.6400000006</v>
      </c>
      <c r="V28" s="26"/>
    </row>
    <row r="29" spans="1:22" x14ac:dyDescent="0.2">
      <c r="B29" s="3" t="s">
        <v>48</v>
      </c>
      <c r="C29" s="17">
        <v>0</v>
      </c>
      <c r="D29" s="17"/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6"/>
      <c r="S29" s="17"/>
      <c r="T29" s="26"/>
      <c r="U29" s="26">
        <f t="shared" si="1"/>
        <v>0</v>
      </c>
      <c r="V29" s="26"/>
    </row>
    <row r="30" spans="1:22" x14ac:dyDescent="0.2">
      <c r="B30" s="3" t="s">
        <v>17</v>
      </c>
      <c r="C30" s="17">
        <f>+'KU_Summary - Reserve - P2 (REG)'!C29</f>
        <v>-173900143.88</v>
      </c>
      <c r="D30" s="17"/>
      <c r="E30" s="17">
        <f>+'KU_Summary - Reserve - P2 (REG)'!E29</f>
        <v>-6728948.2599999998</v>
      </c>
      <c r="F30" s="17"/>
      <c r="G30" s="17">
        <f>+'KU_Summary - Reserve - P2 (REG)'!G29</f>
        <v>0</v>
      </c>
      <c r="H30" s="17"/>
      <c r="I30" s="17">
        <f>+'KU_Summary - Reserve - P2 (REG)'!I29</f>
        <v>0</v>
      </c>
      <c r="J30" s="17"/>
      <c r="K30" s="17">
        <f>+'KU_Summary - Reserve - P2 (REG)'!K29</f>
        <v>0</v>
      </c>
      <c r="L30" s="17"/>
      <c r="M30" s="17">
        <f>+'KU_Summary - Reserve - P2 (REG)'!M29</f>
        <v>0</v>
      </c>
      <c r="N30" s="17"/>
      <c r="O30" s="17">
        <f>+'KU_Summary - Reserve - P2 (REG)'!O29</f>
        <v>7763019.1799999997</v>
      </c>
      <c r="P30" s="17"/>
      <c r="Q30" s="17">
        <f>+'KU_Summary - Reserve - P2 (REG)'!Q29</f>
        <v>0</v>
      </c>
      <c r="R30" s="26"/>
      <c r="S30" s="17">
        <f>+'KU_Summary - Reserve - P2 (REG)'!S29</f>
        <v>-151771.82999999999</v>
      </c>
      <c r="T30" s="26"/>
      <c r="U30" s="26">
        <f t="shared" si="1"/>
        <v>-173017844.78999999</v>
      </c>
      <c r="V30" s="26"/>
    </row>
    <row r="31" spans="1:22" x14ac:dyDescent="0.2">
      <c r="B31" s="3" t="s">
        <v>49</v>
      </c>
      <c r="C31" s="17">
        <v>0</v>
      </c>
      <c r="D31" s="17"/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6"/>
      <c r="S31" s="17"/>
      <c r="T31" s="26"/>
      <c r="U31" s="26">
        <f t="shared" si="1"/>
        <v>0</v>
      </c>
      <c r="V31" s="26"/>
    </row>
    <row r="32" spans="1:22" x14ac:dyDescent="0.2">
      <c r="B32" s="3" t="s">
        <v>18</v>
      </c>
      <c r="C32" s="17">
        <f>+'KU_Summary - Reserve - P2 (REG)'!C30</f>
        <v>-126974304.68000001</v>
      </c>
      <c r="D32" s="17"/>
      <c r="E32" s="17">
        <f>+'KU_Summary - Reserve - P2 (REG)'!E30</f>
        <v>-6229923.0499999998</v>
      </c>
      <c r="F32" s="17"/>
      <c r="G32" s="17">
        <f>+'KU_Summary - Reserve - P2 (REG)'!G30</f>
        <v>0</v>
      </c>
      <c r="H32" s="17"/>
      <c r="I32" s="17">
        <f>+'KU_Summary - Reserve - P2 (REG)'!I30</f>
        <v>-44144.83</v>
      </c>
      <c r="J32" s="17"/>
      <c r="K32" s="17">
        <f>+'KU_Summary - Reserve - P2 (REG)'!K30</f>
        <v>0</v>
      </c>
      <c r="L32" s="17"/>
      <c r="M32" s="17">
        <f>+'KU_Summary - Reserve - P2 (REG)'!M30</f>
        <v>0</v>
      </c>
      <c r="N32" s="17"/>
      <c r="O32" s="17">
        <f>+'KU_Summary - Reserve - P2 (REG)'!O30</f>
        <v>5457492.21</v>
      </c>
      <c r="P32" s="17"/>
      <c r="Q32" s="17">
        <f>+'KU_Summary - Reserve - P2 (REG)'!Q30</f>
        <v>0</v>
      </c>
      <c r="R32" s="26"/>
      <c r="S32" s="17">
        <f>+'KU_Summary - Reserve - P2 (REG)'!S30</f>
        <v>-299309.67</v>
      </c>
      <c r="T32" s="26"/>
      <c r="U32" s="26">
        <f t="shared" si="1"/>
        <v>-128090190.02000001</v>
      </c>
      <c r="V32" s="26"/>
    </row>
    <row r="33" spans="1:22" x14ac:dyDescent="0.2">
      <c r="B33" s="43" t="s">
        <v>50</v>
      </c>
      <c r="C33" s="17">
        <f>+'KU_Summary - Reserve - P2 (REG)'!C31</f>
        <v>0</v>
      </c>
      <c r="D33" s="17"/>
      <c r="E33" s="17">
        <v>0</v>
      </c>
      <c r="F33" s="17"/>
      <c r="G33" s="17">
        <f>+'KU_Summary - Reserve - P2 (REG)'!G31</f>
        <v>0</v>
      </c>
      <c r="H33" s="17"/>
      <c r="I33" s="17">
        <f>+'KU_Summary - Reserve - P2 (REG)'!I31</f>
        <v>0</v>
      </c>
      <c r="J33" s="17"/>
      <c r="K33" s="17">
        <f>+'KU_Summary - Reserve - P2 (REG)'!K31</f>
        <v>0</v>
      </c>
      <c r="L33" s="17"/>
      <c r="M33" s="17">
        <f>+'KU_Summary - Reserve - P2 (REG)'!M31</f>
        <v>0</v>
      </c>
      <c r="N33" s="17"/>
      <c r="O33" s="17">
        <f>+'KU_Summary - Reserve - P2 (REG)'!O31</f>
        <v>0</v>
      </c>
      <c r="P33" s="17"/>
      <c r="Q33" s="17">
        <f>+'KU_Summary - Reserve - P2 (REG)'!Q31</f>
        <v>0</v>
      </c>
      <c r="R33" s="26"/>
      <c r="S33" s="17">
        <f>+'KU_Summary - Reserve - P2 (REG)'!S31</f>
        <v>0</v>
      </c>
      <c r="T33" s="26"/>
      <c r="U33" s="26">
        <f>S33+Q33+O33+M33+I33+G33+E33+C33</f>
        <v>0</v>
      </c>
      <c r="V33" s="26"/>
    </row>
    <row r="34" spans="1:22" x14ac:dyDescent="0.2">
      <c r="B34" s="3" t="s">
        <v>29</v>
      </c>
      <c r="C34" s="16">
        <f>+'KU_Summary - Reserve - P2 (REG)'!C31</f>
        <v>0</v>
      </c>
      <c r="D34" s="17"/>
      <c r="E34" s="16">
        <f>+'KU_Summary - Reserve - P2 (REG)'!E31</f>
        <v>0</v>
      </c>
      <c r="F34" s="17"/>
      <c r="G34" s="16">
        <f>+'KU_Summary - Reserve - P2 (REG)'!G31</f>
        <v>0</v>
      </c>
      <c r="H34" s="17"/>
      <c r="I34" s="16">
        <f>+'KU_Summary - Reserve - P2 (REG)'!I31</f>
        <v>0</v>
      </c>
      <c r="J34" s="17"/>
      <c r="K34" s="16">
        <f>+'KU_Summary - Reserve - P2 (REG)'!K31</f>
        <v>0</v>
      </c>
      <c r="L34" s="17"/>
      <c r="M34" s="16">
        <f>+'KU_Summary - Reserve - P2 (REG)'!M31</f>
        <v>0</v>
      </c>
      <c r="N34" s="17"/>
      <c r="O34" s="16">
        <f>+'KU_Summary - Reserve - P2 (REG)'!O31</f>
        <v>0</v>
      </c>
      <c r="P34" s="17"/>
      <c r="Q34" s="16">
        <f>+'KU_Summary - Reserve - P2 (REG)'!Q31</f>
        <v>0</v>
      </c>
      <c r="R34" s="26"/>
      <c r="S34" s="16">
        <f>+'KU_Summary - Reserve - P2 (REG)'!S31</f>
        <v>0</v>
      </c>
      <c r="T34" s="26"/>
      <c r="U34" s="27">
        <f t="shared" si="1"/>
        <v>0</v>
      </c>
      <c r="V34" s="26"/>
    </row>
    <row r="35" spans="1:22" x14ac:dyDescent="0.2">
      <c r="B35" s="20"/>
      <c r="C35" s="17">
        <f>SUM(C25:C34)</f>
        <v>-530359489.91000003</v>
      </c>
      <c r="D35" s="17"/>
      <c r="E35" s="17">
        <f>SUM(E25:E34)</f>
        <v>-26268983.809999999</v>
      </c>
      <c r="F35" s="17"/>
      <c r="G35" s="17">
        <f>SUM(G25:G34)</f>
        <v>0</v>
      </c>
      <c r="H35" s="17"/>
      <c r="I35" s="17">
        <f>SUM(I25:I34)</f>
        <v>0</v>
      </c>
      <c r="J35" s="17"/>
      <c r="K35" s="17">
        <f>SUM(K25:K34)</f>
        <v>0</v>
      </c>
      <c r="L35" s="17"/>
      <c r="M35" s="17">
        <f>SUM(M25:M34)</f>
        <v>0</v>
      </c>
      <c r="N35" s="17"/>
      <c r="O35" s="17">
        <f>SUM(O25:O34)</f>
        <v>20988359.449999999</v>
      </c>
      <c r="P35" s="17"/>
      <c r="Q35" s="17">
        <f>SUM(Q25:Q34)</f>
        <v>0</v>
      </c>
      <c r="R35" s="26"/>
      <c r="S35" s="17">
        <f>SUM(S25:S34)</f>
        <v>-920564.51</v>
      </c>
      <c r="T35" s="26"/>
      <c r="U35" s="17">
        <f>SUM(U25:U34)</f>
        <v>-536560678.77999997</v>
      </c>
      <c r="V35" s="17"/>
    </row>
    <row r="36" spans="1:22" x14ac:dyDescent="0.2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x14ac:dyDescent="0.2">
      <c r="A37" s="12" t="s">
        <v>52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x14ac:dyDescent="0.2">
      <c r="B38" s="3" t="s">
        <v>12</v>
      </c>
      <c r="C38" s="17">
        <f>+'KU_Summary - Reserve - P2 (REG)'!C35</f>
        <v>51879922.400000013</v>
      </c>
      <c r="D38" s="17"/>
      <c r="E38" s="17">
        <f>+'KU_Summary - Reserve - P2 (REG)'!E35</f>
        <v>1441808.22</v>
      </c>
      <c r="F38" s="17"/>
      <c r="G38" s="17">
        <f>+'KU_Summary - Reserve - P2 (REG)'!G35</f>
        <v>0</v>
      </c>
      <c r="H38" s="17"/>
      <c r="I38" s="17">
        <f>+'KU_Summary - Reserve - P2 (REG)'!I35</f>
        <v>0</v>
      </c>
      <c r="J38" s="17"/>
      <c r="K38" s="17">
        <f>+'KU_Summary - Reserve - P2 (REG)'!K35</f>
        <v>0</v>
      </c>
      <c r="L38" s="17"/>
      <c r="M38" s="17">
        <f>+'KU_Summary - Reserve - P2 (REG)'!M35</f>
        <v>0</v>
      </c>
      <c r="N38" s="17"/>
      <c r="O38" s="17">
        <f>+'KU_Summary - Reserve - P2 (REG)'!O35</f>
        <v>0</v>
      </c>
      <c r="P38" s="17"/>
      <c r="Q38" s="17">
        <f>+'KU_Summary - Reserve - P2 (REG)'!Q35</f>
        <v>-437076.06</v>
      </c>
      <c r="R38" s="26"/>
      <c r="S38" s="17">
        <f>+'KU_Summary - Reserve - P2 (REG)'!S35</f>
        <v>0</v>
      </c>
      <c r="T38" s="26"/>
      <c r="U38" s="26">
        <f t="shared" ref="U38:U44" si="2">S38+Q38+O38+M38+I38+G38+E38+C38</f>
        <v>52884654.56000001</v>
      </c>
      <c r="V38" s="26"/>
    </row>
    <row r="39" spans="1:22" x14ac:dyDescent="0.2">
      <c r="B39" s="3" t="s">
        <v>13</v>
      </c>
      <c r="C39" s="17">
        <f>+'KU_Summary - Reserve - P2 (REG)'!C36</f>
        <v>55856.760000000024</v>
      </c>
      <c r="D39" s="17"/>
      <c r="E39" s="17">
        <f>+'KU_Summary - Reserve - P2 (REG)'!E36</f>
        <v>0</v>
      </c>
      <c r="F39" s="17"/>
      <c r="G39" s="17">
        <f>+'KU_Summary - Reserve - P2 (REG)'!G36</f>
        <v>0</v>
      </c>
      <c r="H39" s="17"/>
      <c r="I39" s="17">
        <f>+'KU_Summary - Reserve - P2 (REG)'!I36</f>
        <v>0</v>
      </c>
      <c r="J39" s="17"/>
      <c r="K39" s="17">
        <f>+'KU_Summary - Reserve - P2 (REG)'!K36</f>
        <v>0</v>
      </c>
      <c r="L39" s="17"/>
      <c r="M39" s="17">
        <f>+'KU_Summary - Reserve - P2 (REG)'!M36</f>
        <v>0</v>
      </c>
      <c r="N39" s="17"/>
      <c r="O39" s="17">
        <f>+'KU_Summary - Reserve - P2 (REG)'!O36</f>
        <v>0</v>
      </c>
      <c r="P39" s="17"/>
      <c r="Q39" s="17">
        <f>+'KU_Summary - Reserve - P2 (REG)'!Q36</f>
        <v>0</v>
      </c>
      <c r="R39" s="26"/>
      <c r="S39" s="17">
        <f>+'KU_Summary - Reserve - P2 (REG)'!S36</f>
        <v>0</v>
      </c>
      <c r="T39" s="26"/>
      <c r="U39" s="26">
        <f>S39+Q39+O39+M39+I39+G39+E39+C39</f>
        <v>55856.760000000024</v>
      </c>
      <c r="V39" s="26"/>
    </row>
    <row r="40" spans="1:22" x14ac:dyDescent="0.2">
      <c r="B40" s="3" t="s">
        <v>14</v>
      </c>
      <c r="C40" s="17">
        <f>+'KU_Summary - Reserve - P2 (REG)'!C37</f>
        <v>68129.13</v>
      </c>
      <c r="D40" s="17"/>
      <c r="E40" s="17">
        <f>+'KU_Summary - Reserve - P2 (REG)'!E37</f>
        <v>5618.64</v>
      </c>
      <c r="F40" s="17"/>
      <c r="G40" s="17">
        <f>+'KU_Summary - Reserve - P2 (REG)'!G37</f>
        <v>0</v>
      </c>
      <c r="H40" s="17"/>
      <c r="I40" s="17">
        <f>+'KU_Summary - Reserve - P2 (REG)'!I37</f>
        <v>0</v>
      </c>
      <c r="J40" s="17"/>
      <c r="K40" s="17">
        <f>+'KU_Summary - Reserve - P2 (REG)'!K37</f>
        <v>0</v>
      </c>
      <c r="L40" s="17"/>
      <c r="M40" s="17">
        <f>+'KU_Summary - Reserve - P2 (REG)'!M37</f>
        <v>0</v>
      </c>
      <c r="N40" s="17"/>
      <c r="O40" s="17">
        <f>+'KU_Summary - Reserve - P2 (REG)'!O37</f>
        <v>0</v>
      </c>
      <c r="P40" s="17"/>
      <c r="Q40" s="17">
        <f>+'KU_Summary - Reserve - P2 (REG)'!Q37</f>
        <v>-23675</v>
      </c>
      <c r="R40" s="26"/>
      <c r="S40" s="17">
        <f>+'KU_Summary - Reserve - P2 (REG)'!S37</f>
        <v>0</v>
      </c>
      <c r="T40" s="26"/>
      <c r="U40" s="26">
        <f t="shared" si="2"/>
        <v>50072.770000000004</v>
      </c>
      <c r="V40" s="26"/>
    </row>
    <row r="41" spans="1:22" x14ac:dyDescent="0.2">
      <c r="B41" s="3" t="s">
        <v>16</v>
      </c>
      <c r="C41" s="17">
        <f>+'KU_Summary - Reserve - P2 (REG)'!C38</f>
        <v>1457118.38</v>
      </c>
      <c r="D41" s="17"/>
      <c r="E41" s="17">
        <f>+'KU_Summary - Reserve - P2 (REG)'!E38</f>
        <v>310563</v>
      </c>
      <c r="F41" s="17"/>
      <c r="G41" s="17">
        <f>+'KU_Summary - Reserve - P2 (REG)'!G38</f>
        <v>0</v>
      </c>
      <c r="H41" s="17"/>
      <c r="I41" s="17">
        <f>+'KU_Summary - Reserve - P2 (REG)'!I38</f>
        <v>0</v>
      </c>
      <c r="J41" s="17"/>
      <c r="K41" s="17">
        <f>+'KU_Summary - Reserve - P2 (REG)'!K38</f>
        <v>0</v>
      </c>
      <c r="L41" s="17"/>
      <c r="M41" s="17">
        <f>+'KU_Summary - Reserve - P2 (REG)'!M38</f>
        <v>0</v>
      </c>
      <c r="N41" s="17"/>
      <c r="O41" s="17">
        <f>+'KU_Summary - Reserve - P2 (REG)'!O38</f>
        <v>0</v>
      </c>
      <c r="P41" s="17"/>
      <c r="Q41" s="17">
        <f>+'KU_Summary - Reserve - P2 (REG)'!Q38</f>
        <v>0</v>
      </c>
      <c r="R41" s="26"/>
      <c r="S41" s="17">
        <f>+'KU_Summary - Reserve - P2 (REG)'!S38</f>
        <v>0</v>
      </c>
      <c r="T41" s="26"/>
      <c r="U41" s="26">
        <f t="shared" si="2"/>
        <v>1767681.38</v>
      </c>
      <c r="V41" s="26"/>
    </row>
    <row r="42" spans="1:22" x14ac:dyDescent="0.2">
      <c r="B42" s="3" t="s">
        <v>17</v>
      </c>
      <c r="C42" s="17">
        <f>+'KU_Summary - Reserve - P2 (REG)'!C39</f>
        <v>32521675.160000008</v>
      </c>
      <c r="D42" s="17"/>
      <c r="E42" s="17">
        <f>+'KU_Summary - Reserve - P2 (REG)'!E39</f>
        <v>2137534.7999999998</v>
      </c>
      <c r="F42" s="17"/>
      <c r="G42" s="17">
        <f>+'KU_Summary - Reserve - P2 (REG)'!G39</f>
        <v>0</v>
      </c>
      <c r="H42" s="17"/>
      <c r="I42" s="17">
        <f>+'KU_Summary - Reserve - P2 (REG)'!I39</f>
        <v>0</v>
      </c>
      <c r="J42" s="17"/>
      <c r="K42" s="17">
        <f>+'KU_Summary - Reserve - P2 (REG)'!K39</f>
        <v>0</v>
      </c>
      <c r="L42" s="17"/>
      <c r="M42" s="17">
        <f>+'KU_Summary - Reserve - P2 (REG)'!M39</f>
        <v>0</v>
      </c>
      <c r="N42" s="17"/>
      <c r="O42" s="17">
        <f>+'KU_Summary - Reserve - P2 (REG)'!O39</f>
        <v>0</v>
      </c>
      <c r="P42" s="17"/>
      <c r="Q42" s="17">
        <f>+'KU_Summary - Reserve - P2 (REG)'!Q39</f>
        <v>-93042.37</v>
      </c>
      <c r="R42" s="26"/>
      <c r="S42" s="17">
        <f>+'KU_Summary - Reserve - P2 (REG)'!S39</f>
        <v>0</v>
      </c>
      <c r="T42" s="26"/>
      <c r="U42" s="26">
        <f t="shared" si="2"/>
        <v>34566167.590000004</v>
      </c>
      <c r="V42" s="26"/>
    </row>
    <row r="43" spans="1:22" x14ac:dyDescent="0.2">
      <c r="B43" s="3" t="s">
        <v>18</v>
      </c>
      <c r="C43" s="17">
        <f>+'KU_Summary - Reserve - P2 (REG)'!C40</f>
        <v>24444848.720000003</v>
      </c>
      <c r="D43" s="17"/>
      <c r="E43" s="17">
        <f>+'KU_Summary - Reserve - P2 (REG)'!E40</f>
        <v>740838.21</v>
      </c>
      <c r="F43" s="17"/>
      <c r="G43" s="17">
        <f>+'KU_Summary - Reserve - P2 (REG)'!G40</f>
        <v>0</v>
      </c>
      <c r="H43" s="17"/>
      <c r="I43" s="17">
        <f>+'KU_Summary - Reserve - P2 (REG)'!I40</f>
        <v>0</v>
      </c>
      <c r="J43" s="17"/>
      <c r="K43" s="17">
        <f>+'KU_Summary - Reserve - P2 (REG)'!K40</f>
        <v>0</v>
      </c>
      <c r="L43" s="17"/>
      <c r="M43" s="17">
        <f>+'KU_Summary - Reserve - P2 (REG)'!M40</f>
        <v>0</v>
      </c>
      <c r="N43" s="17"/>
      <c r="O43" s="17">
        <f>+'KU_Summary - Reserve - P2 (REG)'!O40</f>
        <v>0</v>
      </c>
      <c r="P43" s="17"/>
      <c r="Q43" s="17">
        <f>+'KU_Summary - Reserve - P2 (REG)'!Q40</f>
        <v>-52231.96</v>
      </c>
      <c r="R43" s="26"/>
      <c r="S43" s="17">
        <f>+'KU_Summary - Reserve - P2 (REG)'!S40</f>
        <v>0</v>
      </c>
      <c r="T43" s="26"/>
      <c r="U43" s="26">
        <f t="shared" si="2"/>
        <v>25133454.970000003</v>
      </c>
      <c r="V43" s="26"/>
    </row>
    <row r="44" spans="1:22" x14ac:dyDescent="0.2">
      <c r="B44" s="3" t="s">
        <v>29</v>
      </c>
      <c r="C44" s="16">
        <f>+'KU_Summary - Reserve - P2 (REG)'!C41</f>
        <v>0</v>
      </c>
      <c r="D44" s="17"/>
      <c r="E44" s="16">
        <f>+'KU_Summary - Reserve - P2 (REG)'!E41</f>
        <v>0</v>
      </c>
      <c r="F44" s="17"/>
      <c r="G44" s="16">
        <f>+'KU_Summary - Reserve - P2 (REG)'!G41</f>
        <v>0</v>
      </c>
      <c r="H44" s="17"/>
      <c r="I44" s="16">
        <f>+'KU_Summary - Reserve - P2 (REG)'!I41</f>
        <v>0</v>
      </c>
      <c r="J44" s="17"/>
      <c r="K44" s="16">
        <f>+'KU_Summary - Reserve - P2 (REG)'!K41</f>
        <v>0</v>
      </c>
      <c r="L44" s="17"/>
      <c r="M44" s="16">
        <f>+'KU_Summary - Reserve - P2 (REG)'!M41</f>
        <v>0</v>
      </c>
      <c r="N44" s="17"/>
      <c r="O44" s="16">
        <f>+'KU_Summary - Reserve - P2 (REG)'!O41</f>
        <v>0</v>
      </c>
      <c r="P44" s="17"/>
      <c r="Q44" s="16">
        <f>+'KU_Summary - Reserve - P2 (REG)'!Q41</f>
        <v>0</v>
      </c>
      <c r="R44" s="26"/>
      <c r="S44" s="16">
        <f>+'KU_Summary - Reserve - P2 (REG)'!S41</f>
        <v>0</v>
      </c>
      <c r="T44" s="26"/>
      <c r="U44" s="27">
        <f t="shared" si="2"/>
        <v>0</v>
      </c>
      <c r="V44" s="26"/>
    </row>
    <row r="45" spans="1:22" x14ac:dyDescent="0.2">
      <c r="B45" s="20"/>
      <c r="C45" s="17">
        <f>SUM(C38:C44)</f>
        <v>110427550.55000003</v>
      </c>
      <c r="D45" s="17"/>
      <c r="E45" s="17">
        <f>SUM(E38:E44)</f>
        <v>4636362.8699999992</v>
      </c>
      <c r="F45" s="17"/>
      <c r="G45" s="17">
        <f>SUM(G38:G44)</f>
        <v>0</v>
      </c>
      <c r="H45" s="17"/>
      <c r="I45" s="17">
        <f>SUM(I38:I44)</f>
        <v>0</v>
      </c>
      <c r="J45" s="17"/>
      <c r="K45" s="17">
        <f>SUM(K38:K44)</f>
        <v>0</v>
      </c>
      <c r="L45" s="17"/>
      <c r="M45" s="17">
        <f>SUM(M38:M44)</f>
        <v>0</v>
      </c>
      <c r="N45" s="17"/>
      <c r="O45" s="17">
        <f>SUM(O38:O44)</f>
        <v>0</v>
      </c>
      <c r="P45" s="17"/>
      <c r="Q45" s="17">
        <f>SUM(Q38:Q44)</f>
        <v>-606025.3899999999</v>
      </c>
      <c r="R45" s="26"/>
      <c r="S45" s="17">
        <f>SUM(S38:S44)</f>
        <v>0</v>
      </c>
      <c r="T45" s="26"/>
      <c r="U45" s="17">
        <f>SUM(U38:U44)</f>
        <v>114457888.03000002</v>
      </c>
      <c r="V45" s="17"/>
    </row>
    <row r="46" spans="1:22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x14ac:dyDescent="0.2">
      <c r="A47" s="12" t="s">
        <v>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x14ac:dyDescent="0.2">
      <c r="A48" s="12"/>
      <c r="B48" s="3" t="s">
        <v>12</v>
      </c>
      <c r="C48" s="19">
        <f>C10+C25+C38</f>
        <v>-662153873.81000006</v>
      </c>
      <c r="D48" s="19"/>
      <c r="E48" s="19">
        <f>E10+E25+E38</f>
        <v>-44926213.840000004</v>
      </c>
      <c r="F48" s="19"/>
      <c r="G48" s="19">
        <f>G10+G25+G38</f>
        <v>25441207.449999999</v>
      </c>
      <c r="H48" s="19"/>
      <c r="I48" s="19">
        <f>I10+I25+I38</f>
        <v>153213.33000000002</v>
      </c>
      <c r="J48" s="19"/>
      <c r="K48" s="19">
        <f>K10+K25+K38</f>
        <v>0</v>
      </c>
      <c r="L48" s="19"/>
      <c r="M48" s="19">
        <f>M10+M25+M38</f>
        <v>0</v>
      </c>
      <c r="N48" s="19"/>
      <c r="O48" s="19">
        <f>O10+O25+O38</f>
        <v>7327480.5</v>
      </c>
      <c r="P48" s="19"/>
      <c r="Q48" s="19">
        <f>Q10+Q25+Q38</f>
        <v>-437076.06</v>
      </c>
      <c r="R48" s="19"/>
      <c r="S48" s="19">
        <f>S10+S25+S38</f>
        <v>-469483.01</v>
      </c>
      <c r="T48" s="19"/>
      <c r="U48" s="26">
        <f>SUM(C48:T48)</f>
        <v>-675064745.43999994</v>
      </c>
      <c r="V48" s="19"/>
    </row>
    <row r="49" spans="1:22" x14ac:dyDescent="0.2">
      <c r="A49" s="12"/>
      <c r="B49" s="3" t="s">
        <v>46</v>
      </c>
      <c r="C49" s="19">
        <f>C11</f>
        <v>-124497.79999999996</v>
      </c>
      <c r="D49" s="19"/>
      <c r="E49" s="19">
        <f>E11</f>
        <v>-2559.9499999999998</v>
      </c>
      <c r="F49" s="19"/>
      <c r="G49" s="19">
        <f>G11</f>
        <v>1700.75</v>
      </c>
      <c r="H49" s="19"/>
      <c r="I49" s="19">
        <f>I11</f>
        <v>0</v>
      </c>
      <c r="J49" s="19"/>
      <c r="K49" s="19">
        <f>K11</f>
        <v>0</v>
      </c>
      <c r="L49" s="19"/>
      <c r="M49" s="19">
        <f>M11</f>
        <v>0</v>
      </c>
      <c r="N49" s="19"/>
      <c r="O49" s="19">
        <f>O11</f>
        <v>0</v>
      </c>
      <c r="P49" s="19"/>
      <c r="Q49" s="19">
        <f>Q11</f>
        <v>0</v>
      </c>
      <c r="R49" s="19"/>
      <c r="S49" s="19">
        <f>S11</f>
        <v>0</v>
      </c>
      <c r="T49" s="19"/>
      <c r="U49" s="26">
        <f t="shared" ref="U49:U59" si="3">SUM(C49:T49)</f>
        <v>-125356.99999999996</v>
      </c>
      <c r="V49" s="19"/>
    </row>
    <row r="50" spans="1:22" x14ac:dyDescent="0.2">
      <c r="A50" s="12"/>
      <c r="B50" s="3" t="s">
        <v>13</v>
      </c>
      <c r="C50" s="19">
        <f>C12+C26+C39</f>
        <v>-60586978.010000005</v>
      </c>
      <c r="D50" s="19"/>
      <c r="E50" s="19">
        <f>E12+E26+E39</f>
        <v>-11625717.140000001</v>
      </c>
      <c r="F50" s="19"/>
      <c r="G50" s="19">
        <f>G12+G26+G39</f>
        <v>5739015.4199999999</v>
      </c>
      <c r="H50" s="19"/>
      <c r="I50" s="19">
        <f>I12+I26+I39</f>
        <v>-13259.090000000022</v>
      </c>
      <c r="J50" s="19"/>
      <c r="K50" s="19">
        <f>K12+K26+K39</f>
        <v>0</v>
      </c>
      <c r="L50" s="19"/>
      <c r="M50" s="19">
        <f>M12+M26+M39</f>
        <v>0</v>
      </c>
      <c r="N50" s="19"/>
      <c r="O50" s="19">
        <f>O12+O26+O39</f>
        <v>29109.11</v>
      </c>
      <c r="P50" s="19"/>
      <c r="Q50" s="19">
        <f>Q12+Q26+Q39</f>
        <v>0</v>
      </c>
      <c r="R50" s="19"/>
      <c r="S50" s="19">
        <f>S12+S26+S39</f>
        <v>0</v>
      </c>
      <c r="T50" s="19"/>
      <c r="U50" s="26">
        <f t="shared" si="3"/>
        <v>-66457829.710000008</v>
      </c>
      <c r="V50" s="19"/>
    </row>
    <row r="51" spans="1:22" x14ac:dyDescent="0.2">
      <c r="A51" s="12"/>
      <c r="B51" s="3" t="s">
        <v>14</v>
      </c>
      <c r="C51" s="19">
        <f>C13+C27+C40</f>
        <v>-11829864.24</v>
      </c>
      <c r="D51" s="19"/>
      <c r="E51" s="19">
        <f>E13+E27+E40</f>
        <v>-1218295.5100000002</v>
      </c>
      <c r="F51" s="19"/>
      <c r="G51" s="19">
        <f>G13+G27+G40</f>
        <v>23675</v>
      </c>
      <c r="H51" s="19"/>
      <c r="I51" s="19">
        <f>I13+I27+I40</f>
        <v>0</v>
      </c>
      <c r="J51" s="19"/>
      <c r="K51" s="19">
        <f>K13+K27+K40</f>
        <v>0</v>
      </c>
      <c r="L51" s="19"/>
      <c r="M51" s="19">
        <f>M13+M27+M40</f>
        <v>0</v>
      </c>
      <c r="N51" s="19"/>
      <c r="O51" s="19">
        <f>O13+O27+O40</f>
        <v>0</v>
      </c>
      <c r="P51" s="19"/>
      <c r="Q51" s="19">
        <f>Q13+Q27+Q40</f>
        <v>-23675</v>
      </c>
      <c r="R51" s="19"/>
      <c r="S51" s="19">
        <f>S13+S27+S40</f>
        <v>0</v>
      </c>
      <c r="T51" s="19"/>
      <c r="U51" s="26">
        <f t="shared" si="3"/>
        <v>-13048159.75</v>
      </c>
      <c r="V51" s="19"/>
    </row>
    <row r="52" spans="1:22" x14ac:dyDescent="0.2">
      <c r="A52" s="12"/>
      <c r="B52" s="3" t="s">
        <v>47</v>
      </c>
      <c r="C52" s="19">
        <f>C14</f>
        <v>-19701.79</v>
      </c>
      <c r="D52" s="19"/>
      <c r="E52" s="19">
        <f>E14</f>
        <v>-17888.16</v>
      </c>
      <c r="F52" s="19"/>
      <c r="G52" s="19">
        <f>G14</f>
        <v>0</v>
      </c>
      <c r="H52" s="19"/>
      <c r="I52" s="19">
        <f>I14</f>
        <v>0</v>
      </c>
      <c r="J52" s="19"/>
      <c r="K52" s="19">
        <f>K14</f>
        <v>0</v>
      </c>
      <c r="L52" s="19"/>
      <c r="M52" s="19">
        <f>M14</f>
        <v>0</v>
      </c>
      <c r="N52" s="19"/>
      <c r="O52" s="19">
        <f>O14</f>
        <v>0</v>
      </c>
      <c r="P52" s="19"/>
      <c r="Q52" s="19">
        <f>Q14</f>
        <v>0</v>
      </c>
      <c r="R52" s="19"/>
      <c r="S52" s="19">
        <f>S14</f>
        <v>0</v>
      </c>
      <c r="T52" s="19"/>
      <c r="U52" s="26">
        <f t="shared" si="3"/>
        <v>-37589.949999999997</v>
      </c>
      <c r="V52" s="19"/>
    </row>
    <row r="53" spans="1:22" x14ac:dyDescent="0.2">
      <c r="A53" s="12"/>
      <c r="B53" s="3" t="s">
        <v>16</v>
      </c>
      <c r="C53" s="19">
        <f>C15+C28+C41</f>
        <v>-282007645.36000001</v>
      </c>
      <c r="D53" s="19"/>
      <c r="E53" s="19">
        <f>E15+E28+E41</f>
        <v>-37957281.129999995</v>
      </c>
      <c r="F53" s="19"/>
      <c r="G53" s="19">
        <f>G15+G28+G41</f>
        <v>3080794.96</v>
      </c>
      <c r="H53" s="19"/>
      <c r="I53" s="19">
        <f>I15+I28+I41</f>
        <v>0</v>
      </c>
      <c r="J53" s="19"/>
      <c r="K53" s="19">
        <f>K15+K28+K41</f>
        <v>0</v>
      </c>
      <c r="L53" s="19"/>
      <c r="M53" s="19">
        <f>M15+M28+M41</f>
        <v>0</v>
      </c>
      <c r="N53" s="19"/>
      <c r="O53" s="19">
        <f>O15+O28+O41</f>
        <v>411258.45</v>
      </c>
      <c r="P53" s="19"/>
      <c r="Q53" s="19">
        <f>Q15+Q28+Q41</f>
        <v>0</v>
      </c>
      <c r="R53" s="19"/>
      <c r="S53" s="19">
        <f>S15+S28+S41</f>
        <v>0</v>
      </c>
      <c r="T53" s="19"/>
      <c r="U53" s="26">
        <f t="shared" si="3"/>
        <v>-316472873.08000004</v>
      </c>
      <c r="V53" s="19"/>
    </row>
    <row r="54" spans="1:22" x14ac:dyDescent="0.2">
      <c r="A54" s="12"/>
      <c r="B54" s="3" t="s">
        <v>48</v>
      </c>
      <c r="C54" s="19">
        <f>C16+C29</f>
        <v>-32972.979999999996</v>
      </c>
      <c r="D54" s="19"/>
      <c r="E54" s="19">
        <f>E16+E29</f>
        <v>-20404.599999999999</v>
      </c>
      <c r="F54" s="19"/>
      <c r="G54" s="19">
        <f>G16+G29</f>
        <v>0</v>
      </c>
      <c r="H54" s="19"/>
      <c r="I54" s="19">
        <f>I16+I29</f>
        <v>0</v>
      </c>
      <c r="J54" s="19"/>
      <c r="K54" s="19">
        <f>K16+K29</f>
        <v>0</v>
      </c>
      <c r="L54" s="19"/>
      <c r="M54" s="19">
        <f>M16+M29</f>
        <v>0</v>
      </c>
      <c r="N54" s="19"/>
      <c r="O54" s="19">
        <f>O16+O29</f>
        <v>0</v>
      </c>
      <c r="P54" s="19"/>
      <c r="Q54" s="19">
        <f>Q16+Q29</f>
        <v>0</v>
      </c>
      <c r="R54" s="19"/>
      <c r="S54" s="19">
        <f>S16+S29</f>
        <v>0</v>
      </c>
      <c r="T54" s="19"/>
      <c r="U54" s="26">
        <f t="shared" si="3"/>
        <v>-53377.579999999994</v>
      </c>
      <c r="V54" s="19"/>
    </row>
    <row r="55" spans="1:22" x14ac:dyDescent="0.2">
      <c r="A55" s="12"/>
      <c r="B55" s="3" t="s">
        <v>17</v>
      </c>
      <c r="C55" s="19">
        <f>C17+C30+C42</f>
        <v>-1574554299.8999999</v>
      </c>
      <c r="D55" s="19"/>
      <c r="E55" s="19">
        <f>E17+E30+E42</f>
        <v>-125901683.71000001</v>
      </c>
      <c r="F55" s="19"/>
      <c r="G55" s="19">
        <f>G17+G30+G42</f>
        <v>14353801.390000001</v>
      </c>
      <c r="H55" s="19"/>
      <c r="I55" s="19">
        <f>I17+I30+I42</f>
        <v>0</v>
      </c>
      <c r="J55" s="19"/>
      <c r="K55" s="19">
        <f>K17+K30+K42</f>
        <v>0</v>
      </c>
      <c r="L55" s="19"/>
      <c r="M55" s="19">
        <f>M17+M30+M42</f>
        <v>0</v>
      </c>
      <c r="N55" s="19"/>
      <c r="O55" s="19">
        <f>O17+O30+O42</f>
        <v>7763019.1799999997</v>
      </c>
      <c r="P55" s="19"/>
      <c r="Q55" s="19">
        <f>Q17+Q30+Q42</f>
        <v>-93042.37</v>
      </c>
      <c r="R55" s="19"/>
      <c r="S55" s="19">
        <f>S17+S30+S42</f>
        <v>-151771.82999999999</v>
      </c>
      <c r="T55" s="19"/>
      <c r="U55" s="26">
        <f t="shared" si="3"/>
        <v>-1678583977.2399995</v>
      </c>
      <c r="V55" s="19"/>
    </row>
    <row r="56" spans="1:22" x14ac:dyDescent="0.2">
      <c r="A56" s="12"/>
      <c r="B56" s="3" t="s">
        <v>49</v>
      </c>
      <c r="C56" s="19">
        <f>C18+C31</f>
        <v>-93356858.729999989</v>
      </c>
      <c r="D56" s="19"/>
      <c r="E56" s="19">
        <f>E18+E31</f>
        <v>-20831566.579999998</v>
      </c>
      <c r="F56" s="19"/>
      <c r="G56" s="19">
        <f>G18+G31</f>
        <v>203134</v>
      </c>
      <c r="H56" s="19"/>
      <c r="I56" s="19">
        <f>I18+I31</f>
        <v>0</v>
      </c>
      <c r="J56" s="19"/>
      <c r="K56" s="19">
        <f>K18+K31</f>
        <v>0</v>
      </c>
      <c r="L56" s="19"/>
      <c r="M56" s="19">
        <f>M18+M31</f>
        <v>0</v>
      </c>
      <c r="N56" s="19"/>
      <c r="O56" s="19">
        <f>O18+O31</f>
        <v>0</v>
      </c>
      <c r="P56" s="19"/>
      <c r="Q56" s="19">
        <f>Q18+Q31</f>
        <v>0</v>
      </c>
      <c r="R56" s="19"/>
      <c r="S56" s="19">
        <f>S18+S31</f>
        <v>0</v>
      </c>
      <c r="T56" s="19"/>
      <c r="U56" s="26">
        <f t="shared" si="3"/>
        <v>-113985291.30999999</v>
      </c>
      <c r="V56" s="19"/>
    </row>
    <row r="57" spans="1:22" x14ac:dyDescent="0.2">
      <c r="A57" s="12"/>
      <c r="B57" s="3" t="s">
        <v>18</v>
      </c>
      <c r="C57" s="19">
        <f>C19+C32+C43</f>
        <v>-342056636.38</v>
      </c>
      <c r="D57" s="19"/>
      <c r="E57" s="19">
        <f>E19+E32+E43</f>
        <v>-18580790.619999997</v>
      </c>
      <c r="F57" s="19"/>
      <c r="G57" s="19">
        <f>G19+G32+G43</f>
        <v>12699756.27</v>
      </c>
      <c r="H57" s="19"/>
      <c r="I57" s="19">
        <f>I19+I32+I43</f>
        <v>-167592.1</v>
      </c>
      <c r="J57" s="19"/>
      <c r="K57" s="19">
        <f>K19+K32+K43</f>
        <v>0</v>
      </c>
      <c r="L57" s="19"/>
      <c r="M57" s="19">
        <f>M19+M32+M43</f>
        <v>0</v>
      </c>
      <c r="N57" s="19"/>
      <c r="O57" s="19">
        <f>O19+O32+O43</f>
        <v>5457492.21</v>
      </c>
      <c r="P57" s="19"/>
      <c r="Q57" s="19">
        <f>Q19+Q32+Q43</f>
        <v>-52231.96</v>
      </c>
      <c r="R57" s="19"/>
      <c r="S57" s="19">
        <f>S19+S32+S43</f>
        <v>-299309.67</v>
      </c>
      <c r="T57" s="19"/>
      <c r="U57" s="26">
        <f t="shared" si="3"/>
        <v>-342999312.25000006</v>
      </c>
      <c r="V57" s="19"/>
    </row>
    <row r="58" spans="1:22" x14ac:dyDescent="0.2">
      <c r="A58" s="12"/>
      <c r="B58" s="3" t="s">
        <v>50</v>
      </c>
      <c r="C58" s="19">
        <f>C20+C33</f>
        <v>-53704.109999999993</v>
      </c>
      <c r="D58" s="19"/>
      <c r="E58" s="19">
        <f>E20+E33</f>
        <v>-19263.57</v>
      </c>
      <c r="F58" s="19"/>
      <c r="G58" s="19">
        <f>G20+G33</f>
        <v>0</v>
      </c>
      <c r="H58" s="19"/>
      <c r="I58" s="19">
        <f>I20+I33</f>
        <v>0</v>
      </c>
      <c r="J58" s="19"/>
      <c r="K58" s="19">
        <f>K20+K33</f>
        <v>0</v>
      </c>
      <c r="L58" s="19"/>
      <c r="M58" s="19">
        <f>M20+M33</f>
        <v>0</v>
      </c>
      <c r="N58" s="19"/>
      <c r="O58" s="19">
        <f>O20+O33</f>
        <v>0</v>
      </c>
      <c r="P58" s="19"/>
      <c r="Q58" s="19">
        <f>Q20+Q33</f>
        <v>0</v>
      </c>
      <c r="R58" s="19"/>
      <c r="S58" s="19">
        <f>S20+S33</f>
        <v>0</v>
      </c>
      <c r="T58" s="19"/>
      <c r="U58" s="26">
        <f t="shared" si="3"/>
        <v>-72967.679999999993</v>
      </c>
      <c r="V58" s="19"/>
    </row>
    <row r="59" spans="1:22" x14ac:dyDescent="0.2">
      <c r="A59" s="12"/>
      <c r="B59" s="3" t="s">
        <v>29</v>
      </c>
      <c r="C59" s="27">
        <v>0</v>
      </c>
      <c r="D59" s="19"/>
      <c r="E59" s="27">
        <v>0</v>
      </c>
      <c r="F59" s="19"/>
      <c r="G59" s="27">
        <v>0</v>
      </c>
      <c r="H59" s="19"/>
      <c r="I59" s="27">
        <v>0</v>
      </c>
      <c r="J59" s="26"/>
      <c r="K59" s="27">
        <v>0</v>
      </c>
      <c r="L59" s="19"/>
      <c r="M59" s="27">
        <v>0</v>
      </c>
      <c r="N59" s="19"/>
      <c r="O59" s="27">
        <v>0</v>
      </c>
      <c r="P59" s="19"/>
      <c r="Q59" s="27">
        <v>0</v>
      </c>
      <c r="R59" s="19"/>
      <c r="S59" s="27">
        <v>0</v>
      </c>
      <c r="T59" s="19"/>
      <c r="U59" s="27">
        <f t="shared" si="3"/>
        <v>0</v>
      </c>
      <c r="V59" s="26"/>
    </row>
    <row r="60" spans="1:22" x14ac:dyDescent="0.2">
      <c r="B60" s="20"/>
      <c r="C60" s="26">
        <f>SUM(C48:C59)</f>
        <v>-3026777033.1100001</v>
      </c>
      <c r="D60" s="26"/>
      <c r="E60" s="26">
        <f>SUM(E48:E59)</f>
        <v>-261101664.81</v>
      </c>
      <c r="F60" s="26"/>
      <c r="G60" s="26">
        <f>SUM(G48:G59)</f>
        <v>61543085.239999995</v>
      </c>
      <c r="H60" s="26"/>
      <c r="I60" s="26">
        <f>SUM(I48:I59)</f>
        <v>-27637.860000000015</v>
      </c>
      <c r="J60" s="26"/>
      <c r="K60" s="26">
        <f>SUM(K48:K59)</f>
        <v>0</v>
      </c>
      <c r="L60" s="26"/>
      <c r="M60" s="26">
        <f>SUM(M48:M59)</f>
        <v>0</v>
      </c>
      <c r="N60" s="26"/>
      <c r="O60" s="26">
        <f>SUM(O48:O59)</f>
        <v>20988359.449999999</v>
      </c>
      <c r="P60" s="26"/>
      <c r="Q60" s="26">
        <f>SUM(Q48:Q59)</f>
        <v>-606025.3899999999</v>
      </c>
      <c r="R60" s="26"/>
      <c r="S60" s="26">
        <f>SUM(S48:S59)</f>
        <v>-920564.51</v>
      </c>
      <c r="T60" s="26"/>
      <c r="U60" s="26">
        <f>SUM(U48:U59)</f>
        <v>-3206901480.9899993</v>
      </c>
      <c r="V60" s="26"/>
    </row>
    <row r="61" spans="1:22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3.5" customHeight="1" x14ac:dyDescent="0.2">
      <c r="A62" s="12" t="s">
        <v>54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2">
      <c r="B63" s="3" t="s">
        <v>11</v>
      </c>
      <c r="C63" s="16">
        <f>+'KU_Summary - Reserve - P2 (REG)'!C60</f>
        <v>26176244.770000018</v>
      </c>
      <c r="D63" s="19"/>
      <c r="E63" s="16">
        <f>+'KU_Summary - Reserve - P2 (REG)'!E60</f>
        <v>0</v>
      </c>
      <c r="F63" s="19"/>
      <c r="G63" s="16">
        <f>+'KU_Summary - Reserve - P2 (REG)'!G60</f>
        <v>0</v>
      </c>
      <c r="H63" s="19"/>
      <c r="I63" s="16">
        <f>+'KU_Summary - Reserve - P2 (REG)'!I60</f>
        <v>19720.13</v>
      </c>
      <c r="J63" s="19"/>
      <c r="K63" s="16">
        <f>+'KU_Summary - Reserve - P2 (REG)'!K60</f>
        <v>-257776.82</v>
      </c>
      <c r="L63" s="19"/>
      <c r="M63" s="16">
        <f>+'KU_Summary - Reserve - P2 (REG)'!M60</f>
        <v>-19203992.729999997</v>
      </c>
      <c r="N63" s="19"/>
      <c r="O63" s="16">
        <f>+'KU_Summary - Reserve - P2 (REG)'!O60</f>
        <v>22475230.02</v>
      </c>
      <c r="P63" s="19"/>
      <c r="Q63" s="16">
        <f>+'KU_Summary - Reserve - P2 (REG)'!Q60</f>
        <v>-675637.77</v>
      </c>
      <c r="R63" s="19"/>
      <c r="S63" s="16">
        <f>+'KU_Summary - Reserve - P2 (REG)'!S60</f>
        <v>-1069429.21</v>
      </c>
      <c r="T63" s="19"/>
      <c r="U63" s="19">
        <f>S63+Q63+O63+M63+I63+G63+E63+C63+K63</f>
        <v>27464358.390000019</v>
      </c>
      <c r="V63" s="19"/>
    </row>
    <row r="64" spans="1:22" x14ac:dyDescent="0.2">
      <c r="B64" s="20"/>
      <c r="C64" s="31">
        <f>SUM(C63:C63)</f>
        <v>26176244.770000018</v>
      </c>
      <c r="D64" s="19"/>
      <c r="E64" s="31">
        <f>SUM(E63:E63)</f>
        <v>0</v>
      </c>
      <c r="F64" s="19"/>
      <c r="G64" s="31">
        <f>SUM(G63:G63)</f>
        <v>0</v>
      </c>
      <c r="H64" s="19"/>
      <c r="I64" s="31">
        <f>SUM(I63:I63)</f>
        <v>19720.13</v>
      </c>
      <c r="J64" s="26"/>
      <c r="K64" s="31">
        <f>SUM(K63:K63)</f>
        <v>-257776.82</v>
      </c>
      <c r="L64" s="19"/>
      <c r="M64" s="31">
        <f>SUM(M63:M63)</f>
        <v>-19203992.729999997</v>
      </c>
      <c r="N64" s="19"/>
      <c r="O64" s="31">
        <f>SUM(O63:O63)</f>
        <v>22475230.02</v>
      </c>
      <c r="P64" s="19"/>
      <c r="Q64" s="31">
        <f>SUM(Q63:Q63)</f>
        <v>-675637.77</v>
      </c>
      <c r="R64" s="19"/>
      <c r="S64" s="31">
        <f>SUM(S63:S63)</f>
        <v>-1069429.21</v>
      </c>
      <c r="T64" s="19"/>
      <c r="U64" s="31">
        <f>SUM(U63:U63)</f>
        <v>27464358.390000019</v>
      </c>
      <c r="V64" s="26"/>
    </row>
    <row r="65" spans="1:22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x14ac:dyDescent="0.2">
      <c r="B66" s="20" t="s">
        <v>55</v>
      </c>
      <c r="C66" s="27">
        <f>C60+C64</f>
        <v>-3000600788.3400002</v>
      </c>
      <c r="D66" s="19"/>
      <c r="E66" s="27">
        <f>E60+E64</f>
        <v>-261101664.81</v>
      </c>
      <c r="F66" s="19"/>
      <c r="G66" s="27">
        <f>G60+G64</f>
        <v>61543085.239999995</v>
      </c>
      <c r="H66" s="19"/>
      <c r="I66" s="27">
        <f>I60+I64</f>
        <v>-7917.7300000000141</v>
      </c>
      <c r="J66" s="26"/>
      <c r="K66" s="27">
        <f>K60+K64</f>
        <v>-257776.82</v>
      </c>
      <c r="L66" s="19"/>
      <c r="M66" s="27">
        <f>M60+M64</f>
        <v>-19203992.729999997</v>
      </c>
      <c r="N66" s="19"/>
      <c r="O66" s="27">
        <f>O60+O64</f>
        <v>43463589.469999999</v>
      </c>
      <c r="P66" s="19"/>
      <c r="Q66" s="27">
        <f>Q60+Q64</f>
        <v>-1281663.1599999999</v>
      </c>
      <c r="R66" s="19"/>
      <c r="S66" s="27">
        <f>S60+S64</f>
        <v>-1989993.72</v>
      </c>
      <c r="T66" s="19"/>
      <c r="U66" s="27">
        <f>U60+U64</f>
        <v>-3179437122.5999994</v>
      </c>
      <c r="V66" s="26"/>
    </row>
    <row r="67" spans="1:22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x14ac:dyDescent="0.2">
      <c r="A68" s="12" t="s">
        <v>56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x14ac:dyDescent="0.2">
      <c r="B69" s="3" t="s">
        <v>11</v>
      </c>
      <c r="C69" s="16">
        <f>+'KU_Summary - Reserve - P2 (REG)'!C66</f>
        <v>-50597023.839999989</v>
      </c>
      <c r="D69" s="26"/>
      <c r="E69" s="16">
        <f>+'KU_Summary - Reserve - P2 (REG)'!E66</f>
        <v>-15572212.75</v>
      </c>
      <c r="F69" s="26"/>
      <c r="G69" s="16">
        <f>+'KU_Summary - Reserve - P2 (REG)'!G66</f>
        <v>7464577.3600000003</v>
      </c>
      <c r="H69" s="26"/>
      <c r="I69" s="16">
        <f>+'KU_Summary - Reserve - P2 (REG)'!I66</f>
        <v>0</v>
      </c>
      <c r="J69" s="26"/>
      <c r="K69" s="16">
        <f>+'KU_Summary - Reserve - P2 (REG)'!K66</f>
        <v>0</v>
      </c>
      <c r="L69" s="26"/>
      <c r="M69" s="16">
        <f>+'KU_Summary - Reserve - P2 (REG)'!M66</f>
        <v>0</v>
      </c>
      <c r="N69" s="26"/>
      <c r="O69" s="16">
        <f>+'KU_Summary - Reserve - P2 (REG)'!O66</f>
        <v>0</v>
      </c>
      <c r="P69" s="26"/>
      <c r="Q69" s="16">
        <f>+'KU_Summary - Reserve - P2 (REG)'!Q66</f>
        <v>0</v>
      </c>
      <c r="R69" s="26"/>
      <c r="S69" s="16">
        <f>+'KU_Summary - Reserve - P2 (REG)'!S66</f>
        <v>0</v>
      </c>
      <c r="T69" s="26"/>
      <c r="U69" s="27">
        <f>S69+Q69+O69+M69+I69+G69+E69+C69</f>
        <v>-58704659.229999989</v>
      </c>
      <c r="V69" s="26"/>
    </row>
    <row r="70" spans="1:22" x14ac:dyDescent="0.2">
      <c r="B70" s="20"/>
      <c r="C70" s="26">
        <f>SUM(C69:C69)</f>
        <v>-50597023.839999989</v>
      </c>
      <c r="D70" s="26"/>
      <c r="E70" s="26">
        <f>SUM(E69:E69)</f>
        <v>-15572212.75</v>
      </c>
      <c r="F70" s="26"/>
      <c r="G70" s="26">
        <f>SUM(G69:G69)</f>
        <v>7464577.3600000003</v>
      </c>
      <c r="H70" s="26"/>
      <c r="I70" s="26">
        <f>SUM(I69:I69)</f>
        <v>0</v>
      </c>
      <c r="J70" s="26"/>
      <c r="K70" s="26">
        <f>SUM(K69:K69)</f>
        <v>0</v>
      </c>
      <c r="L70" s="26"/>
      <c r="M70" s="26">
        <f>SUM(M69:M69)</f>
        <v>0</v>
      </c>
      <c r="N70" s="26"/>
      <c r="O70" s="26">
        <f>SUM(O69:O69)</f>
        <v>0</v>
      </c>
      <c r="P70" s="26"/>
      <c r="Q70" s="26">
        <f>SUM(Q69:Q69)</f>
        <v>0</v>
      </c>
      <c r="R70" s="26"/>
      <c r="S70" s="26">
        <f>SUM(S69:S69)</f>
        <v>0</v>
      </c>
      <c r="T70" s="26"/>
      <c r="U70" s="26">
        <f>SUM(U69:U69)</f>
        <v>-58704659.229999989</v>
      </c>
      <c r="V70" s="26"/>
    </row>
    <row r="71" spans="1:22" x14ac:dyDescent="0.2">
      <c r="B71" s="2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3.5" thickBot="1" x14ac:dyDescent="0.25">
      <c r="B73" s="20" t="s">
        <v>57</v>
      </c>
      <c r="C73" s="33">
        <f>C66+C70</f>
        <v>-3051197812.1800003</v>
      </c>
      <c r="D73" s="19"/>
      <c r="E73" s="33">
        <f>E66+E70</f>
        <v>-276673877.56</v>
      </c>
      <c r="F73" s="19"/>
      <c r="G73" s="33">
        <f>G66+G70</f>
        <v>69007662.599999994</v>
      </c>
      <c r="H73" s="19"/>
      <c r="I73" s="33">
        <f>I66+I70</f>
        <v>-7917.7300000000141</v>
      </c>
      <c r="J73" s="26"/>
      <c r="K73" s="33">
        <f>K66+K70</f>
        <v>-257776.82</v>
      </c>
      <c r="L73" s="19"/>
      <c r="M73" s="33">
        <f>M66+M70</f>
        <v>-19203992.729999997</v>
      </c>
      <c r="N73" s="19"/>
      <c r="O73" s="33">
        <f>O66+O70</f>
        <v>43463589.469999999</v>
      </c>
      <c r="P73" s="19"/>
      <c r="Q73" s="33">
        <f>Q66+Q70</f>
        <v>-1281663.1599999999</v>
      </c>
      <c r="R73" s="19"/>
      <c r="S73" s="33">
        <f>S66+S70</f>
        <v>-1989993.72</v>
      </c>
      <c r="T73" s="19"/>
      <c r="U73" s="33">
        <f>U66+U70</f>
        <v>-3238141781.8299994</v>
      </c>
      <c r="V73" s="26"/>
    </row>
    <row r="74" spans="1:22" ht="13.5" thickTop="1" x14ac:dyDescent="0.2">
      <c r="B74" s="20"/>
      <c r="C74" s="26"/>
      <c r="D74" s="19"/>
      <c r="E74" s="26"/>
      <c r="F74" s="19"/>
      <c r="G74" s="26"/>
      <c r="H74" s="19"/>
      <c r="I74" s="26"/>
      <c r="J74" s="26"/>
      <c r="K74" s="26"/>
      <c r="L74" s="19"/>
      <c r="M74" s="26"/>
      <c r="N74" s="19"/>
      <c r="O74" s="26"/>
      <c r="P74" s="19"/>
      <c r="Q74" s="26"/>
      <c r="R74" s="19"/>
      <c r="S74" s="26"/>
      <c r="T74" s="19"/>
      <c r="U74" s="26"/>
      <c r="V74" s="26"/>
    </row>
    <row r="75" spans="1:22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x14ac:dyDescent="0.2">
      <c r="A76" s="12" t="s">
        <v>58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3.5" thickBot="1" x14ac:dyDescent="0.25">
      <c r="A77" s="12" t="s">
        <v>59</v>
      </c>
      <c r="C77" s="33">
        <f>'KU_Summary - Cost - P1 (REG)'!D74+'KU_Summary - Reserve - P2 (REG)'!C70</f>
        <v>6215350113.7530003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33">
        <f>'KU_Summary - Cost - P1 (REG)'!N74+'KU_Summary - Reserve - P2 (REG)'!U70</f>
        <v>6360210051.5130005</v>
      </c>
      <c r="V77" s="26"/>
    </row>
    <row r="78" spans="1:22" ht="13.5" thickTop="1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x14ac:dyDescent="0.2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3:22" x14ac:dyDescent="0.2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3:22" x14ac:dyDescent="0.2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3:22" x14ac:dyDescent="0.2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3:22" x14ac:dyDescent="0.2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3:22" x14ac:dyDescent="0.2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3:22" x14ac:dyDescent="0.2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3:22" x14ac:dyDescent="0.2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3:22" x14ac:dyDescent="0.2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3:22" x14ac:dyDescent="0.2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3:22" x14ac:dyDescent="0.2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3:22" x14ac:dyDescent="0.2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3:22" x14ac:dyDescent="0.2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3:22" x14ac:dyDescent="0.2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3:22" x14ac:dyDescent="0.2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3:22" x14ac:dyDescent="0.2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3:22" x14ac:dyDescent="0.2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3:22" x14ac:dyDescent="0.2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3:22" x14ac:dyDescent="0.2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3:22" x14ac:dyDescent="0.2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3:22" x14ac:dyDescent="0.2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3:22" x14ac:dyDescent="0.2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3:22" x14ac:dyDescent="0.2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3:22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3:22" x14ac:dyDescent="0.2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3:22" x14ac:dyDescent="0.2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3:22" x14ac:dyDescent="0.2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3:22" x14ac:dyDescent="0.2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3:22" x14ac:dyDescent="0.2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3:22" x14ac:dyDescent="0.2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3:22" x14ac:dyDescent="0.2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3:22" x14ac:dyDescent="0.2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3:22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3:22" x14ac:dyDescent="0.2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3:22" x14ac:dyDescent="0.2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3:22" x14ac:dyDescent="0.2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3:22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3:22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3:22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3:22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3:22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3:22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3:22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3:22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3:22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3:22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3:22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3:22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3:22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3:22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3:22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3:22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3:22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3:22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3:22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3:22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3:22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3:22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3:22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3:22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3:22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3:22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3:22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3:22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3:22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3:22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3:22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3:22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3:22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3:22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3:22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3:22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3:22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3:22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3:22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3:22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3:22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3:22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3:22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3:22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3:22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3:22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3:22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3:22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3:22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3:22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3:22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3:22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3:22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3:22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3:22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3:22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3:22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3:22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3:22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3:22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3:22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3:22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3:22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3:22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3:22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3:22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3:22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3:22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3:22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3:22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3:22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3:22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3:22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3:22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3:22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3:22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3:22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3:22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3:22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3:22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3:22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3:22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3:22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3:22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3:22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3:22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3:22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3:22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3:22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3:22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3:22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3:22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3:22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3:22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3:22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3:22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3:22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3:22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3:22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3:22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3:22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3:22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3:22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3:22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3:22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3:22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3:22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3:22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3:22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3:22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3:22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3:22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3:22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3:22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3:22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3:22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3:22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3:22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3:22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3:22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3:22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3:22" x14ac:dyDescent="0.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3:22" x14ac:dyDescent="0.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3:22" x14ac:dyDescent="0.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3:22" x14ac:dyDescent="0.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3:22" x14ac:dyDescent="0.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3:22" x14ac:dyDescent="0.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3:22" x14ac:dyDescent="0.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3:22" x14ac:dyDescent="0.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3:22" x14ac:dyDescent="0.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3:22" x14ac:dyDescent="0.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3:22" x14ac:dyDescent="0.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3:22" x14ac:dyDescent="0.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3:22" x14ac:dyDescent="0.2"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3:22" x14ac:dyDescent="0.2"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3:22" x14ac:dyDescent="0.2"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3:22" x14ac:dyDescent="0.2"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3:22" x14ac:dyDescent="0.2"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3:22" x14ac:dyDescent="0.2"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3:22" x14ac:dyDescent="0.2"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3:22" x14ac:dyDescent="0.2"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3:22" x14ac:dyDescent="0.2"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3:22" x14ac:dyDescent="0.2"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3:22" x14ac:dyDescent="0.2"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3:22" x14ac:dyDescent="0.2"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3:22" x14ac:dyDescent="0.2"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3:22" x14ac:dyDescent="0.2"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3:22" x14ac:dyDescent="0.2"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3:22" x14ac:dyDescent="0.2"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3:22" x14ac:dyDescent="0.2"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3:22" x14ac:dyDescent="0.2"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3:22" x14ac:dyDescent="0.2"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3:22" x14ac:dyDescent="0.2"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3:22" x14ac:dyDescent="0.2"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3:22" x14ac:dyDescent="0.2"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3:22" x14ac:dyDescent="0.2"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3:22" x14ac:dyDescent="0.2"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3:22" x14ac:dyDescent="0.2"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3:22" x14ac:dyDescent="0.2"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3:22" x14ac:dyDescent="0.2"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3:22" x14ac:dyDescent="0.2"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3:22" x14ac:dyDescent="0.2"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3:22" x14ac:dyDescent="0.2"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3:22" x14ac:dyDescent="0.2"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3:22" x14ac:dyDescent="0.2"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3:22" x14ac:dyDescent="0.2"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3:22" x14ac:dyDescent="0.2"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3:22" x14ac:dyDescent="0.2"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3:22" x14ac:dyDescent="0.2"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3:22" x14ac:dyDescent="0.2"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3:22" x14ac:dyDescent="0.2"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3:22" x14ac:dyDescent="0.2"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3:22" x14ac:dyDescent="0.2"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3:22" x14ac:dyDescent="0.2"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3:22" x14ac:dyDescent="0.2"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3:22" x14ac:dyDescent="0.2"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3:22" x14ac:dyDescent="0.2"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3:22" x14ac:dyDescent="0.2"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3:22" x14ac:dyDescent="0.2"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3:22" x14ac:dyDescent="0.2"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3:22" x14ac:dyDescent="0.2"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3:22" x14ac:dyDescent="0.2"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3:22" x14ac:dyDescent="0.2"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3:22" x14ac:dyDescent="0.2"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3:22" x14ac:dyDescent="0.2"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3:22" x14ac:dyDescent="0.2"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3:22" x14ac:dyDescent="0.2"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3:22" x14ac:dyDescent="0.2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3:22" x14ac:dyDescent="0.2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3:22" x14ac:dyDescent="0.2"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3:22" x14ac:dyDescent="0.2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3:22" x14ac:dyDescent="0.2"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3:22" x14ac:dyDescent="0.2"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3:22" x14ac:dyDescent="0.2"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3:22" x14ac:dyDescent="0.2"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3:22" x14ac:dyDescent="0.2"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3:22" x14ac:dyDescent="0.2"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3:22" x14ac:dyDescent="0.2"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483"/>
  <sheetViews>
    <sheetView tabSelected="1" topLeftCell="A449" zoomScale="80" zoomScaleNormal="80" workbookViewId="0">
      <selection sqref="A1:R1"/>
    </sheetView>
  </sheetViews>
  <sheetFormatPr defaultRowHeight="12.75" outlineLevelRow="1" x14ac:dyDescent="0.2"/>
  <cols>
    <col min="1" max="1" width="36.42578125" style="3" bestFit="1" customWidth="1"/>
    <col min="2" max="2" width="18.42578125" style="14" bestFit="1" customWidth="1"/>
    <col min="3" max="3" width="1.7109375" style="3" customWidth="1"/>
    <col min="4" max="4" width="17.7109375" style="14" customWidth="1"/>
    <col min="5" max="5" width="1.7109375" style="3" customWidth="1"/>
    <col min="6" max="6" width="17.7109375" style="14" customWidth="1"/>
    <col min="7" max="7" width="1.7109375" style="3" customWidth="1"/>
    <col min="8" max="8" width="17.7109375" style="14" customWidth="1"/>
    <col min="9" max="9" width="1.7109375" style="3" customWidth="1"/>
    <col min="10" max="10" width="17.7109375" style="14" customWidth="1"/>
    <col min="11" max="11" width="1.7109375" style="3" customWidth="1"/>
    <col min="12" max="12" width="17.7109375" style="14" customWidth="1"/>
    <col min="13" max="13" width="1.7109375" style="3" customWidth="1"/>
    <col min="14" max="14" width="17.7109375" style="14" customWidth="1"/>
    <col min="15" max="15" width="1.7109375" style="3" customWidth="1"/>
    <col min="16" max="16" width="17.7109375" style="14" customWidth="1"/>
    <col min="17" max="17" width="1.7109375" style="3" customWidth="1"/>
    <col min="18" max="18" width="18.42578125" style="14" bestFit="1" customWidth="1"/>
    <col min="19" max="16384" width="9.140625" style="3"/>
  </cols>
  <sheetData>
    <row r="1" spans="1:19" s="87" customFormat="1" ht="15.75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s="87" customFormat="1" ht="15.75" x14ac:dyDescent="0.25">
      <c r="A2" s="103" t="s">
        <v>4338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9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07"/>
    </row>
    <row r="4" spans="1:19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07"/>
    </row>
    <row r="6" spans="1:19" x14ac:dyDescent="0.2">
      <c r="B6" s="25" t="s">
        <v>2</v>
      </c>
      <c r="H6" s="25" t="s">
        <v>3</v>
      </c>
      <c r="J6" s="25" t="s">
        <v>38</v>
      </c>
      <c r="L6" s="25"/>
      <c r="N6" s="25"/>
      <c r="P6" s="25"/>
      <c r="R6" s="25" t="s">
        <v>4</v>
      </c>
    </row>
    <row r="7" spans="1:19" x14ac:dyDescent="0.2">
      <c r="B7" s="10" t="s">
        <v>5</v>
      </c>
      <c r="D7" s="10" t="s">
        <v>39</v>
      </c>
      <c r="F7" s="10" t="s">
        <v>7</v>
      </c>
      <c r="H7" s="10" t="s">
        <v>8</v>
      </c>
      <c r="J7" s="10" t="s">
        <v>41</v>
      </c>
      <c r="L7" s="10" t="s">
        <v>42</v>
      </c>
      <c r="N7" s="10" t="s">
        <v>43</v>
      </c>
      <c r="P7" s="10" t="s">
        <v>44</v>
      </c>
      <c r="R7" s="10" t="s">
        <v>5</v>
      </c>
    </row>
    <row r="9" spans="1:19" x14ac:dyDescent="0.2">
      <c r="A9" s="12" t="s">
        <v>12</v>
      </c>
    </row>
    <row r="10" spans="1:19" x14ac:dyDescent="0.2">
      <c r="A10" s="43" t="s">
        <v>4339</v>
      </c>
      <c r="B10" s="14">
        <f>+'KY_Res by Plant Acct P16(REG)'!B10+'VA_Res by Plant Acct P17(REG)'!B10+'TN_Res by Plant Acct P18(REG)'!B10</f>
        <v>-1470684.6999999997</v>
      </c>
      <c r="C10" s="13"/>
      <c r="D10" s="14">
        <f>+'KY_Res by Plant Acct P16(REG)'!D10+'VA_Res by Plant Acct P17(REG)'!D10+'TN_Res by Plant Acct P18(REG)'!D10</f>
        <v>-13230.42</v>
      </c>
      <c r="E10" s="13"/>
      <c r="F10" s="14">
        <f>+'KY_Res by Plant Acct P16(REG)'!F10+'VA_Res by Plant Acct P17(REG)'!F10+'TN_Res by Plant Acct P18(REG)'!F10</f>
        <v>0</v>
      </c>
      <c r="G10" s="13"/>
      <c r="H10" s="14">
        <f>+'KY_Res by Plant Acct P16(REG)'!H10+'VA_Res by Plant Acct P17(REG)'!H10+'TN_Res by Plant Acct P18(REG)'!H10</f>
        <v>0</v>
      </c>
      <c r="I10" s="13"/>
      <c r="J10" s="14">
        <f>+'KY_Res by Plant Acct P16(REG)'!J10+'VA_Res by Plant Acct P17(REG)'!J10+'TN_Res by Plant Acct P18(REG)'!J10</f>
        <v>0</v>
      </c>
      <c r="K10" s="13"/>
      <c r="L10" s="14">
        <f>+'KY_Res by Plant Acct P16(REG)'!L10+'VA_Res by Plant Acct P17(REG)'!L10+'TN_Res by Plant Acct P18(REG)'!L10</f>
        <v>0</v>
      </c>
      <c r="M10" s="13"/>
      <c r="N10" s="14">
        <f>+'KY_Res by Plant Acct P16(REG)'!N10+'VA_Res by Plant Acct P17(REG)'!N10+'TN_Res by Plant Acct P18(REG)'!N10</f>
        <v>0</v>
      </c>
      <c r="O10" s="13"/>
      <c r="P10" s="14">
        <f>+'KY_Res by Plant Acct P16(REG)'!P10+'VA_Res by Plant Acct P17(REG)'!P10+'TN_Res by Plant Acct P18(REG)'!P10</f>
        <v>0</v>
      </c>
      <c r="Q10" s="13"/>
      <c r="R10" s="14">
        <f t="shared" ref="R10:R32" si="0">SUM(B10:P10)</f>
        <v>-1483915.1199999996</v>
      </c>
    </row>
    <row r="11" spans="1:19" x14ac:dyDescent="0.2">
      <c r="A11" s="3" t="s">
        <v>4340</v>
      </c>
      <c r="B11" s="14">
        <f>+'KY_Res by Plant Acct P16(REG)'!B11</f>
        <v>0</v>
      </c>
      <c r="C11" s="13"/>
      <c r="D11" s="14">
        <f>+'KY_Res by Plant Acct P16(REG)'!D11</f>
        <v>0</v>
      </c>
      <c r="E11" s="13"/>
      <c r="F11" s="14">
        <f>+'KY_Res by Plant Acct P16(REG)'!F11</f>
        <v>0</v>
      </c>
      <c r="G11" s="13"/>
      <c r="H11" s="14">
        <f>+'KY_Res by Plant Acct P16(REG)'!H11</f>
        <v>0</v>
      </c>
      <c r="I11" s="13"/>
      <c r="J11" s="14">
        <f>+'KY_Res by Plant Acct P16(REG)'!J11</f>
        <v>0</v>
      </c>
      <c r="K11" s="13"/>
      <c r="L11" s="14">
        <f>+'KY_Res by Plant Acct P16(REG)'!L11</f>
        <v>0</v>
      </c>
      <c r="M11" s="13"/>
      <c r="N11" s="14">
        <f>+'KY_Res by Plant Acct P16(REG)'!N11</f>
        <v>0</v>
      </c>
      <c r="O11" s="13"/>
      <c r="P11" s="14">
        <f>+'KY_Res by Plant Acct P16(REG)'!P11</f>
        <v>0</v>
      </c>
      <c r="Q11" s="13"/>
      <c r="R11" s="14">
        <f t="shared" si="0"/>
        <v>0</v>
      </c>
    </row>
    <row r="12" spans="1:19" x14ac:dyDescent="0.2">
      <c r="A12" s="3" t="s">
        <v>4341</v>
      </c>
      <c r="B12" s="14">
        <f>+'KY_Res by Plant Acct P16(REG)'!B12</f>
        <v>-7.2759576141834259E-12</v>
      </c>
      <c r="C12" s="13"/>
      <c r="D12" s="14">
        <f>+'KY_Res by Plant Acct P16(REG)'!D12</f>
        <v>0</v>
      </c>
      <c r="E12" s="13"/>
      <c r="F12" s="14">
        <f>+'KY_Res by Plant Acct P16(REG)'!F12</f>
        <v>14378.77</v>
      </c>
      <c r="G12" s="13"/>
      <c r="H12" s="14">
        <f>+'KY_Res by Plant Acct P16(REG)'!H12</f>
        <v>-14378.77</v>
      </c>
      <c r="I12" s="13"/>
      <c r="J12" s="14">
        <f>+'KY_Res by Plant Acct P16(REG)'!J12</f>
        <v>0</v>
      </c>
      <c r="K12" s="13"/>
      <c r="L12" s="14">
        <f>+'KY_Res by Plant Acct P16(REG)'!L12</f>
        <v>0</v>
      </c>
      <c r="M12" s="13"/>
      <c r="N12" s="14">
        <f>+'KY_Res by Plant Acct P16(REG)'!N12</f>
        <v>0</v>
      </c>
      <c r="O12" s="13"/>
      <c r="P12" s="14">
        <f>+'KY_Res by Plant Acct P16(REG)'!P12</f>
        <v>0</v>
      </c>
      <c r="Q12" s="13"/>
      <c r="R12" s="14">
        <f>SUM(B12:P12)</f>
        <v>-7.2759576141834259E-12</v>
      </c>
    </row>
    <row r="13" spans="1:19" x14ac:dyDescent="0.2">
      <c r="A13" s="3" t="s">
        <v>4342</v>
      </c>
      <c r="B13" s="14">
        <f>+'KY_Res by Plant Acct P16(REG)'!B13+'VA_Res by Plant Acct P17(REG)'!B11+'TN_Res by Plant Acct P18(REG)'!B11</f>
        <v>-2451563.0999999996</v>
      </c>
      <c r="C13" s="13"/>
      <c r="D13" s="14">
        <f>+'KY_Res by Plant Acct P16(REG)'!D13+'VA_Res by Plant Acct P17(REG)'!D11+'TN_Res by Plant Acct P18(REG)'!D11</f>
        <v>-284502.61</v>
      </c>
      <c r="E13" s="13"/>
      <c r="F13" s="14">
        <f>+'KY_Res by Plant Acct P16(REG)'!F13+'VA_Res by Plant Acct P17(REG)'!F11+'TN_Res by Plant Acct P18(REG)'!F11</f>
        <v>74538.539999999994</v>
      </c>
      <c r="G13" s="13"/>
      <c r="H13" s="14">
        <f>+'KY_Res by Plant Acct P16(REG)'!H13+'VA_Res by Plant Acct P17(REG)'!H11+'TN_Res by Plant Acct P18(REG)'!H11</f>
        <v>3381.98</v>
      </c>
      <c r="I13" s="13"/>
      <c r="J13" s="14">
        <f>+'KY_Res by Plant Acct P16(REG)'!J13+'VA_Res by Plant Acct P17(REG)'!J11+'TN_Res by Plant Acct P18(REG)'!J11</f>
        <v>0</v>
      </c>
      <c r="K13" s="13"/>
      <c r="L13" s="14">
        <f>+'KY_Res by Plant Acct P16(REG)'!L13+'VA_Res by Plant Acct P17(REG)'!L11+'TN_Res by Plant Acct P18(REG)'!L11</f>
        <v>57962.92</v>
      </c>
      <c r="M13" s="13"/>
      <c r="N13" s="14">
        <f>+'KY_Res by Plant Acct P16(REG)'!N13+'VA_Res by Plant Acct P17(REG)'!N11+'TN_Res by Plant Acct P18(REG)'!N11</f>
        <v>-1959.48</v>
      </c>
      <c r="O13" s="13"/>
      <c r="P13" s="14">
        <f>+'KY_Res by Plant Acct P16(REG)'!P13+'VA_Res by Plant Acct P17(REG)'!P11+'TN_Res by Plant Acct P18(REG)'!P11</f>
        <v>0</v>
      </c>
      <c r="Q13" s="13"/>
      <c r="R13" s="14">
        <f t="shared" si="0"/>
        <v>-2602141.7499999995</v>
      </c>
    </row>
    <row r="14" spans="1:19" x14ac:dyDescent="0.2">
      <c r="A14" s="3" t="s">
        <v>4343</v>
      </c>
      <c r="B14" s="14">
        <f>+'KY_Res by Plant Acct P16(REG)'!B14+'VA_Res by Plant Acct P17(REG)'!B12+'TN_Res by Plant Acct P18(REG)'!B12</f>
        <v>-50640935.229999982</v>
      </c>
      <c r="C14" s="13"/>
      <c r="D14" s="14">
        <f>+'KY_Res by Plant Acct P16(REG)'!D14+'VA_Res by Plant Acct P17(REG)'!D12+'TN_Res by Plant Acct P18(REG)'!D12</f>
        <v>-4330766.3</v>
      </c>
      <c r="E14" s="13"/>
      <c r="F14" s="14">
        <f>+'KY_Res by Plant Acct P16(REG)'!F14+'VA_Res by Plant Acct P17(REG)'!F12+'TN_Res by Plant Acct P18(REG)'!F12</f>
        <v>1908263.7500000002</v>
      </c>
      <c r="G14" s="13"/>
      <c r="H14" s="14">
        <f>+'KY_Res by Plant Acct P16(REG)'!H14+'VA_Res by Plant Acct P17(REG)'!H12+'TN_Res by Plant Acct P18(REG)'!H12</f>
        <v>164210.12</v>
      </c>
      <c r="I14" s="13"/>
      <c r="J14" s="14">
        <f>+'KY_Res by Plant Acct P16(REG)'!J14+'VA_Res by Plant Acct P17(REG)'!J12+'TN_Res by Plant Acct P18(REG)'!J12</f>
        <v>0</v>
      </c>
      <c r="K14" s="13"/>
      <c r="L14" s="14">
        <f>+'KY_Res by Plant Acct P16(REG)'!L14+'VA_Res by Plant Acct P17(REG)'!L12+'TN_Res by Plant Acct P18(REG)'!L12</f>
        <v>739888.06</v>
      </c>
      <c r="M14" s="13"/>
      <c r="N14" s="14">
        <f>+'KY_Res by Plant Acct P16(REG)'!N14+'VA_Res by Plant Acct P17(REG)'!N12+'TN_Res by Plant Acct P18(REG)'!N12</f>
        <v>-67161.569999999992</v>
      </c>
      <c r="O14" s="13"/>
      <c r="P14" s="14">
        <f>+'KY_Res by Plant Acct P16(REG)'!P14+'VA_Res by Plant Acct P17(REG)'!P12+'TN_Res by Plant Acct P18(REG)'!P12</f>
        <v>0</v>
      </c>
      <c r="Q14" s="13"/>
      <c r="R14" s="14">
        <f t="shared" si="0"/>
        <v>-52226501.169999979</v>
      </c>
    </row>
    <row r="15" spans="1:19" x14ac:dyDescent="0.2">
      <c r="A15" s="3" t="s">
        <v>3836</v>
      </c>
      <c r="B15" s="14">
        <f>+'KY_Res by Plant Acct P16(REG)'!B15</f>
        <v>-1416.8000000000002</v>
      </c>
      <c r="C15" s="14">
        <f>+'KY_Res by Plant Acct P16(REG)'!C15</f>
        <v>0</v>
      </c>
      <c r="D15" s="14">
        <f>+'KY_Res by Plant Acct P16(REG)'!D15</f>
        <v>-663.3</v>
      </c>
      <c r="E15" s="14">
        <f>+'KY_Res by Plant Acct P16(REG)'!E15</f>
        <v>0</v>
      </c>
      <c r="F15" s="14">
        <f>+'KY_Res by Plant Acct P16(REG)'!F15</f>
        <v>0</v>
      </c>
      <c r="G15" s="14">
        <f>+'KY_Res by Plant Acct P16(REG)'!G15</f>
        <v>0</v>
      </c>
      <c r="H15" s="14">
        <f>+'KY_Res by Plant Acct P16(REG)'!H15</f>
        <v>0</v>
      </c>
      <c r="I15" s="14">
        <f>+'KY_Res by Plant Acct P16(REG)'!I15</f>
        <v>0</v>
      </c>
      <c r="J15" s="14">
        <f>+'KY_Res by Plant Acct P16(REG)'!J15</f>
        <v>0</v>
      </c>
      <c r="K15" s="14">
        <f>+'KY_Res by Plant Acct P16(REG)'!K15</f>
        <v>0</v>
      </c>
      <c r="L15" s="14">
        <f>+'KY_Res by Plant Acct P16(REG)'!L15</f>
        <v>0</v>
      </c>
      <c r="M15" s="14">
        <f>+'KY_Res by Plant Acct P16(REG)'!M15</f>
        <v>0</v>
      </c>
      <c r="N15" s="14">
        <f>+'KY_Res by Plant Acct P16(REG)'!N15</f>
        <v>0</v>
      </c>
      <c r="O15" s="14">
        <f>+'KY_Res by Plant Acct P16(REG)'!O15</f>
        <v>0</v>
      </c>
      <c r="P15" s="14">
        <f>+'KY_Res by Plant Acct P16(REG)'!P15</f>
        <v>0</v>
      </c>
      <c r="Q15" s="13"/>
      <c r="R15" s="14">
        <f t="shared" si="0"/>
        <v>-2080.1000000000004</v>
      </c>
    </row>
    <row r="16" spans="1:19" x14ac:dyDescent="0.2">
      <c r="A16" s="3" t="s">
        <v>4344</v>
      </c>
      <c r="B16" s="14">
        <f>+'KY_Res by Plant Acct P16(REG)'!B16</f>
        <v>-0.28999999999476156</v>
      </c>
      <c r="C16" s="13"/>
      <c r="D16" s="14">
        <f>+'KY_Res by Plant Acct P16(REG)'!D16</f>
        <v>0</v>
      </c>
      <c r="E16" s="13"/>
      <c r="F16" s="14">
        <f>+'KY_Res by Plant Acct P16(REG)'!F16</f>
        <v>0</v>
      </c>
      <c r="G16" s="13"/>
      <c r="H16" s="14">
        <f>+'KY_Res by Plant Acct P16(REG)'!H16</f>
        <v>0</v>
      </c>
      <c r="I16" s="13"/>
      <c r="J16" s="14">
        <f>+'KY_Res by Plant Acct P16(REG)'!J16</f>
        <v>0</v>
      </c>
      <c r="K16" s="13"/>
      <c r="L16" s="14">
        <f>+'KY_Res by Plant Acct P16(REG)'!L16</f>
        <v>0</v>
      </c>
      <c r="M16" s="13"/>
      <c r="N16" s="14">
        <f>+'KY_Res by Plant Acct P16(REG)'!N16</f>
        <v>0</v>
      </c>
      <c r="O16" s="13"/>
      <c r="P16" s="14">
        <f>+'KY_Res by Plant Acct P16(REG)'!P16</f>
        <v>0</v>
      </c>
      <c r="Q16" s="13"/>
      <c r="R16" s="14">
        <f t="shared" si="0"/>
        <v>-0.28999999999476156</v>
      </c>
    </row>
    <row r="17" spans="1:18" x14ac:dyDescent="0.2">
      <c r="A17" s="3" t="s">
        <v>4345</v>
      </c>
      <c r="B17" s="14">
        <f>+'KY_Res by Plant Acct P16(REG)'!B17+'VA_Res by Plant Acct P17(REG)'!B13+'TN_Res by Plant Acct P18(REG)'!B13</f>
        <v>-157658828.81999996</v>
      </c>
      <c r="C17" s="13"/>
      <c r="D17" s="14">
        <f>+'KY_Res by Plant Acct P16(REG)'!D17+'VA_Res by Plant Acct P17(REG)'!D13+'TN_Res by Plant Acct P18(REG)'!D13</f>
        <v>-9582736.0800000001</v>
      </c>
      <c r="E17" s="13"/>
      <c r="F17" s="14">
        <f>+'KY_Res by Plant Acct P16(REG)'!F17+'VA_Res by Plant Acct P17(REG)'!F13+'TN_Res by Plant Acct P18(REG)'!F13</f>
        <v>1857902.1500000001</v>
      </c>
      <c r="G17" s="13"/>
      <c r="H17" s="14">
        <f>+'KY_Res by Plant Acct P16(REG)'!H17+'VA_Res by Plant Acct P17(REG)'!H13+'TN_Res by Plant Acct P18(REG)'!H13</f>
        <v>0</v>
      </c>
      <c r="I17" s="13"/>
      <c r="J17" s="14">
        <f>+'KY_Res by Plant Acct P16(REG)'!J17+'VA_Res by Plant Acct P17(REG)'!J13+'TN_Res by Plant Acct P18(REG)'!J13</f>
        <v>0</v>
      </c>
      <c r="K17" s="13"/>
      <c r="L17" s="14">
        <f>+'KY_Res by Plant Acct P16(REG)'!L17+'VA_Res by Plant Acct P17(REG)'!L13+'TN_Res by Plant Acct P18(REG)'!L13</f>
        <v>1603948.26</v>
      </c>
      <c r="M17" s="13"/>
      <c r="N17" s="14">
        <f>+'KY_Res by Plant Acct P16(REG)'!N17+'VA_Res by Plant Acct P17(REG)'!N13+'TN_Res by Plant Acct P18(REG)'!N13</f>
        <v>-32387.79</v>
      </c>
      <c r="O17" s="13"/>
      <c r="P17" s="14">
        <f>+'KY_Res by Plant Acct P16(REG)'!P17+'VA_Res by Plant Acct P17(REG)'!P13+'TN_Res by Plant Acct P18(REG)'!P13</f>
        <v>-45787.960000000006</v>
      </c>
      <c r="Q17" s="13"/>
      <c r="R17" s="14">
        <f t="shared" si="0"/>
        <v>-163857890.23999998</v>
      </c>
    </row>
    <row r="18" spans="1:18" x14ac:dyDescent="0.2">
      <c r="A18" s="3" t="s">
        <v>4346</v>
      </c>
      <c r="B18" s="14">
        <f>+'KY_Res by Plant Acct P16(REG)'!B18</f>
        <v>-0.18999999998777639</v>
      </c>
      <c r="C18" s="13"/>
      <c r="D18" s="14">
        <f>+'KY_Res by Plant Acct P16(REG)'!D18</f>
        <v>0</v>
      </c>
      <c r="E18" s="13"/>
      <c r="F18" s="14">
        <f>+'KY_Res by Plant Acct P16(REG)'!F18</f>
        <v>0</v>
      </c>
      <c r="G18" s="13"/>
      <c r="H18" s="14">
        <f>+'KY_Res by Plant Acct P16(REG)'!H18</f>
        <v>0</v>
      </c>
      <c r="I18" s="13"/>
      <c r="J18" s="14">
        <f>+'KY_Res by Plant Acct P16(REG)'!J18</f>
        <v>0</v>
      </c>
      <c r="K18" s="13"/>
      <c r="L18" s="14">
        <f>+'KY_Res by Plant Acct P16(REG)'!L18</f>
        <v>0</v>
      </c>
      <c r="M18" s="13"/>
      <c r="N18" s="14">
        <f>+'KY_Res by Plant Acct P16(REG)'!N18</f>
        <v>0</v>
      </c>
      <c r="O18" s="13"/>
      <c r="P18" s="14">
        <f>+'KY_Res by Plant Acct P16(REG)'!P18</f>
        <v>0</v>
      </c>
      <c r="Q18" s="13"/>
      <c r="R18" s="14">
        <f t="shared" si="0"/>
        <v>-0.18999999998777639</v>
      </c>
    </row>
    <row r="19" spans="1:18" x14ac:dyDescent="0.2">
      <c r="A19" s="3" t="s">
        <v>4347</v>
      </c>
      <c r="B19" s="14">
        <f>+'KY_Res by Plant Acct P16(REG)'!B19+'VA_Res by Plant Acct P17(REG)'!B14+'TN_Res by Plant Acct P18(REG)'!B14</f>
        <v>-118326633.26999997</v>
      </c>
      <c r="C19" s="13"/>
      <c r="D19" s="14">
        <f>+'KY_Res by Plant Acct P16(REG)'!D19+'VA_Res by Plant Acct P17(REG)'!D14+'TN_Res by Plant Acct P18(REG)'!D14</f>
        <v>-10331764.65</v>
      </c>
      <c r="E19" s="13"/>
      <c r="F19" s="14">
        <f>+'KY_Res by Plant Acct P16(REG)'!F19+'VA_Res by Plant Acct P17(REG)'!F14+'TN_Res by Plant Acct P18(REG)'!F14</f>
        <v>8166161.6900000004</v>
      </c>
      <c r="G19" s="13"/>
      <c r="H19" s="14">
        <f>+'KY_Res by Plant Acct P16(REG)'!H19+'VA_Res by Plant Acct P17(REG)'!H14+'TN_Res by Plant Acct P18(REG)'!H14</f>
        <v>0</v>
      </c>
      <c r="I19" s="13"/>
      <c r="J19" s="14">
        <f>+'KY_Res by Plant Acct P16(REG)'!J19+'VA_Res by Plant Acct P17(REG)'!J14+'TN_Res by Plant Acct P18(REG)'!J14</f>
        <v>0</v>
      </c>
      <c r="K19" s="13"/>
      <c r="L19" s="14">
        <f>+'KY_Res by Plant Acct P16(REG)'!L19+'VA_Res by Plant Acct P17(REG)'!L14+'TN_Res by Plant Acct P18(REG)'!L14</f>
        <v>2849652.0599999996</v>
      </c>
      <c r="M19" s="13"/>
      <c r="N19" s="14">
        <f>+'KY_Res by Plant Acct P16(REG)'!N19+'VA_Res by Plant Acct P17(REG)'!N14+'TN_Res by Plant Acct P18(REG)'!N14</f>
        <v>-105558.48</v>
      </c>
      <c r="O19" s="13"/>
      <c r="P19" s="14">
        <f>+'KY_Res by Plant Acct P16(REG)'!P19+'VA_Res by Plant Acct P17(REG)'!P14+'TN_Res by Plant Acct P18(REG)'!P14</f>
        <v>-181106.72000000003</v>
      </c>
      <c r="Q19" s="13"/>
      <c r="R19" s="14">
        <f t="shared" si="0"/>
        <v>-117929249.36999997</v>
      </c>
    </row>
    <row r="20" spans="1:18" x14ac:dyDescent="0.2">
      <c r="A20" s="3" t="s">
        <v>3841</v>
      </c>
      <c r="B20" s="14">
        <f>+'KY_Res by Plant Acct P16(REG)'!B20</f>
        <v>-1747.0700000000002</v>
      </c>
      <c r="C20" s="14">
        <f>+'KY_Res by Plant Acct P16(REG)'!C20</f>
        <v>0</v>
      </c>
      <c r="D20" s="14">
        <f>+'KY_Res by Plant Acct P16(REG)'!D20</f>
        <v>-672.66</v>
      </c>
      <c r="E20" s="14">
        <f>+'KY_Res by Plant Acct P16(REG)'!E20</f>
        <v>0</v>
      </c>
      <c r="F20" s="14">
        <f>+'KY_Res by Plant Acct P16(REG)'!F20</f>
        <v>0</v>
      </c>
      <c r="G20" s="14">
        <f>+'KY_Res by Plant Acct P16(REG)'!G20</f>
        <v>0</v>
      </c>
      <c r="H20" s="14">
        <f>+'KY_Res by Plant Acct P16(REG)'!H20</f>
        <v>0</v>
      </c>
      <c r="I20" s="14">
        <f>+'KY_Res by Plant Acct P16(REG)'!I20</f>
        <v>0</v>
      </c>
      <c r="J20" s="14">
        <f>+'KY_Res by Plant Acct P16(REG)'!J20</f>
        <v>0</v>
      </c>
      <c r="K20" s="14">
        <f>+'KY_Res by Plant Acct P16(REG)'!K20</f>
        <v>0</v>
      </c>
      <c r="L20" s="14">
        <f>+'KY_Res by Plant Acct P16(REG)'!L20</f>
        <v>0</v>
      </c>
      <c r="M20" s="14">
        <f>+'KY_Res by Plant Acct P16(REG)'!M20</f>
        <v>0</v>
      </c>
      <c r="N20" s="14">
        <f>+'KY_Res by Plant Acct P16(REG)'!N20</f>
        <v>0</v>
      </c>
      <c r="O20" s="14">
        <f>+'KY_Res by Plant Acct P16(REG)'!O20</f>
        <v>0</v>
      </c>
      <c r="P20" s="14">
        <f>+'KY_Res by Plant Acct P16(REG)'!P20</f>
        <v>0</v>
      </c>
      <c r="Q20" s="13"/>
      <c r="R20" s="14">
        <f t="shared" si="0"/>
        <v>-2419.73</v>
      </c>
    </row>
    <row r="21" spans="1:18" x14ac:dyDescent="0.2">
      <c r="A21" s="3" t="s">
        <v>4348</v>
      </c>
      <c r="B21" s="14">
        <f>+'KY_Res by Plant Acct P16(REG)'!B21</f>
        <v>-880536.13</v>
      </c>
      <c r="C21" s="13"/>
      <c r="D21" s="14">
        <f>+'KY_Res by Plant Acct P16(REG)'!D21+'VA_Res by Plant Acct P17(REG)'!D15+'TN_Res by Plant Acct P18(REG)'!D15</f>
        <v>-55701.120000000003</v>
      </c>
      <c r="E21" s="13"/>
      <c r="F21" s="14">
        <f>+'KY_Res by Plant Acct P16(REG)'!F21+'VA_Res by Plant Acct P17(REG)'!F15+'TN_Res by Plant Acct P18(REG)'!F15</f>
        <v>0</v>
      </c>
      <c r="G21" s="13"/>
      <c r="H21" s="14">
        <f>+'KY_Res by Plant Acct P16(REG)'!H21+'VA_Res by Plant Acct P17(REG)'!H15+'TN_Res by Plant Acct P18(REG)'!H15</f>
        <v>0</v>
      </c>
      <c r="I21" s="13"/>
      <c r="J21" s="14">
        <f>+'KY_Res by Plant Acct P16(REG)'!J21+'VA_Res by Plant Acct P17(REG)'!J15+'TN_Res by Plant Acct P18(REG)'!J15</f>
        <v>0</v>
      </c>
      <c r="K21" s="13"/>
      <c r="L21" s="14">
        <f>+'KY_Res by Plant Acct P16(REG)'!L21+'VA_Res by Plant Acct P17(REG)'!L15+'TN_Res by Plant Acct P18(REG)'!L15</f>
        <v>0</v>
      </c>
      <c r="M21" s="13"/>
      <c r="N21" s="14">
        <f>+'KY_Res by Plant Acct P16(REG)'!N21+'VA_Res by Plant Acct P17(REG)'!N15+'TN_Res by Plant Acct P18(REG)'!N15</f>
        <v>0</v>
      </c>
      <c r="O21" s="13"/>
      <c r="P21" s="14">
        <f>+'KY_Res by Plant Acct P16(REG)'!P21+'VA_Res by Plant Acct P17(REG)'!P15+'TN_Res by Plant Acct P18(REG)'!P15</f>
        <v>0</v>
      </c>
      <c r="Q21" s="13"/>
      <c r="R21" s="14">
        <f t="shared" si="0"/>
        <v>-936237.25</v>
      </c>
    </row>
    <row r="22" spans="1:18" x14ac:dyDescent="0.2">
      <c r="A22" s="3" t="s">
        <v>3843</v>
      </c>
      <c r="B22" s="14">
        <f>+'KY_Res by Plant Acct P16(REG)'!B22</f>
        <v>-10580.9</v>
      </c>
      <c r="C22" s="14">
        <f>+'KY_Res by Plant Acct P16(REG)'!C22</f>
        <v>0</v>
      </c>
      <c r="D22" s="14">
        <f>+'KY_Res by Plant Acct P16(REG)'!D22</f>
        <v>-4292.16</v>
      </c>
      <c r="E22" s="14">
        <f>+'KY_Res by Plant Acct P16(REG)'!E22</f>
        <v>0</v>
      </c>
      <c r="F22" s="14">
        <f>+'KY_Res by Plant Acct P16(REG)'!F22</f>
        <v>0</v>
      </c>
      <c r="G22" s="14">
        <f>+'KY_Res by Plant Acct P16(REG)'!G22</f>
        <v>0</v>
      </c>
      <c r="H22" s="14">
        <f>+'KY_Res by Plant Acct P16(REG)'!H22</f>
        <v>0</v>
      </c>
      <c r="I22" s="14">
        <f>+'KY_Res by Plant Acct P16(REG)'!I22</f>
        <v>0</v>
      </c>
      <c r="J22" s="14">
        <f>+'KY_Res by Plant Acct P16(REG)'!J22</f>
        <v>0</v>
      </c>
      <c r="K22" s="14">
        <f>+'KY_Res by Plant Acct P16(REG)'!K22</f>
        <v>0</v>
      </c>
      <c r="L22" s="14">
        <f>+'KY_Res by Plant Acct P16(REG)'!L22</f>
        <v>0</v>
      </c>
      <c r="M22" s="14">
        <f>+'KY_Res by Plant Acct P16(REG)'!M22</f>
        <v>0</v>
      </c>
      <c r="N22" s="14">
        <f>+'KY_Res by Plant Acct P16(REG)'!N22</f>
        <v>0</v>
      </c>
      <c r="O22" s="14">
        <f>+'KY_Res by Plant Acct P16(REG)'!O22</f>
        <v>0</v>
      </c>
      <c r="P22" s="14">
        <f>+'KY_Res by Plant Acct P16(REG)'!P22</f>
        <v>0</v>
      </c>
      <c r="Q22" s="13"/>
      <c r="R22" s="14">
        <f t="shared" si="0"/>
        <v>-14873.06</v>
      </c>
    </row>
    <row r="23" spans="1:18" x14ac:dyDescent="0.2">
      <c r="A23" s="3" t="s">
        <v>4349</v>
      </c>
      <c r="B23" s="14">
        <f>+'KY_Res by Plant Acct P16(REG)'!B23+'VA_Res by Plant Acct P17(REG)'!B16+'TN_Res by Plant Acct P18(REG)'!B16</f>
        <v>-43942889.209999986</v>
      </c>
      <c r="C23" s="13"/>
      <c r="D23" s="14">
        <f>+'KY_Res by Plant Acct P16(REG)'!D23+'VA_Res by Plant Acct P17(REG)'!D16+'TN_Res by Plant Acct P18(REG)'!D16</f>
        <v>-4621328.32</v>
      </c>
      <c r="E23" s="13"/>
      <c r="F23" s="14">
        <f>+'KY_Res by Plant Acct P16(REG)'!F23+'VA_Res by Plant Acct P17(REG)'!F16+'TN_Res by Plant Acct P18(REG)'!F16</f>
        <v>879783.42999999993</v>
      </c>
      <c r="G23" s="13"/>
      <c r="H23" s="14">
        <f>+'KY_Res by Plant Acct P16(REG)'!H23+'VA_Res by Plant Acct P17(REG)'!H16+'TN_Res by Plant Acct P18(REG)'!H16</f>
        <v>0</v>
      </c>
      <c r="I23" s="13"/>
      <c r="J23" s="14">
        <f>+'KY_Res by Plant Acct P16(REG)'!J23+'VA_Res by Plant Acct P17(REG)'!J16+'TN_Res by Plant Acct P18(REG)'!J16</f>
        <v>0</v>
      </c>
      <c r="K23" s="13"/>
      <c r="L23" s="14">
        <f>+'KY_Res by Plant Acct P16(REG)'!L23+'VA_Res by Plant Acct P17(REG)'!L16+'TN_Res by Plant Acct P18(REG)'!L16</f>
        <v>84130.73</v>
      </c>
      <c r="M23" s="13"/>
      <c r="N23" s="14">
        <f>+'KY_Res by Plant Acct P16(REG)'!N23+'VA_Res by Plant Acct P17(REG)'!N16+'TN_Res by Plant Acct P18(REG)'!N16</f>
        <v>-1628.81</v>
      </c>
      <c r="O23" s="13"/>
      <c r="P23" s="14">
        <f>+'KY_Res by Plant Acct P16(REG)'!P23+'VA_Res by Plant Acct P17(REG)'!P16+'TN_Res by Plant Acct P18(REG)'!P16</f>
        <v>-24508.489999999998</v>
      </c>
      <c r="Q23" s="13"/>
      <c r="R23" s="14">
        <f t="shared" si="0"/>
        <v>-47626440.669999994</v>
      </c>
    </row>
    <row r="24" spans="1:18" x14ac:dyDescent="0.2">
      <c r="A24" s="3" t="s">
        <v>3845</v>
      </c>
      <c r="B24" s="14">
        <f>+'KY_Res by Plant Acct P16(REG)'!B24</f>
        <v>-72024.7</v>
      </c>
      <c r="C24" s="14">
        <f>+'KY_Res by Plant Acct P16(REG)'!C24</f>
        <v>0</v>
      </c>
      <c r="D24" s="14">
        <f>+'KY_Res by Plant Acct P16(REG)'!D24</f>
        <v>-31826.76</v>
      </c>
      <c r="E24" s="14">
        <f>+'KY_Res by Plant Acct P16(REG)'!E24</f>
        <v>0</v>
      </c>
      <c r="F24" s="14">
        <f>+'KY_Res by Plant Acct P16(REG)'!F24</f>
        <v>0</v>
      </c>
      <c r="G24" s="14">
        <f>+'KY_Res by Plant Acct P16(REG)'!G24</f>
        <v>0</v>
      </c>
      <c r="H24" s="14">
        <f>+'KY_Res by Plant Acct P16(REG)'!H24</f>
        <v>0</v>
      </c>
      <c r="I24" s="14">
        <f>+'KY_Res by Plant Acct P16(REG)'!I24</f>
        <v>0</v>
      </c>
      <c r="J24" s="14">
        <f>+'KY_Res by Plant Acct P16(REG)'!J24</f>
        <v>0</v>
      </c>
      <c r="K24" s="14">
        <f>+'KY_Res by Plant Acct P16(REG)'!K24</f>
        <v>0</v>
      </c>
      <c r="L24" s="14">
        <f>+'KY_Res by Plant Acct P16(REG)'!L24</f>
        <v>0</v>
      </c>
      <c r="M24" s="14">
        <f>+'KY_Res by Plant Acct P16(REG)'!M24</f>
        <v>0</v>
      </c>
      <c r="N24" s="14">
        <f>+'KY_Res by Plant Acct P16(REG)'!N24</f>
        <v>0</v>
      </c>
      <c r="O24" s="14">
        <f>+'KY_Res by Plant Acct P16(REG)'!O24</f>
        <v>0</v>
      </c>
      <c r="P24" s="14">
        <f>+'KY_Res by Plant Acct P16(REG)'!P24</f>
        <v>0</v>
      </c>
      <c r="Q24" s="13"/>
      <c r="R24" s="14">
        <f t="shared" si="0"/>
        <v>-103851.45999999999</v>
      </c>
    </row>
    <row r="25" spans="1:18" x14ac:dyDescent="0.2">
      <c r="A25" s="3" t="s">
        <v>4350</v>
      </c>
      <c r="B25" s="14">
        <f>+'KY_Res by Plant Acct P16(REG)'!B25+'VA_Res by Plant Acct P17(REG)'!B17+'TN_Res by Plant Acct P18(REG)'!B17</f>
        <v>-147094772.66</v>
      </c>
      <c r="C25" s="13"/>
      <c r="D25" s="14">
        <f>+'KY_Res by Plant Acct P16(REG)'!D25+'VA_Res by Plant Acct P17(REG)'!D17+'TN_Res by Plant Acct P18(REG)'!D17</f>
        <v>-6668486.2400000002</v>
      </c>
      <c r="E25" s="13"/>
      <c r="F25" s="14">
        <f>+'KY_Res by Plant Acct P16(REG)'!F25+'VA_Res by Plant Acct P17(REG)'!F17+'TN_Res by Plant Acct P18(REG)'!F17</f>
        <v>9593062.4699999988</v>
      </c>
      <c r="G25" s="13"/>
      <c r="H25" s="14">
        <f>+'KY_Res by Plant Acct P16(REG)'!H25+'VA_Res by Plant Acct P17(REG)'!H17+'TN_Res by Plant Acct P18(REG)'!H17</f>
        <v>0</v>
      </c>
      <c r="I25" s="13"/>
      <c r="J25" s="14">
        <f>+'KY_Res by Plant Acct P16(REG)'!J25+'VA_Res by Plant Acct P17(REG)'!J17+'TN_Res by Plant Acct P18(REG)'!J17</f>
        <v>0</v>
      </c>
      <c r="K25" s="13"/>
      <c r="L25" s="14">
        <f>+'KY_Res by Plant Acct P16(REG)'!L25+'VA_Res by Plant Acct P17(REG)'!L17+'TN_Res by Plant Acct P18(REG)'!L17</f>
        <v>318405.99</v>
      </c>
      <c r="M25" s="13"/>
      <c r="N25" s="14">
        <f>+'KY_Res by Plant Acct P16(REG)'!N25+'VA_Res by Plant Acct P17(REG)'!N17+'TN_Res by Plant Acct P18(REG)'!N17</f>
        <v>-69769.34</v>
      </c>
      <c r="O25" s="13"/>
      <c r="P25" s="14">
        <f>+'KY_Res by Plant Acct P16(REG)'!P25+'VA_Res by Plant Acct P17(REG)'!P17+'TN_Res by Plant Acct P18(REG)'!P17</f>
        <v>-158704.48000000001</v>
      </c>
      <c r="Q25" s="13"/>
      <c r="R25" s="14">
        <f t="shared" si="0"/>
        <v>-144080264.25999999</v>
      </c>
    </row>
    <row r="26" spans="1:18" x14ac:dyDescent="0.2">
      <c r="A26" s="3" t="s">
        <v>4351</v>
      </c>
      <c r="B26" s="14">
        <f>+'KY_Res by Plant Acct P16(REG)'!B26+'VA_Res by Plant Acct P17(REG)'!B18+'TN_Res by Plant Acct P18(REG)'!B18</f>
        <v>-63217164.030000009</v>
      </c>
      <c r="C26" s="13"/>
      <c r="D26" s="14">
        <f>+'KY_Res by Plant Acct P16(REG)'!D26+'VA_Res by Plant Acct P17(REG)'!D18+'TN_Res by Plant Acct P18(REG)'!D18</f>
        <v>-1916830.7599999998</v>
      </c>
      <c r="E26" s="13"/>
      <c r="F26" s="14">
        <f>+'KY_Res by Plant Acct P16(REG)'!F26+'VA_Res by Plant Acct P17(REG)'!F18+'TN_Res by Plant Acct P18(REG)'!F18</f>
        <v>80976.81</v>
      </c>
      <c r="G26" s="13"/>
      <c r="H26" s="14">
        <f>+'KY_Res by Plant Acct P16(REG)'!H26+'VA_Res by Plant Acct P17(REG)'!H18+'TN_Res by Plant Acct P18(REG)'!H18</f>
        <v>0</v>
      </c>
      <c r="I26" s="13"/>
      <c r="J26" s="14">
        <f>+'KY_Res by Plant Acct P16(REG)'!J26+'VA_Res by Plant Acct P17(REG)'!J18+'TN_Res by Plant Acct P18(REG)'!J18</f>
        <v>0</v>
      </c>
      <c r="K26" s="13"/>
      <c r="L26" s="14">
        <f>+'KY_Res by Plant Acct P16(REG)'!L26+'VA_Res by Plant Acct P17(REG)'!L18+'TN_Res by Plant Acct P18(REG)'!L18</f>
        <v>1011923.31</v>
      </c>
      <c r="M26" s="13"/>
      <c r="N26" s="14">
        <f>+'KY_Res by Plant Acct P16(REG)'!N26+'VA_Res by Plant Acct P17(REG)'!N18+'TN_Res by Plant Acct P18(REG)'!N18</f>
        <v>15411.75</v>
      </c>
      <c r="O26" s="13"/>
      <c r="P26" s="14">
        <f>+'KY_Res by Plant Acct P16(REG)'!P26+'VA_Res by Plant Acct P17(REG)'!P18+'TN_Res by Plant Acct P18(REG)'!P18</f>
        <v>0</v>
      </c>
      <c r="Q26" s="13"/>
      <c r="R26" s="14">
        <f t="shared" si="0"/>
        <v>-64025682.920000002</v>
      </c>
    </row>
    <row r="27" spans="1:18" x14ac:dyDescent="0.2">
      <c r="A27" s="3" t="s">
        <v>4352</v>
      </c>
      <c r="B27" s="14">
        <f>+'KY_Res by Plant Acct P16(REG)'!B27+'VA_Res by Plant Acct P17(REG)'!B19+'TN_Res by Plant Acct P18(REG)'!B19</f>
        <v>-38891419.920000002</v>
      </c>
      <c r="C27" s="13"/>
      <c r="D27" s="14">
        <f>+'KY_Res by Plant Acct P16(REG)'!D27+'VA_Res by Plant Acct P17(REG)'!D19+'TN_Res by Plant Acct P18(REG)'!D19</f>
        <v>-2081574</v>
      </c>
      <c r="E27" s="13"/>
      <c r="F27" s="14">
        <f>+'KY_Res by Plant Acct P16(REG)'!F27+'VA_Res by Plant Acct P17(REG)'!F19+'TN_Res by Plant Acct P18(REG)'!F19</f>
        <v>1993750.74</v>
      </c>
      <c r="G27" s="13"/>
      <c r="H27" s="14">
        <f>+'KY_Res by Plant Acct P16(REG)'!H27+'VA_Res by Plant Acct P17(REG)'!H19+'TN_Res by Plant Acct P18(REG)'!H19</f>
        <v>5182444.01</v>
      </c>
      <c r="I27" s="13"/>
      <c r="J27" s="14">
        <f>+'KY_Res by Plant Acct P16(REG)'!J27+'VA_Res by Plant Acct P17(REG)'!J19+'TN_Res by Plant Acct P18(REG)'!J19</f>
        <v>0</v>
      </c>
      <c r="K27" s="13"/>
      <c r="L27" s="14">
        <f>+'KY_Res by Plant Acct P16(REG)'!L27+'VA_Res by Plant Acct P17(REG)'!L19+'TN_Res by Plant Acct P18(REG)'!L19</f>
        <v>0</v>
      </c>
      <c r="M27" s="13"/>
      <c r="N27" s="14">
        <f>+'KY_Res by Plant Acct P16(REG)'!N27+'VA_Res by Plant Acct P17(REG)'!N19+'TN_Res by Plant Acct P18(REG)'!N19</f>
        <v>0</v>
      </c>
      <c r="O27" s="13"/>
      <c r="P27" s="14">
        <f>+'KY_Res by Plant Acct P16(REG)'!P27+'VA_Res by Plant Acct P17(REG)'!P19+'TN_Res by Plant Acct P18(REG)'!P19</f>
        <v>0</v>
      </c>
      <c r="Q27" s="13"/>
      <c r="R27" s="14">
        <f t="shared" si="0"/>
        <v>-33796799.170000002</v>
      </c>
    </row>
    <row r="28" spans="1:18" x14ac:dyDescent="0.2">
      <c r="A28" s="43" t="s">
        <v>4353</v>
      </c>
      <c r="B28" s="14">
        <f>+'KY_Res by Plant Acct P16(REG)'!B28</f>
        <v>-23805.96</v>
      </c>
      <c r="C28" s="13"/>
      <c r="D28" s="14">
        <f>+'KY_Res by Plant Acct P16(REG)'!D28</f>
        <v>-49128.82</v>
      </c>
      <c r="E28" s="13"/>
      <c r="F28" s="14">
        <f>+'KY_Res by Plant Acct P16(REG)'!F28</f>
        <v>0</v>
      </c>
      <c r="G28" s="13"/>
      <c r="H28" s="14">
        <f>+'KY_Res by Plant Acct P16(REG)'!H28</f>
        <v>0</v>
      </c>
      <c r="I28" s="13"/>
      <c r="J28" s="14">
        <f>+'KY_Res by Plant Acct P16(REG)'!J28</f>
        <v>0</v>
      </c>
      <c r="K28" s="13"/>
      <c r="L28" s="14">
        <f>+'KY_Res by Plant Acct P16(REG)'!L28</f>
        <v>0</v>
      </c>
      <c r="M28" s="13"/>
      <c r="N28" s="14">
        <f>+'KY_Res by Plant Acct P16(REG)'!N28</f>
        <v>0</v>
      </c>
      <c r="O28" s="13"/>
      <c r="P28" s="14">
        <f>+'KY_Res by Plant Acct P16(REG)'!P28</f>
        <v>0</v>
      </c>
      <c r="Q28" s="13"/>
      <c r="R28" s="14">
        <f t="shared" si="0"/>
        <v>-72934.78</v>
      </c>
    </row>
    <row r="29" spans="1:18" x14ac:dyDescent="0.2">
      <c r="A29" s="43" t="s">
        <v>4354</v>
      </c>
      <c r="B29" s="14">
        <f>+'KY_Res by Plant Acct P16(REG)'!B29+'VA_Res by Plant Acct P17(REG)'!B20+'TN_Res by Plant Acct P18(REG)'!B20</f>
        <v>0</v>
      </c>
      <c r="C29" s="13"/>
      <c r="D29" s="14">
        <f>+'KY_Res by Plant Acct P16(REG)'!D29+'VA_Res by Plant Acct P17(REG)'!D20+'TN_Res by Plant Acct P18(REG)'!D20</f>
        <v>-219324.58000000002</v>
      </c>
      <c r="E29" s="14">
        <f>+'KY_Res by Plant Acct P16(REG)'!E29+'VA_Res by Plant Acct P17(REG)'!C20+'TN_Res by Plant Acct P18(REG)'!S20</f>
        <v>0</v>
      </c>
      <c r="F29" s="14">
        <f>+'KY_Res by Plant Acct P16(REG)'!F29+'VA_Res by Plant Acct P17(REG)'!F20+'TN_Res by Plant Acct P18(REG)'!F20</f>
        <v>56276.28</v>
      </c>
      <c r="G29" s="13"/>
      <c r="H29" s="14">
        <f>+'KY_Res by Plant Acct P16(REG)'!H29+'VA_Res by Plant Acct P17(REG)'!H20+'TN_Res by Plant Acct P18(REG)'!H20</f>
        <v>-5182444.01</v>
      </c>
      <c r="I29" s="13"/>
      <c r="J29" s="14">
        <f>+'KY_Res by Plant Acct P16(REG)'!J29+'VA_Res by Plant Acct P17(REG)'!J20+'TN_Res by Plant Acct P18(REG)'!J20</f>
        <v>0</v>
      </c>
      <c r="K29" s="14">
        <f>+'KY_Res by Plant Acct P16(REG)'!K29+'VA_Res by Plant Acct P17(REG)'!K20+'TN_Res by Plant Acct P18(REG)'!K20</f>
        <v>0</v>
      </c>
      <c r="L29" s="14">
        <f>+'KY_Res by Plant Acct P16(REG)'!L29+'VA_Res by Plant Acct P17(REG)'!L20+'TN_Res by Plant Acct P18(REG)'!L20</f>
        <v>0</v>
      </c>
      <c r="M29" s="13"/>
      <c r="N29" s="14">
        <f>+'KY_Res by Plant Acct P16(REG)'!N29+'VA_Res by Plant Acct P17(REG)'!N20+'TN_Res by Plant Acct P18(REG)'!N20</f>
        <v>0</v>
      </c>
      <c r="O29" s="13"/>
      <c r="P29" s="14">
        <f>+'KY_Res by Plant Acct P16(REG)'!P29+'VA_Res by Plant Acct P17(REG)'!P20+'TN_Res by Plant Acct P18(REG)'!P20</f>
        <v>0</v>
      </c>
      <c r="Q29" s="13"/>
      <c r="R29" s="14">
        <f t="shared" si="0"/>
        <v>-5345492.3099999996</v>
      </c>
    </row>
    <row r="30" spans="1:18" x14ac:dyDescent="0.2">
      <c r="A30" s="3" t="s">
        <v>4355</v>
      </c>
      <c r="B30" s="14">
        <f>+'KY_Res by Plant Acct P16(REG)'!B30+'VA_Res by Plant Acct P17(REG)'!B21+'TN_Res by Plant Acct P18(REG)'!B21</f>
        <v>-6.0349520936142653E-9</v>
      </c>
      <c r="C30" s="13"/>
      <c r="D30" s="14">
        <f>+'KY_Res by Plant Acct P16(REG)'!D30+'VA_Res by Plant Acct P17(REG)'!D21+'TN_Res by Plant Acct P18(REG)'!D21</f>
        <v>-30.94</v>
      </c>
      <c r="E30" s="13"/>
      <c r="F30" s="14">
        <f>+'KY_Res by Plant Acct P16(REG)'!F30+'VA_Res by Plant Acct P17(REG)'!F21+'TN_Res by Plant Acct P18(REG)'!F21</f>
        <v>0</v>
      </c>
      <c r="G30" s="13"/>
      <c r="H30" s="14">
        <f>+'KY_Res by Plant Acct P16(REG)'!H30+'VA_Res by Plant Acct P17(REG)'!H21+'TN_Res by Plant Acct P18(REG)'!H21</f>
        <v>0</v>
      </c>
      <c r="I30" s="13"/>
      <c r="J30" s="14">
        <f>+'KY_Res by Plant Acct P16(REG)'!J30+'VA_Res by Plant Acct P17(REG)'!J21+'TN_Res by Plant Acct P18(REG)'!J21</f>
        <v>0</v>
      </c>
      <c r="K30" s="13"/>
      <c r="L30" s="14">
        <f>+'KY_Res by Plant Acct P16(REG)'!L30+'VA_Res by Plant Acct P17(REG)'!L21+'TN_Res by Plant Acct P18(REG)'!L21</f>
        <v>0</v>
      </c>
      <c r="M30" s="13"/>
      <c r="N30" s="14">
        <f>+'KY_Res by Plant Acct P16(REG)'!N30+'VA_Res by Plant Acct P17(REG)'!N21+'TN_Res by Plant Acct P18(REG)'!N21</f>
        <v>0</v>
      </c>
      <c r="O30" s="13"/>
      <c r="P30" s="14">
        <f>+'KY_Res by Plant Acct P16(REG)'!P30+'VA_Res by Plant Acct P17(REG)'!P21+'TN_Res by Plant Acct P18(REG)'!P21</f>
        <v>0</v>
      </c>
      <c r="Q30" s="13"/>
      <c r="R30" s="14">
        <f t="shared" si="0"/>
        <v>-30.940000006034953</v>
      </c>
    </row>
    <row r="31" spans="1:18" x14ac:dyDescent="0.2">
      <c r="A31" s="3" t="s">
        <v>4356</v>
      </c>
      <c r="B31" s="14">
        <f>+'KY_Res by Plant Acct P16(REG)'!B31+'VA_Res by Plant Acct P17(REG)'!B22</f>
        <v>-37468870.829999991</v>
      </c>
      <c r="C31" s="13"/>
      <c r="D31" s="14">
        <f>+'KY_Res by Plant Acct P16(REG)'!D31+'VA_Res by Plant Acct P17(REG)'!D22</f>
        <v>-4733354.1199999992</v>
      </c>
      <c r="E31" s="13"/>
      <c r="F31" s="14">
        <f>+'KY_Res by Plant Acct P16(REG)'!F31+'VA_Res by Plant Acct P17(REG)'!F22</f>
        <v>816112.82</v>
      </c>
      <c r="G31" s="13"/>
      <c r="H31" s="14">
        <f>+'KY_Res by Plant Acct P16(REG)'!H31+'VA_Res by Plant Acct P17(REG)'!H22</f>
        <v>0</v>
      </c>
      <c r="I31" s="13"/>
      <c r="J31" s="14">
        <f>+'KY_Res by Plant Acct P16(REG)'!J31+'VA_Res by Plant Acct P17(REG)'!J22</f>
        <v>0</v>
      </c>
      <c r="K31" s="13"/>
      <c r="L31" s="14">
        <f>+'KY_Res by Plant Acct P16(REG)'!L31+'VA_Res by Plant Acct P17(REG)'!L22</f>
        <v>661569.17000000004</v>
      </c>
      <c r="M31" s="13"/>
      <c r="N31" s="14">
        <f>+'KY_Res by Plant Acct P16(REG)'!N31+'VA_Res by Plant Acct P17(REG)'!N22</f>
        <v>-174022.34</v>
      </c>
      <c r="O31" s="13"/>
      <c r="P31" s="14">
        <f>+'KY_Res by Plant Acct P16(REG)'!P31+'VA_Res by Plant Acct P17(REG)'!P22</f>
        <v>-59375.360000000001</v>
      </c>
      <c r="Q31" s="13"/>
      <c r="R31" s="14">
        <f t="shared" si="0"/>
        <v>-40957940.659999989</v>
      </c>
    </row>
    <row r="32" spans="1:18" s="59" customFormat="1" x14ac:dyDescent="0.2">
      <c r="A32" s="59" t="s">
        <v>3853</v>
      </c>
      <c r="B32" s="17">
        <f>+'KY_Res by Plant Acct P16(REG)'!B32</f>
        <v>-23306.199999999964</v>
      </c>
      <c r="C32" s="94"/>
      <c r="D32" s="17">
        <f>+'KY_Res by Plant Acct P16(REG)'!D32</f>
        <v>-12106.3</v>
      </c>
      <c r="E32" s="94"/>
      <c r="F32" s="17">
        <f>+'KY_Res by Plant Acct P16(REG)'!F32</f>
        <v>0</v>
      </c>
      <c r="G32" s="94"/>
      <c r="H32" s="17">
        <f>+'KY_Res by Plant Acct P16(REG)'!H32</f>
        <v>0</v>
      </c>
      <c r="I32" s="94"/>
      <c r="J32" s="17">
        <f>+'KY_Res by Plant Acct P16(REG)'!J32</f>
        <v>0</v>
      </c>
      <c r="K32" s="94"/>
      <c r="L32" s="17">
        <f>+'KY_Res by Plant Acct P16(REG)'!L32</f>
        <v>0</v>
      </c>
      <c r="M32" s="94"/>
      <c r="N32" s="17">
        <f>+'KY_Res by Plant Acct P16(REG)'!N32</f>
        <v>0</v>
      </c>
      <c r="O32" s="94"/>
      <c r="P32" s="17">
        <f>+'KY_Res by Plant Acct P16(REG)'!P32</f>
        <v>0</v>
      </c>
      <c r="Q32" s="94"/>
      <c r="R32" s="17">
        <f t="shared" si="0"/>
        <v>-35412.499999999964</v>
      </c>
    </row>
    <row r="33" spans="1:18" x14ac:dyDescent="0.2">
      <c r="A33" s="43" t="s">
        <v>3854</v>
      </c>
      <c r="B33" s="16">
        <f>+'KY_Res by Plant Acct P16(REG)'!B33</f>
        <v>-101191.59999999999</v>
      </c>
      <c r="C33" s="13"/>
      <c r="D33" s="16">
        <f>+'KY_Res by Plant Acct P16(REG)'!D33</f>
        <v>9546.35</v>
      </c>
      <c r="E33" s="13"/>
      <c r="F33" s="16">
        <f>+'KY_Res by Plant Acct P16(REG)'!F33</f>
        <v>1700.75</v>
      </c>
      <c r="G33" s="13"/>
      <c r="H33" s="16">
        <f>+'KY_Res by Plant Acct P16(REG)'!H33</f>
        <v>0</v>
      </c>
      <c r="I33" s="13"/>
      <c r="J33" s="16">
        <f>+'KY_Res by Plant Acct P16(REG)'!J33</f>
        <v>0</v>
      </c>
      <c r="K33" s="13"/>
      <c r="L33" s="16">
        <f>+'KY_Res by Plant Acct P16(REG)'!L33</f>
        <v>0</v>
      </c>
      <c r="M33" s="13"/>
      <c r="N33" s="16">
        <f>+'KY_Res by Plant Acct P16(REG)'!N33</f>
        <v>0</v>
      </c>
      <c r="O33" s="13"/>
      <c r="P33" s="16">
        <f>+'KY_Res by Plant Acct P16(REG)'!P33</f>
        <v>0</v>
      </c>
      <c r="Q33" s="13"/>
      <c r="R33" s="16">
        <f>SUM(B33:P33)</f>
        <v>-89944.499999999985</v>
      </c>
    </row>
    <row r="34" spans="1:18" x14ac:dyDescent="0.2">
      <c r="A34" s="3" t="s">
        <v>3855</v>
      </c>
      <c r="B34" s="17">
        <f>SUM(B10:B33)</f>
        <v>-662278371.6099999</v>
      </c>
      <c r="C34" s="13"/>
      <c r="D34" s="17">
        <f>SUM(D10:D33)</f>
        <v>-44928773.789999992</v>
      </c>
      <c r="E34" s="13"/>
      <c r="F34" s="17">
        <f>SUM(F10:F33)</f>
        <v>25442908.199999996</v>
      </c>
      <c r="G34" s="13"/>
      <c r="H34" s="17">
        <f>SUM(H10:H33)</f>
        <v>153213.33000000007</v>
      </c>
      <c r="I34" s="13"/>
      <c r="J34" s="17">
        <f>SUM(J10:J33)</f>
        <v>0</v>
      </c>
      <c r="K34" s="13"/>
      <c r="L34" s="17">
        <f>SUM(L10:L33)</f>
        <v>7327480.5</v>
      </c>
      <c r="M34" s="13"/>
      <c r="N34" s="17">
        <f>SUM(N10:N33)</f>
        <v>-437076.05999999994</v>
      </c>
      <c r="O34" s="13"/>
      <c r="P34" s="17">
        <f>SUM(P10:P33)</f>
        <v>-469483.01</v>
      </c>
      <c r="Q34" s="13"/>
      <c r="R34" s="17">
        <f>SUM(R10:R33)</f>
        <v>-675190102.43999982</v>
      </c>
    </row>
    <row r="35" spans="1:18" x14ac:dyDescent="0.2">
      <c r="C35" s="13"/>
      <c r="E35" s="13"/>
      <c r="G35" s="13"/>
      <c r="I35" s="13"/>
      <c r="K35" s="13"/>
      <c r="M35" s="13"/>
      <c r="O35" s="13"/>
      <c r="Q35" s="13"/>
    </row>
    <row r="36" spans="1:18" x14ac:dyDescent="0.2">
      <c r="A36" s="12" t="s">
        <v>13</v>
      </c>
      <c r="C36" s="13"/>
      <c r="E36" s="13"/>
      <c r="G36" s="13"/>
      <c r="I36" s="13"/>
      <c r="K36" s="13"/>
      <c r="M36" s="13"/>
      <c r="O36" s="13"/>
      <c r="Q36" s="13"/>
    </row>
    <row r="37" spans="1:18" x14ac:dyDescent="0.2">
      <c r="A37" s="3" t="s">
        <v>4357</v>
      </c>
      <c r="B37" s="14">
        <f>+'KY_Res by Plant Acct P16(REG)'!B37</f>
        <v>1.8189894035458565E-12</v>
      </c>
      <c r="C37" s="13"/>
      <c r="D37" s="14">
        <f>+'KY_Res by Plant Acct P16(REG)'!D37</f>
        <v>0</v>
      </c>
      <c r="E37" s="13"/>
      <c r="F37" s="14">
        <f>+'KY_Res by Plant Acct P16(REG)'!F37</f>
        <v>0</v>
      </c>
      <c r="G37" s="13"/>
      <c r="H37" s="14">
        <f>+'KY_Res by Plant Acct P16(REG)'!H37</f>
        <v>0</v>
      </c>
      <c r="I37" s="13"/>
      <c r="J37" s="14">
        <f>+'KY_Res by Plant Acct P16(REG)'!J37</f>
        <v>0</v>
      </c>
      <c r="K37" s="13"/>
      <c r="L37" s="14">
        <f>+'KY_Res by Plant Acct P16(REG)'!L37</f>
        <v>0</v>
      </c>
      <c r="M37" s="13"/>
      <c r="N37" s="14">
        <f>+'KY_Res by Plant Acct P16(REG)'!N37</f>
        <v>0</v>
      </c>
      <c r="O37" s="13"/>
      <c r="P37" s="14">
        <f>+'KY_Res by Plant Acct P16(REG)'!P37</f>
        <v>0</v>
      </c>
      <c r="Q37" s="13"/>
      <c r="R37" s="14">
        <f t="shared" ref="R37:R66" si="1">SUM(B37:P37)</f>
        <v>1.8189894035458565E-12</v>
      </c>
    </row>
    <row r="38" spans="1:18" x14ac:dyDescent="0.2">
      <c r="A38" s="3" t="s">
        <v>4358</v>
      </c>
      <c r="B38" s="14">
        <f>+'KY_Res by Plant Acct P16(REG)'!B38+'VA_Res by Plant Acct P17(REG)'!B26</f>
        <v>-7962456.9000000032</v>
      </c>
      <c r="C38" s="13"/>
      <c r="D38" s="14">
        <f>+'KY_Res by Plant Acct P16(REG)'!D38+'VA_Res by Plant Acct P17(REG)'!D26</f>
        <v>-945973.72</v>
      </c>
      <c r="E38" s="13"/>
      <c r="F38" s="14">
        <f>+'KY_Res by Plant Acct P16(REG)'!F38+'VA_Res by Plant Acct P17(REG)'!F26</f>
        <v>143704.84</v>
      </c>
      <c r="G38" s="13"/>
      <c r="H38" s="14">
        <f>+'KY_Res by Plant Acct P16(REG)'!H38+'VA_Res by Plant Acct P17(REG)'!H26</f>
        <v>-5891.72</v>
      </c>
      <c r="I38" s="13"/>
      <c r="J38" s="14">
        <f>+'KY_Res by Plant Acct P16(REG)'!J38+'VA_Res by Plant Acct P17(REG)'!J26</f>
        <v>0</v>
      </c>
      <c r="K38" s="13"/>
      <c r="L38" s="14">
        <f>+'KY_Res by Plant Acct P16(REG)'!L38+'VA_Res by Plant Acct P17(REG)'!L26</f>
        <v>26027.84</v>
      </c>
      <c r="M38" s="13"/>
      <c r="N38" s="14">
        <f>+'KY_Res by Plant Acct P16(REG)'!N38+'VA_Res by Plant Acct P17(REG)'!N26</f>
        <v>0</v>
      </c>
      <c r="O38" s="13"/>
      <c r="P38" s="14">
        <f>+'KY_Res by Plant Acct P16(REG)'!P38+'VA_Res by Plant Acct P17(REG)'!P26</f>
        <v>0</v>
      </c>
      <c r="Q38" s="13"/>
      <c r="R38" s="14">
        <f t="shared" si="1"/>
        <v>-8744589.6600000039</v>
      </c>
    </row>
    <row r="39" spans="1:18" x14ac:dyDescent="0.2">
      <c r="A39" s="3" t="s">
        <v>4359</v>
      </c>
      <c r="B39" s="14">
        <f>'KY_Res by Plant Acct P16(REG)'!B39</f>
        <v>-11526.53</v>
      </c>
      <c r="C39" s="13"/>
      <c r="D39" s="14">
        <f>'KY_Res by Plant Acct P16(REG)'!D39</f>
        <v>-1223.82</v>
      </c>
      <c r="E39" s="13"/>
      <c r="F39" s="14">
        <f>'KY_Res by Plant Acct P16(REG)'!F39</f>
        <v>0</v>
      </c>
      <c r="G39" s="13"/>
      <c r="H39" s="14">
        <f>'KY_Res by Plant Acct P16(REG)'!H39</f>
        <v>0</v>
      </c>
      <c r="I39" s="13"/>
      <c r="J39" s="14">
        <f>'KY_Res by Plant Acct P16(REG)'!J39</f>
        <v>0</v>
      </c>
      <c r="K39" s="13"/>
      <c r="L39" s="14">
        <f>'KY_Res by Plant Acct P16(REG)'!L39</f>
        <v>0</v>
      </c>
      <c r="M39" s="13"/>
      <c r="N39" s="14">
        <f>'KY_Res by Plant Acct P16(REG)'!N39</f>
        <v>0</v>
      </c>
      <c r="O39" s="13"/>
      <c r="P39" s="14">
        <f>+'KY_Res by Plant Acct P16(REG)'!P39+'VA_Res by Plant Acct P17(REG)'!P27</f>
        <v>0</v>
      </c>
      <c r="Q39" s="13"/>
      <c r="R39" s="14">
        <f t="shared" si="1"/>
        <v>-12750.35</v>
      </c>
    </row>
    <row r="40" spans="1:18" x14ac:dyDescent="0.2">
      <c r="A40" s="3" t="s">
        <v>3859</v>
      </c>
      <c r="B40" s="14">
        <f>'KY_Res by Plant Acct P16(REG)'!B40</f>
        <v>-423993.09999999992</v>
      </c>
      <c r="C40" s="13"/>
      <c r="D40" s="14">
        <f>'KY_Res by Plant Acct P16(REG)'!D40</f>
        <v>-101036.94</v>
      </c>
      <c r="E40" s="13"/>
      <c r="F40" s="14">
        <f>'KY_Res by Plant Acct P16(REG)'!F40</f>
        <v>1970.45</v>
      </c>
      <c r="G40" s="13"/>
      <c r="H40" s="14">
        <f>'KY_Res by Plant Acct P16(REG)'!H40</f>
        <v>0</v>
      </c>
      <c r="I40" s="13"/>
      <c r="J40" s="14">
        <f>'KY_Res by Plant Acct P16(REG)'!J40</f>
        <v>0</v>
      </c>
      <c r="K40" s="13"/>
      <c r="L40" s="14">
        <f>'KY_Res by Plant Acct P16(REG)'!L40</f>
        <v>0</v>
      </c>
      <c r="M40" s="13"/>
      <c r="N40" s="14">
        <f>'KY_Res by Plant Acct P16(REG)'!N40</f>
        <v>0</v>
      </c>
      <c r="O40" s="13"/>
      <c r="P40" s="14">
        <f>+'KY_Res by Plant Acct P16(REG)'!P40+'VA_Res by Plant Acct P17(REG)'!P28</f>
        <v>0</v>
      </c>
      <c r="Q40" s="13"/>
      <c r="R40" s="14">
        <f t="shared" si="1"/>
        <v>-523059.58999999991</v>
      </c>
    </row>
    <row r="41" spans="1:18" x14ac:dyDescent="0.2">
      <c r="A41" s="3" t="s">
        <v>4360</v>
      </c>
      <c r="B41" s="14">
        <f>'KY_Res by Plant Acct P16(REG)'!B41</f>
        <v>-2747994.6199999996</v>
      </c>
      <c r="C41" s="13"/>
      <c r="D41" s="14">
        <f>'KY_Res by Plant Acct P16(REG)'!D41</f>
        <v>-242361.4</v>
      </c>
      <c r="E41" s="13"/>
      <c r="F41" s="14">
        <f>'KY_Res by Plant Acct P16(REG)'!F41</f>
        <v>0</v>
      </c>
      <c r="G41" s="13"/>
      <c r="H41" s="14">
        <f>'KY_Res by Plant Acct P16(REG)'!H41</f>
        <v>0</v>
      </c>
      <c r="I41" s="13"/>
      <c r="J41" s="14">
        <f>'KY_Res by Plant Acct P16(REG)'!J41</f>
        <v>0</v>
      </c>
      <c r="K41" s="13"/>
      <c r="L41" s="14">
        <f>'KY_Res by Plant Acct P16(REG)'!L41</f>
        <v>0</v>
      </c>
      <c r="M41" s="13"/>
      <c r="N41" s="14">
        <f>'KY_Res by Plant Acct P16(REG)'!N41</f>
        <v>0</v>
      </c>
      <c r="O41" s="13"/>
      <c r="P41" s="14">
        <f>+'KY_Res by Plant Acct P16(REG)'!P41+'VA_Res by Plant Acct P17(REG)'!P29</f>
        <v>0</v>
      </c>
      <c r="Q41" s="13"/>
      <c r="R41" s="14">
        <f t="shared" si="1"/>
        <v>-2990356.0199999996</v>
      </c>
    </row>
    <row r="42" spans="1:18" x14ac:dyDescent="0.2">
      <c r="A42" s="3" t="s">
        <v>3861</v>
      </c>
      <c r="B42" s="14">
        <f>'KY_Res by Plant Acct P16(REG)'!B42</f>
        <v>-352232.85000000009</v>
      </c>
      <c r="C42" s="13"/>
      <c r="D42" s="14">
        <f>'KY_Res by Plant Acct P16(REG)'!D42</f>
        <v>-46959.91</v>
      </c>
      <c r="E42" s="13"/>
      <c r="F42" s="14">
        <f>'KY_Res by Plant Acct P16(REG)'!F42</f>
        <v>4493.18</v>
      </c>
      <c r="G42" s="13"/>
      <c r="H42" s="14">
        <f>'KY_Res by Plant Acct P16(REG)'!H42</f>
        <v>0</v>
      </c>
      <c r="I42" s="13"/>
      <c r="J42" s="14">
        <f>'KY_Res by Plant Acct P16(REG)'!J42</f>
        <v>0</v>
      </c>
      <c r="K42" s="13"/>
      <c r="L42" s="14">
        <f>'KY_Res by Plant Acct P16(REG)'!L42</f>
        <v>0</v>
      </c>
      <c r="M42" s="13"/>
      <c r="N42" s="14">
        <f>'KY_Res by Plant Acct P16(REG)'!N42</f>
        <v>0</v>
      </c>
      <c r="O42" s="13"/>
      <c r="P42" s="14">
        <f>+'KY_Res by Plant Acct P16(REG)'!P42+'VA_Res by Plant Acct P17(REG)'!P30</f>
        <v>0</v>
      </c>
      <c r="Q42" s="13"/>
      <c r="R42" s="14">
        <f t="shared" si="1"/>
        <v>-394699.58000000013</v>
      </c>
    </row>
    <row r="43" spans="1:18" outlineLevel="1" x14ac:dyDescent="0.2">
      <c r="A43" s="3" t="s">
        <v>3862</v>
      </c>
      <c r="B43" s="14">
        <f>+'KY_Res by Plant Acct P16(REG)'!B43</f>
        <v>-5869.6399999999985</v>
      </c>
      <c r="C43" s="13"/>
      <c r="D43" s="14">
        <f>+'KY_Res by Plant Acct P16(REG)'!D43</f>
        <v>-25.76</v>
      </c>
      <c r="E43" s="13"/>
      <c r="F43" s="14">
        <f>+'KY_Res by Plant Acct P16(REG)'!F43</f>
        <v>0</v>
      </c>
      <c r="G43" s="13"/>
      <c r="H43" s="14">
        <f>+'KY_Res by Plant Acct P16(REG)'!H43</f>
        <v>5891.72</v>
      </c>
      <c r="I43" s="13"/>
      <c r="J43" s="14">
        <f>+'KY_Res by Plant Acct P16(REG)'!J43</f>
        <v>0</v>
      </c>
      <c r="K43" s="13"/>
      <c r="L43" s="14">
        <f>+'KY_Res by Plant Acct P16(REG)'!L43</f>
        <v>0</v>
      </c>
      <c r="M43" s="13"/>
      <c r="N43" s="14">
        <f>+'KY_Res by Plant Acct P16(REG)'!N43</f>
        <v>0</v>
      </c>
      <c r="O43" s="13"/>
      <c r="P43" s="14">
        <f>+'KY_Res by Plant Acct P16(REG)'!P43</f>
        <v>0</v>
      </c>
      <c r="Q43" s="13"/>
      <c r="R43" s="14">
        <f>SUM(B43:P43)</f>
        <v>-3.679999999998472</v>
      </c>
    </row>
    <row r="44" spans="1:18" outlineLevel="1" x14ac:dyDescent="0.2">
      <c r="A44" s="43" t="s">
        <v>4361</v>
      </c>
      <c r="B44" s="14">
        <f>+'VA_Res by Plant Acct P17(REG)'!B27</f>
        <v>-32528.890000000007</v>
      </c>
      <c r="C44" s="13"/>
      <c r="D44" s="14">
        <f>+'VA_Res by Plant Acct P17(REG)'!D27</f>
        <v>-448.8</v>
      </c>
      <c r="E44" s="13"/>
      <c r="F44" s="14">
        <f>+'VA_Res by Plant Acct P17(REG)'!F27</f>
        <v>0</v>
      </c>
      <c r="G44" s="13"/>
      <c r="H44" s="14">
        <f>+'VA_Res by Plant Acct P17(REG)'!H27</f>
        <v>0</v>
      </c>
      <c r="I44" s="13"/>
      <c r="J44" s="14">
        <f>+'VA_Res by Plant Acct P17(REG)'!J27</f>
        <v>0</v>
      </c>
      <c r="K44" s="13"/>
      <c r="L44" s="14">
        <f>+'VA_Res by Plant Acct P17(REG)'!L27</f>
        <v>0</v>
      </c>
      <c r="M44" s="13"/>
      <c r="N44" s="14">
        <f>+'VA_Res by Plant Acct P17(REG)'!N27</f>
        <v>0</v>
      </c>
      <c r="O44" s="13"/>
      <c r="P44" s="14">
        <f>+'VA_Res by Plant Acct P17(REG)'!P27</f>
        <v>0</v>
      </c>
      <c r="Q44" s="13"/>
      <c r="R44" s="14">
        <f>SUM(B44:P44)</f>
        <v>-32977.69000000001</v>
      </c>
    </row>
    <row r="45" spans="1:18" outlineLevel="1" x14ac:dyDescent="0.2">
      <c r="A45" s="43" t="s">
        <v>4362</v>
      </c>
      <c r="B45" s="14">
        <f>+'VA_Res by Plant Acct P17(REG)'!B28</f>
        <v>-11653.070000000002</v>
      </c>
      <c r="C45" s="13"/>
      <c r="D45" s="14">
        <f>+'VA_Res by Plant Acct P17(REG)'!D28</f>
        <v>-195.12</v>
      </c>
      <c r="E45" s="13"/>
      <c r="F45" s="14">
        <f>+'VA_Res by Plant Acct P17(REG)'!F28</f>
        <v>0</v>
      </c>
      <c r="G45" s="13"/>
      <c r="H45" s="14">
        <f>+'VA_Res by Plant Acct P17(REG)'!H28</f>
        <v>0</v>
      </c>
      <c r="I45" s="13"/>
      <c r="J45" s="14">
        <f>+'VA_Res by Plant Acct P17(REG)'!J28</f>
        <v>0</v>
      </c>
      <c r="K45" s="13"/>
      <c r="L45" s="14">
        <f>+'VA_Res by Plant Acct P17(REG)'!L28</f>
        <v>0</v>
      </c>
      <c r="M45" s="13"/>
      <c r="N45" s="14">
        <f>+'VA_Res by Plant Acct P17(REG)'!N28</f>
        <v>0</v>
      </c>
      <c r="O45" s="13"/>
      <c r="P45" s="14">
        <f>+'VA_Res by Plant Acct P17(REG)'!P28</f>
        <v>0</v>
      </c>
      <c r="Q45" s="13"/>
      <c r="R45" s="14">
        <f>SUM(B45:P45)</f>
        <v>-11848.190000000002</v>
      </c>
    </row>
    <row r="46" spans="1:18" outlineLevel="1" x14ac:dyDescent="0.2">
      <c r="A46" s="3" t="s">
        <v>3863</v>
      </c>
      <c r="B46" s="14">
        <f>+'KY_Res by Plant Acct P16(REG)'!B44</f>
        <v>0</v>
      </c>
      <c r="C46" s="13"/>
      <c r="D46" s="14">
        <f>+'KY_Res by Plant Acct P16(REG)'!D44</f>
        <v>0</v>
      </c>
      <c r="E46" s="13"/>
      <c r="F46" s="14">
        <f>+'KY_Res by Plant Acct P16(REG)'!F44</f>
        <v>0</v>
      </c>
      <c r="G46" s="13"/>
      <c r="H46" s="14">
        <f>+'KY_Res by Plant Acct P16(REG)'!H44</f>
        <v>0</v>
      </c>
      <c r="I46" s="13"/>
      <c r="J46" s="14">
        <f>+'KY_Res by Plant Acct P16(REG)'!J44</f>
        <v>0</v>
      </c>
      <c r="K46" s="13"/>
      <c r="L46" s="14">
        <f>+'KY_Res by Plant Acct P16(REG)'!L44</f>
        <v>0</v>
      </c>
      <c r="M46" s="13"/>
      <c r="N46" s="14">
        <f>+'KY_Res by Plant Acct P16(REG)'!N44</f>
        <v>0</v>
      </c>
      <c r="O46" s="13"/>
      <c r="P46" s="14">
        <f>+'KY_Res by Plant Acct P16(REG)'!P44</f>
        <v>0</v>
      </c>
      <c r="Q46" s="13"/>
      <c r="R46" s="14">
        <f t="shared" si="1"/>
        <v>0</v>
      </c>
    </row>
    <row r="47" spans="1:18" outlineLevel="1" x14ac:dyDescent="0.2">
      <c r="A47" s="3" t="s">
        <v>3864</v>
      </c>
      <c r="B47" s="14">
        <f>+'KY_Res by Plant Acct P16(REG)'!B45</f>
        <v>0</v>
      </c>
      <c r="C47" s="13"/>
      <c r="D47" s="14">
        <f>+'KY_Res by Plant Acct P16(REG)'!D45</f>
        <v>0</v>
      </c>
      <c r="E47" s="13"/>
      <c r="F47" s="14">
        <f>+'KY_Res by Plant Acct P16(REG)'!F45</f>
        <v>0</v>
      </c>
      <c r="G47" s="13"/>
      <c r="H47" s="14">
        <f>+'KY_Res by Plant Acct P16(REG)'!H45</f>
        <v>0</v>
      </c>
      <c r="I47" s="13"/>
      <c r="J47" s="14">
        <f>+'KY_Res by Plant Acct P16(REG)'!J45</f>
        <v>0</v>
      </c>
      <c r="K47" s="13"/>
      <c r="L47" s="14">
        <f>+'KY_Res by Plant Acct P16(REG)'!L45</f>
        <v>0</v>
      </c>
      <c r="M47" s="13"/>
      <c r="N47" s="14">
        <f>+'KY_Res by Plant Acct P16(REG)'!N45</f>
        <v>0</v>
      </c>
      <c r="O47" s="13"/>
      <c r="P47" s="14">
        <f>+'KY_Res by Plant Acct P16(REG)'!P45</f>
        <v>0</v>
      </c>
      <c r="Q47" s="13"/>
      <c r="R47" s="14">
        <f t="shared" si="1"/>
        <v>0</v>
      </c>
    </row>
    <row r="48" spans="1:18" outlineLevel="1" x14ac:dyDescent="0.2">
      <c r="A48" s="3" t="s">
        <v>3865</v>
      </c>
      <c r="B48" s="14">
        <f>+'KY_Res by Plant Acct P16(REG)'!B46</f>
        <v>0</v>
      </c>
      <c r="C48" s="13"/>
      <c r="D48" s="14">
        <f>+'KY_Res by Plant Acct P16(REG)'!D46</f>
        <v>0</v>
      </c>
      <c r="E48" s="13"/>
      <c r="F48" s="14">
        <f>+'KY_Res by Plant Acct P16(REG)'!F46</f>
        <v>0</v>
      </c>
      <c r="G48" s="13"/>
      <c r="H48" s="14">
        <f>+'KY_Res by Plant Acct P16(REG)'!H46</f>
        <v>0</v>
      </c>
      <c r="I48" s="13"/>
      <c r="J48" s="14">
        <f>+'KY_Res by Plant Acct P16(REG)'!J46</f>
        <v>0</v>
      </c>
      <c r="K48" s="13"/>
      <c r="L48" s="14">
        <f>+'KY_Res by Plant Acct P16(REG)'!L46</f>
        <v>0</v>
      </c>
      <c r="M48" s="13"/>
      <c r="N48" s="14">
        <f>+'KY_Res by Plant Acct P16(REG)'!N46</f>
        <v>0</v>
      </c>
      <c r="O48" s="13"/>
      <c r="P48" s="14">
        <f>+'KY_Res by Plant Acct P16(REG)'!P46</f>
        <v>0</v>
      </c>
      <c r="Q48" s="13"/>
      <c r="R48" s="14">
        <f t="shared" si="1"/>
        <v>0</v>
      </c>
    </row>
    <row r="49" spans="1:18" outlineLevel="1" x14ac:dyDescent="0.2">
      <c r="A49" s="3" t="s">
        <v>3866</v>
      </c>
      <c r="B49" s="14">
        <f>+'KY_Res by Plant Acct P16(REG)'!B47</f>
        <v>-4486.239999999998</v>
      </c>
      <c r="C49" s="13"/>
      <c r="D49" s="14">
        <f>+'KY_Res by Plant Acct P16(REG)'!D47</f>
        <v>-14.05</v>
      </c>
      <c r="E49" s="13"/>
      <c r="F49" s="14">
        <f>+'KY_Res by Plant Acct P16(REG)'!F47</f>
        <v>3924.94</v>
      </c>
      <c r="G49" s="13"/>
      <c r="H49" s="14">
        <f>+'KY_Res by Plant Acct P16(REG)'!H47</f>
        <v>0</v>
      </c>
      <c r="I49" s="13"/>
      <c r="J49" s="14">
        <f>+'KY_Res by Plant Acct P16(REG)'!J47</f>
        <v>0</v>
      </c>
      <c r="K49" s="13"/>
      <c r="L49" s="14">
        <f>+'KY_Res by Plant Acct P16(REG)'!L47</f>
        <v>0</v>
      </c>
      <c r="M49" s="13"/>
      <c r="N49" s="14">
        <f>+'KY_Res by Plant Acct P16(REG)'!N47</f>
        <v>0</v>
      </c>
      <c r="O49" s="13"/>
      <c r="P49" s="14">
        <f>+'KY_Res by Plant Acct P16(REG)'!P47</f>
        <v>0</v>
      </c>
      <c r="Q49" s="13"/>
      <c r="R49" s="14">
        <f t="shared" si="1"/>
        <v>-575.34999999999809</v>
      </c>
    </row>
    <row r="50" spans="1:18" outlineLevel="1" x14ac:dyDescent="0.2">
      <c r="A50" s="3" t="s">
        <v>3867</v>
      </c>
      <c r="B50" s="14">
        <f>+'KY_Res by Plant Acct P16(REG)'!B48</f>
        <v>-22380.310000000009</v>
      </c>
      <c r="C50" s="13"/>
      <c r="D50" s="14">
        <f>+'KY_Res by Plant Acct P16(REG)'!D48</f>
        <v>-308.33999999999997</v>
      </c>
      <c r="E50" s="13"/>
      <c r="F50" s="14">
        <f>+'KY_Res by Plant Acct P16(REG)'!F48</f>
        <v>0</v>
      </c>
      <c r="G50" s="13"/>
      <c r="H50" s="14">
        <f>+'KY_Res by Plant Acct P16(REG)'!H48</f>
        <v>0</v>
      </c>
      <c r="I50" s="13"/>
      <c r="J50" s="14">
        <f>+'KY_Res by Plant Acct P16(REG)'!J48</f>
        <v>0</v>
      </c>
      <c r="K50" s="13"/>
      <c r="L50" s="14">
        <f>+'KY_Res by Plant Acct P16(REG)'!L48</f>
        <v>0</v>
      </c>
      <c r="M50" s="13"/>
      <c r="N50" s="14">
        <f>+'KY_Res by Plant Acct P16(REG)'!N48</f>
        <v>0</v>
      </c>
      <c r="O50" s="13"/>
      <c r="P50" s="14">
        <f>+'KY_Res by Plant Acct P16(REG)'!P48</f>
        <v>0</v>
      </c>
      <c r="Q50" s="13"/>
      <c r="R50" s="14">
        <f t="shared" si="1"/>
        <v>-22688.650000000009</v>
      </c>
    </row>
    <row r="51" spans="1:18" outlineLevel="1" x14ac:dyDescent="0.2">
      <c r="A51" s="3" t="s">
        <v>3868</v>
      </c>
      <c r="B51" s="14">
        <f>+'KY_Res by Plant Acct P16(REG)'!B49</f>
        <v>0</v>
      </c>
      <c r="C51" s="13"/>
      <c r="D51" s="14">
        <f>+'KY_Res by Plant Acct P16(REG)'!D49</f>
        <v>0</v>
      </c>
      <c r="E51" s="13"/>
      <c r="F51" s="14">
        <f>+'KY_Res by Plant Acct P16(REG)'!F49</f>
        <v>0</v>
      </c>
      <c r="G51" s="13"/>
      <c r="H51" s="14">
        <f>+'KY_Res by Plant Acct P16(REG)'!H49</f>
        <v>0</v>
      </c>
      <c r="I51" s="13"/>
      <c r="J51" s="14">
        <f>+'KY_Res by Plant Acct P16(REG)'!J49</f>
        <v>0</v>
      </c>
      <c r="K51" s="13"/>
      <c r="L51" s="14">
        <f>+'KY_Res by Plant Acct P16(REG)'!L49</f>
        <v>0</v>
      </c>
      <c r="M51" s="13"/>
      <c r="N51" s="14">
        <f>+'KY_Res by Plant Acct P16(REG)'!N49</f>
        <v>0</v>
      </c>
      <c r="O51" s="13"/>
      <c r="P51" s="14">
        <f>+'KY_Res by Plant Acct P16(REG)'!P49</f>
        <v>0</v>
      </c>
      <c r="Q51" s="13"/>
      <c r="R51" s="14">
        <f t="shared" si="1"/>
        <v>0</v>
      </c>
    </row>
    <row r="52" spans="1:18" outlineLevel="1" x14ac:dyDescent="0.2">
      <c r="A52" s="3" t="s">
        <v>3869</v>
      </c>
      <c r="B52" s="14">
        <f>+'KY_Res by Plant Acct P16(REG)'!B50</f>
        <v>-1187.2600000000007</v>
      </c>
      <c r="C52" s="13"/>
      <c r="D52" s="14">
        <f>+'KY_Res by Plant Acct P16(REG)'!D50</f>
        <v>-16.38</v>
      </c>
      <c r="E52" s="13"/>
      <c r="F52" s="14">
        <f>+'KY_Res by Plant Acct P16(REG)'!F50</f>
        <v>0</v>
      </c>
      <c r="G52" s="13"/>
      <c r="H52" s="14">
        <f>+'KY_Res by Plant Acct P16(REG)'!H50</f>
        <v>0</v>
      </c>
      <c r="I52" s="13"/>
      <c r="J52" s="14">
        <f>+'KY_Res by Plant Acct P16(REG)'!J50</f>
        <v>0</v>
      </c>
      <c r="K52" s="13"/>
      <c r="L52" s="14">
        <f>+'KY_Res by Plant Acct P16(REG)'!L50</f>
        <v>0</v>
      </c>
      <c r="M52" s="13"/>
      <c r="N52" s="14">
        <f>+'KY_Res by Plant Acct P16(REG)'!N50</f>
        <v>0</v>
      </c>
      <c r="O52" s="13"/>
      <c r="P52" s="14">
        <f>+'KY_Res by Plant Acct P16(REG)'!P50</f>
        <v>0</v>
      </c>
      <c r="Q52" s="13"/>
      <c r="R52" s="14">
        <f t="shared" si="1"/>
        <v>-1203.6400000000008</v>
      </c>
    </row>
    <row r="53" spans="1:18" outlineLevel="1" x14ac:dyDescent="0.2">
      <c r="A53" s="3" t="s">
        <v>3870</v>
      </c>
      <c r="B53" s="14">
        <f>+'KY_Res by Plant Acct P16(REG)'!B51</f>
        <v>0</v>
      </c>
      <c r="C53" s="13"/>
      <c r="D53" s="14">
        <f>+'KY_Res by Plant Acct P16(REG)'!D51</f>
        <v>0</v>
      </c>
      <c r="E53" s="13"/>
      <c r="F53" s="14">
        <f>+'KY_Res by Plant Acct P16(REG)'!F51</f>
        <v>0</v>
      </c>
      <c r="G53" s="13"/>
      <c r="H53" s="14">
        <f>+'KY_Res by Plant Acct P16(REG)'!H51</f>
        <v>0</v>
      </c>
      <c r="I53" s="13"/>
      <c r="J53" s="14">
        <f>+'KY_Res by Plant Acct P16(REG)'!J51</f>
        <v>0</v>
      </c>
      <c r="K53" s="13"/>
      <c r="L53" s="14">
        <f>+'KY_Res by Plant Acct P16(REG)'!L51</f>
        <v>0</v>
      </c>
      <c r="M53" s="13"/>
      <c r="N53" s="14">
        <f>+'KY_Res by Plant Acct P16(REG)'!N51</f>
        <v>0</v>
      </c>
      <c r="O53" s="13"/>
      <c r="P53" s="14">
        <f>+'KY_Res by Plant Acct P16(REG)'!P51</f>
        <v>0</v>
      </c>
      <c r="Q53" s="13"/>
      <c r="R53" s="14">
        <f t="shared" si="1"/>
        <v>0</v>
      </c>
    </row>
    <row r="54" spans="1:18" outlineLevel="1" x14ac:dyDescent="0.2">
      <c r="A54" s="3" t="s">
        <v>3871</v>
      </c>
      <c r="B54" s="14">
        <f>+'KY_Res by Plant Acct P16(REG)'!B52</f>
        <v>-100.86999999999534</v>
      </c>
      <c r="C54" s="13"/>
      <c r="D54" s="14">
        <f>+'KY_Res by Plant Acct P16(REG)'!D52</f>
        <v>0</v>
      </c>
      <c r="E54" s="13"/>
      <c r="F54" s="14">
        <f>+'KY_Res by Plant Acct P16(REG)'!F52</f>
        <v>0</v>
      </c>
      <c r="G54" s="13"/>
      <c r="H54" s="14">
        <f>+'KY_Res by Plant Acct P16(REG)'!H52</f>
        <v>0</v>
      </c>
      <c r="I54" s="13"/>
      <c r="J54" s="14">
        <f>+'KY_Res by Plant Acct P16(REG)'!J52</f>
        <v>0</v>
      </c>
      <c r="K54" s="13"/>
      <c r="L54" s="14">
        <f>+'KY_Res by Plant Acct P16(REG)'!L52</f>
        <v>0</v>
      </c>
      <c r="M54" s="13"/>
      <c r="N54" s="14">
        <f>+'KY_Res by Plant Acct P16(REG)'!N52</f>
        <v>0</v>
      </c>
      <c r="O54" s="13"/>
      <c r="P54" s="14">
        <f>+'KY_Res by Plant Acct P16(REG)'!P52</f>
        <v>0</v>
      </c>
      <c r="Q54" s="13"/>
      <c r="R54" s="14">
        <f t="shared" si="1"/>
        <v>-100.86999999999534</v>
      </c>
    </row>
    <row r="55" spans="1:18" outlineLevel="1" x14ac:dyDescent="0.2">
      <c r="A55" s="3" t="s">
        <v>3872</v>
      </c>
      <c r="B55" s="14">
        <f>+'KY_Res by Plant Acct P16(REG)'!B53</f>
        <v>0</v>
      </c>
      <c r="C55" s="13"/>
      <c r="D55" s="14">
        <f>+'KY_Res by Plant Acct P16(REG)'!D53</f>
        <v>0</v>
      </c>
      <c r="E55" s="13"/>
      <c r="F55" s="14">
        <f>+'KY_Res by Plant Acct P16(REG)'!F53</f>
        <v>0</v>
      </c>
      <c r="G55" s="13"/>
      <c r="H55" s="14">
        <f>+'KY_Res by Plant Acct P16(REG)'!H53</f>
        <v>0</v>
      </c>
      <c r="I55" s="13"/>
      <c r="J55" s="14">
        <f>+'KY_Res by Plant Acct P16(REG)'!J53</f>
        <v>0</v>
      </c>
      <c r="K55" s="13"/>
      <c r="L55" s="14">
        <f>+'KY_Res by Plant Acct P16(REG)'!L53</f>
        <v>0</v>
      </c>
      <c r="M55" s="13"/>
      <c r="N55" s="14">
        <f>+'KY_Res by Plant Acct P16(REG)'!N53</f>
        <v>0</v>
      </c>
      <c r="O55" s="13"/>
      <c r="P55" s="14">
        <f>+'KY_Res by Plant Acct P16(REG)'!P53</f>
        <v>0</v>
      </c>
      <c r="Q55" s="13"/>
      <c r="R55" s="14">
        <f t="shared" si="1"/>
        <v>0</v>
      </c>
    </row>
    <row r="56" spans="1:18" outlineLevel="1" x14ac:dyDescent="0.2">
      <c r="A56" s="3" t="s">
        <v>3873</v>
      </c>
      <c r="B56" s="14">
        <f>+'KY_Res by Plant Acct P16(REG)'!B54</f>
        <v>-197.03999999999996</v>
      </c>
      <c r="C56" s="13"/>
      <c r="D56" s="14">
        <f>+'KY_Res by Plant Acct P16(REG)'!D54</f>
        <v>-2.7</v>
      </c>
      <c r="E56" s="13"/>
      <c r="F56" s="14">
        <f>+'KY_Res by Plant Acct P16(REG)'!F54</f>
        <v>0</v>
      </c>
      <c r="G56" s="13"/>
      <c r="H56" s="14">
        <f>+'KY_Res by Plant Acct P16(REG)'!H54</f>
        <v>0</v>
      </c>
      <c r="I56" s="13"/>
      <c r="J56" s="14">
        <f>+'KY_Res by Plant Acct P16(REG)'!J54</f>
        <v>0</v>
      </c>
      <c r="K56" s="13"/>
      <c r="L56" s="14">
        <f>+'KY_Res by Plant Acct P16(REG)'!L54</f>
        <v>0</v>
      </c>
      <c r="M56" s="13"/>
      <c r="N56" s="14">
        <f>+'KY_Res by Plant Acct P16(REG)'!N54</f>
        <v>0</v>
      </c>
      <c r="O56" s="13"/>
      <c r="P56" s="14">
        <f>+'KY_Res by Plant Acct P16(REG)'!P54</f>
        <v>0</v>
      </c>
      <c r="Q56" s="13"/>
      <c r="R56" s="14">
        <f t="shared" si="1"/>
        <v>-199.73999999999995</v>
      </c>
    </row>
    <row r="57" spans="1:18" outlineLevel="1" x14ac:dyDescent="0.2">
      <c r="A57" s="3" t="s">
        <v>3874</v>
      </c>
      <c r="B57" s="14">
        <f>+'KY_Res by Plant Acct P16(REG)'!B55</f>
        <v>-37283.849999999991</v>
      </c>
      <c r="C57" s="13"/>
      <c r="D57" s="14">
        <f>+'KY_Res by Plant Acct P16(REG)'!D55</f>
        <v>-513.66</v>
      </c>
      <c r="E57" s="13"/>
      <c r="F57" s="14">
        <f>+'KY_Res by Plant Acct P16(REG)'!F55</f>
        <v>0</v>
      </c>
      <c r="G57" s="13"/>
      <c r="H57" s="14">
        <f>+'KY_Res by Plant Acct P16(REG)'!H55</f>
        <v>0</v>
      </c>
      <c r="I57" s="13"/>
      <c r="J57" s="14">
        <f>+'KY_Res by Plant Acct P16(REG)'!J55</f>
        <v>0</v>
      </c>
      <c r="K57" s="13"/>
      <c r="L57" s="14">
        <f>+'KY_Res by Plant Acct P16(REG)'!L55</f>
        <v>0</v>
      </c>
      <c r="M57" s="13"/>
      <c r="N57" s="14">
        <f>+'KY_Res by Plant Acct P16(REG)'!N55</f>
        <v>0</v>
      </c>
      <c r="O57" s="13"/>
      <c r="P57" s="14">
        <f>+'KY_Res by Plant Acct P16(REG)'!P55</f>
        <v>0</v>
      </c>
      <c r="Q57" s="13"/>
      <c r="R57" s="14">
        <f t="shared" si="1"/>
        <v>-37797.509999999995</v>
      </c>
    </row>
    <row r="58" spans="1:18" outlineLevel="1" x14ac:dyDescent="0.2">
      <c r="A58" s="3" t="s">
        <v>3875</v>
      </c>
      <c r="B58" s="14">
        <f>+'KY_Res by Plant Acct P16(REG)'!B56</f>
        <v>0</v>
      </c>
      <c r="C58" s="13"/>
      <c r="D58" s="14">
        <f>+'KY_Res by Plant Acct P16(REG)'!D56</f>
        <v>0</v>
      </c>
      <c r="E58" s="13"/>
      <c r="F58" s="14">
        <f>+'KY_Res by Plant Acct P16(REG)'!F56</f>
        <v>0</v>
      </c>
      <c r="G58" s="13"/>
      <c r="H58" s="14">
        <f>+'KY_Res by Plant Acct P16(REG)'!H56</f>
        <v>0</v>
      </c>
      <c r="I58" s="13"/>
      <c r="J58" s="14">
        <f>+'KY_Res by Plant Acct P16(REG)'!J56</f>
        <v>0</v>
      </c>
      <c r="K58" s="13"/>
      <c r="L58" s="14">
        <f>+'KY_Res by Plant Acct P16(REG)'!L56</f>
        <v>0</v>
      </c>
      <c r="M58" s="13"/>
      <c r="N58" s="14">
        <f>+'KY_Res by Plant Acct P16(REG)'!N56</f>
        <v>0</v>
      </c>
      <c r="O58" s="13"/>
      <c r="P58" s="14">
        <f>+'KY_Res by Plant Acct P16(REG)'!P56</f>
        <v>0</v>
      </c>
      <c r="Q58" s="13"/>
      <c r="R58" s="14">
        <f t="shared" si="1"/>
        <v>0</v>
      </c>
    </row>
    <row r="59" spans="1:18" outlineLevel="1" x14ac:dyDescent="0.2">
      <c r="A59" s="3" t="s">
        <v>3876</v>
      </c>
      <c r="B59" s="14">
        <f>+'KY_Res by Plant Acct P16(REG)'!B57</f>
        <v>-3376.2400000000007</v>
      </c>
      <c r="C59" s="13"/>
      <c r="D59" s="14">
        <f>+'KY_Res by Plant Acct P16(REG)'!D57</f>
        <v>-46.5</v>
      </c>
      <c r="E59" s="13"/>
      <c r="F59" s="14">
        <f>+'KY_Res by Plant Acct P16(REG)'!F57</f>
        <v>0</v>
      </c>
      <c r="G59" s="13"/>
      <c r="H59" s="14">
        <f>+'KY_Res by Plant Acct P16(REG)'!H57</f>
        <v>0</v>
      </c>
      <c r="I59" s="13"/>
      <c r="J59" s="14">
        <f>+'KY_Res by Plant Acct P16(REG)'!J57</f>
        <v>0</v>
      </c>
      <c r="K59" s="13"/>
      <c r="L59" s="14">
        <f>+'KY_Res by Plant Acct P16(REG)'!L57</f>
        <v>0</v>
      </c>
      <c r="M59" s="13"/>
      <c r="N59" s="14">
        <f>+'KY_Res by Plant Acct P16(REG)'!N57</f>
        <v>0</v>
      </c>
      <c r="O59" s="13"/>
      <c r="P59" s="14">
        <f>+'KY_Res by Plant Acct P16(REG)'!P57</f>
        <v>0</v>
      </c>
      <c r="Q59" s="13"/>
      <c r="R59" s="14">
        <f t="shared" si="1"/>
        <v>-3422.7400000000007</v>
      </c>
    </row>
    <row r="60" spans="1:18" outlineLevel="1" x14ac:dyDescent="0.2">
      <c r="A60" s="3" t="s">
        <v>3877</v>
      </c>
      <c r="B60" s="14">
        <f>+'KY_Res by Plant Acct P16(REG)'!B58</f>
        <v>-159988.58000000002</v>
      </c>
      <c r="C60" s="13"/>
      <c r="D60" s="14">
        <f>+'KY_Res by Plant Acct P16(REG)'!D58</f>
        <v>-4227.3599999999997</v>
      </c>
      <c r="E60" s="13"/>
      <c r="F60" s="14">
        <f>+'KY_Res by Plant Acct P16(REG)'!F58</f>
        <v>0</v>
      </c>
      <c r="G60" s="13"/>
      <c r="H60" s="14">
        <f>+'KY_Res by Plant Acct P16(REG)'!H58</f>
        <v>0</v>
      </c>
      <c r="I60" s="13"/>
      <c r="J60" s="14">
        <f>+'KY_Res by Plant Acct P16(REG)'!J58</f>
        <v>0</v>
      </c>
      <c r="K60" s="13"/>
      <c r="L60" s="14">
        <f>+'KY_Res by Plant Acct P16(REG)'!L58</f>
        <v>0</v>
      </c>
      <c r="M60" s="13"/>
      <c r="N60" s="14">
        <f>+'KY_Res by Plant Acct P16(REG)'!N58</f>
        <v>0</v>
      </c>
      <c r="O60" s="13"/>
      <c r="P60" s="14">
        <f>+'KY_Res by Plant Acct P16(REG)'!P58</f>
        <v>0</v>
      </c>
      <c r="Q60" s="13"/>
      <c r="R60" s="14">
        <f t="shared" si="1"/>
        <v>-164215.94</v>
      </c>
    </row>
    <row r="61" spans="1:18" outlineLevel="1" x14ac:dyDescent="0.2">
      <c r="A61" s="3" t="s">
        <v>3878</v>
      </c>
      <c r="B61" s="14">
        <f>+'KY_Res by Plant Acct P16(REG)'!B59</f>
        <v>-46536.539999999994</v>
      </c>
      <c r="C61" s="13"/>
      <c r="D61" s="14">
        <f>+'KY_Res by Plant Acct P16(REG)'!D59</f>
        <v>-641.16</v>
      </c>
      <c r="E61" s="13"/>
      <c r="F61" s="14">
        <f>+'KY_Res by Plant Acct P16(REG)'!F59</f>
        <v>0</v>
      </c>
      <c r="G61" s="13"/>
      <c r="H61" s="14">
        <f>+'KY_Res by Plant Acct P16(REG)'!H59</f>
        <v>0</v>
      </c>
      <c r="I61" s="13"/>
      <c r="J61" s="14">
        <f>+'KY_Res by Plant Acct P16(REG)'!J59</f>
        <v>0</v>
      </c>
      <c r="K61" s="13"/>
      <c r="L61" s="14">
        <f>+'KY_Res by Plant Acct P16(REG)'!L59</f>
        <v>0</v>
      </c>
      <c r="M61" s="13"/>
      <c r="N61" s="14">
        <f>+'KY_Res by Plant Acct P16(REG)'!N59</f>
        <v>0</v>
      </c>
      <c r="O61" s="13"/>
      <c r="P61" s="14">
        <f>+'KY_Res by Plant Acct P16(REG)'!P59</f>
        <v>0</v>
      </c>
      <c r="Q61" s="13"/>
      <c r="R61" s="14">
        <f t="shared" si="1"/>
        <v>-47177.7</v>
      </c>
    </row>
    <row r="62" spans="1:18" outlineLevel="1" x14ac:dyDescent="0.2">
      <c r="A62" s="3" t="s">
        <v>3879</v>
      </c>
      <c r="B62" s="14">
        <f>+'KY_Res by Plant Acct P16(REG)'!B60</f>
        <v>0</v>
      </c>
      <c r="C62" s="13"/>
      <c r="D62" s="14">
        <f>+'KY_Res by Plant Acct P16(REG)'!D60</f>
        <v>0</v>
      </c>
      <c r="E62" s="13"/>
      <c r="F62" s="14">
        <f>+'KY_Res by Plant Acct P16(REG)'!F60</f>
        <v>0</v>
      </c>
      <c r="G62" s="13"/>
      <c r="H62" s="14">
        <f>+'KY_Res by Plant Acct P16(REG)'!H60</f>
        <v>0</v>
      </c>
      <c r="I62" s="13"/>
      <c r="J62" s="14">
        <f>+'KY_Res by Plant Acct P16(REG)'!J60</f>
        <v>0</v>
      </c>
      <c r="K62" s="13"/>
      <c r="L62" s="14">
        <f>+'KY_Res by Plant Acct P16(REG)'!L60</f>
        <v>0</v>
      </c>
      <c r="M62" s="13"/>
      <c r="N62" s="14">
        <f>+'KY_Res by Plant Acct P16(REG)'!N60</f>
        <v>0</v>
      </c>
      <c r="O62" s="13"/>
      <c r="P62" s="14">
        <f>+'KY_Res by Plant Acct P16(REG)'!P60</f>
        <v>0</v>
      </c>
      <c r="Q62" s="13"/>
      <c r="R62" s="14">
        <f t="shared" si="1"/>
        <v>0</v>
      </c>
    </row>
    <row r="63" spans="1:18" outlineLevel="1" x14ac:dyDescent="0.2">
      <c r="A63" s="3" t="s">
        <v>3880</v>
      </c>
      <c r="B63" s="14">
        <f>+'KY_Res by Plant Acct P16(REG)'!B61</f>
        <v>0</v>
      </c>
      <c r="C63" s="13"/>
      <c r="D63" s="14">
        <f>+'KY_Res by Plant Acct P16(REG)'!D61</f>
        <v>0</v>
      </c>
      <c r="E63" s="13"/>
      <c r="F63" s="14">
        <f>+'KY_Res by Plant Acct P16(REG)'!F61</f>
        <v>0</v>
      </c>
      <c r="G63" s="13"/>
      <c r="H63" s="14">
        <f>+'KY_Res by Plant Acct P16(REG)'!H61</f>
        <v>0</v>
      </c>
      <c r="I63" s="13"/>
      <c r="J63" s="14">
        <f>+'KY_Res by Plant Acct P16(REG)'!J61</f>
        <v>0</v>
      </c>
      <c r="K63" s="13"/>
      <c r="L63" s="14">
        <f>+'KY_Res by Plant Acct P16(REG)'!L61</f>
        <v>0</v>
      </c>
      <c r="M63" s="13"/>
      <c r="N63" s="14">
        <f>+'KY_Res by Plant Acct P16(REG)'!N61</f>
        <v>0</v>
      </c>
      <c r="O63" s="13"/>
      <c r="P63" s="14">
        <f>+'KY_Res by Plant Acct P16(REG)'!P61</f>
        <v>0</v>
      </c>
      <c r="Q63" s="13"/>
      <c r="R63" s="14">
        <f t="shared" si="1"/>
        <v>0</v>
      </c>
    </row>
    <row r="64" spans="1:18" outlineLevel="1" x14ac:dyDescent="0.2">
      <c r="A64" s="3" t="s">
        <v>3881</v>
      </c>
      <c r="B64" s="14">
        <f>+'KY_Res by Plant Acct P16(REG)'!B62</f>
        <v>-9227.0099999999984</v>
      </c>
      <c r="C64" s="13"/>
      <c r="D64" s="14">
        <f>+'KY_Res by Plant Acct P16(REG)'!D62</f>
        <v>-127.08</v>
      </c>
      <c r="E64" s="13"/>
      <c r="F64" s="14">
        <f>+'KY_Res by Plant Acct P16(REG)'!F62</f>
        <v>0</v>
      </c>
      <c r="G64" s="13"/>
      <c r="H64" s="14">
        <f>+'KY_Res by Plant Acct P16(REG)'!H62</f>
        <v>0</v>
      </c>
      <c r="I64" s="13"/>
      <c r="J64" s="14">
        <f>+'KY_Res by Plant Acct P16(REG)'!J62</f>
        <v>0</v>
      </c>
      <c r="K64" s="13"/>
      <c r="L64" s="14">
        <f>+'KY_Res by Plant Acct P16(REG)'!L62</f>
        <v>0</v>
      </c>
      <c r="M64" s="13"/>
      <c r="N64" s="14">
        <f>+'KY_Res by Plant Acct P16(REG)'!N62</f>
        <v>0</v>
      </c>
      <c r="O64" s="13"/>
      <c r="P64" s="14">
        <f>+'KY_Res by Plant Acct P16(REG)'!P62</f>
        <v>0</v>
      </c>
      <c r="Q64" s="13"/>
      <c r="R64" s="14">
        <f t="shared" si="1"/>
        <v>-9354.0899999999983</v>
      </c>
    </row>
    <row r="65" spans="1:18" outlineLevel="1" x14ac:dyDescent="0.2">
      <c r="A65" s="3" t="s">
        <v>3882</v>
      </c>
      <c r="B65" s="14">
        <f>+'KY_Res by Plant Acct P16(REG)'!B63</f>
        <v>-66593.799999999988</v>
      </c>
      <c r="C65" s="13"/>
      <c r="D65" s="14">
        <f>+'KY_Res by Plant Acct P16(REG)'!D63</f>
        <v>-917.52</v>
      </c>
      <c r="E65" s="13"/>
      <c r="F65" s="14">
        <f>+'KY_Res by Plant Acct P16(REG)'!F63</f>
        <v>0</v>
      </c>
      <c r="G65" s="13"/>
      <c r="H65" s="14">
        <f>+'KY_Res by Plant Acct P16(REG)'!H63</f>
        <v>0</v>
      </c>
      <c r="I65" s="13"/>
      <c r="J65" s="14">
        <f>+'KY_Res by Plant Acct P16(REG)'!J63</f>
        <v>0</v>
      </c>
      <c r="K65" s="13"/>
      <c r="L65" s="14">
        <f>+'KY_Res by Plant Acct P16(REG)'!L63</f>
        <v>0</v>
      </c>
      <c r="M65" s="13"/>
      <c r="N65" s="14">
        <f>+'KY_Res by Plant Acct P16(REG)'!N63</f>
        <v>0</v>
      </c>
      <c r="O65" s="13"/>
      <c r="P65" s="14">
        <f>+'KY_Res by Plant Acct P16(REG)'!P63</f>
        <v>0</v>
      </c>
      <c r="Q65" s="13"/>
      <c r="R65" s="14">
        <f t="shared" si="1"/>
        <v>-67511.319999999992</v>
      </c>
    </row>
    <row r="66" spans="1:18" outlineLevel="1" x14ac:dyDescent="0.2">
      <c r="A66" s="3" t="s">
        <v>3883</v>
      </c>
      <c r="B66" s="14">
        <f>+'KY_Res by Plant Acct P16(REG)'!B64</f>
        <v>0</v>
      </c>
      <c r="C66" s="13"/>
      <c r="D66" s="14">
        <f>+'KY_Res by Plant Acct P16(REG)'!D64</f>
        <v>0</v>
      </c>
      <c r="E66" s="13"/>
      <c r="F66" s="14">
        <f>+'KY_Res by Plant Acct P16(REG)'!F64</f>
        <v>0</v>
      </c>
      <c r="G66" s="13"/>
      <c r="H66" s="14">
        <f>+'KY_Res by Plant Acct P16(REG)'!H64</f>
        <v>0</v>
      </c>
      <c r="I66" s="13"/>
      <c r="J66" s="14">
        <f>+'KY_Res by Plant Acct P16(REG)'!J64</f>
        <v>0</v>
      </c>
      <c r="K66" s="13"/>
      <c r="L66" s="14">
        <f>+'KY_Res by Plant Acct P16(REG)'!L64</f>
        <v>0</v>
      </c>
      <c r="M66" s="13"/>
      <c r="N66" s="14">
        <f>+'KY_Res by Plant Acct P16(REG)'!N64</f>
        <v>0</v>
      </c>
      <c r="O66" s="13"/>
      <c r="P66" s="14">
        <f>+'KY_Res by Plant Acct P16(REG)'!P64</f>
        <v>0</v>
      </c>
      <c r="Q66" s="13"/>
      <c r="R66" s="14">
        <f t="shared" si="1"/>
        <v>0</v>
      </c>
    </row>
    <row r="67" spans="1:18" x14ac:dyDescent="0.2">
      <c r="A67" s="3" t="s">
        <v>3884</v>
      </c>
      <c r="B67" s="14">
        <f>SUM(B43:B66)</f>
        <v>-401409.33999999997</v>
      </c>
      <c r="C67" s="13"/>
      <c r="D67" s="14">
        <f>SUM(D43:D66)</f>
        <v>-7484.43</v>
      </c>
      <c r="E67" s="13"/>
      <c r="F67" s="14">
        <f>SUM(F43:F66)</f>
        <v>3924.94</v>
      </c>
      <c r="G67" s="13"/>
      <c r="H67" s="14">
        <f>SUM(H43:H66)</f>
        <v>5891.72</v>
      </c>
      <c r="I67" s="13"/>
      <c r="J67" s="14">
        <f>SUM(J43:J66)</f>
        <v>0</v>
      </c>
      <c r="K67" s="13"/>
      <c r="L67" s="14">
        <f>SUM(L43:L66)</f>
        <v>0</v>
      </c>
      <c r="M67" s="13"/>
      <c r="N67" s="14">
        <f>SUM(N43:N66)</f>
        <v>0</v>
      </c>
      <c r="O67" s="13"/>
      <c r="P67" s="14">
        <f>SUM(P43:P66)</f>
        <v>0</v>
      </c>
      <c r="Q67" s="13"/>
      <c r="R67" s="14">
        <f>SUM(R43:R66)</f>
        <v>-399077.11000000004</v>
      </c>
    </row>
    <row r="68" spans="1:18" x14ac:dyDescent="0.2">
      <c r="A68" s="3" t="s">
        <v>4363</v>
      </c>
      <c r="B68" s="14">
        <f>+'KY_Res by Plant Acct P16(REG)'!B66+'VA_Res by Plant Acct P17(REG)'!B30</f>
        <v>-5027928.9599999981</v>
      </c>
      <c r="C68" s="13"/>
      <c r="D68" s="14">
        <f>+'KY_Res by Plant Acct P16(REG)'!D66+'VA_Res by Plant Acct P17(REG)'!D30</f>
        <v>-470358.07</v>
      </c>
      <c r="E68" s="13"/>
      <c r="F68" s="14">
        <f>+'KY_Res by Plant Acct P16(REG)'!F66+'VA_Res by Plant Acct P17(REG)'!F30</f>
        <v>283354.86</v>
      </c>
      <c r="G68" s="13"/>
      <c r="H68" s="14">
        <f>+'KY_Res by Plant Acct P16(REG)'!H66+'VA_Res by Plant Acct P17(REG)'!H30</f>
        <v>0</v>
      </c>
      <c r="I68" s="13"/>
      <c r="J68" s="14">
        <f>+'KY_Res by Plant Acct P16(REG)'!J66+'VA_Res by Plant Acct P17(REG)'!J30</f>
        <v>0</v>
      </c>
      <c r="K68" s="13"/>
      <c r="L68" s="14">
        <f>+'KY_Res by Plant Acct P16(REG)'!L66+'VA_Res by Plant Acct P17(REG)'!L30</f>
        <v>2032.01</v>
      </c>
      <c r="M68" s="13"/>
      <c r="N68" s="14">
        <f>+'KY_Res by Plant Acct P16(REG)'!N66+'VA_Res by Plant Acct P17(REG)'!N30</f>
        <v>0</v>
      </c>
      <c r="O68" s="13"/>
      <c r="P68" s="14">
        <f>+'KY_Res by Plant Acct P16(REG)'!P66+'VA_Res by Plant Acct P17(REG)'!P30</f>
        <v>0</v>
      </c>
      <c r="Q68" s="13"/>
      <c r="R68" s="14">
        <f t="shared" ref="R68:R82" si="2">SUM(B68:P68)</f>
        <v>-5212900.1599999983</v>
      </c>
    </row>
    <row r="69" spans="1:18" x14ac:dyDescent="0.2">
      <c r="A69" s="3" t="s">
        <v>4364</v>
      </c>
      <c r="B69" s="14">
        <f>+'KY_Res by Plant Acct P16(REG)'!B67+'VA_Res by Plant Acct P17(REG)'!B31</f>
        <v>-15523744.880000001</v>
      </c>
      <c r="C69" s="13"/>
      <c r="D69" s="14">
        <f>+'KY_Res by Plant Acct P16(REG)'!D67+'VA_Res by Plant Acct P17(REG)'!D31</f>
        <v>-4083872.53</v>
      </c>
      <c r="E69" s="13"/>
      <c r="F69" s="14">
        <f>+'KY_Res by Plant Acct P16(REG)'!F67+'VA_Res by Plant Acct P17(REG)'!F31</f>
        <v>4079972.85</v>
      </c>
      <c r="G69" s="13"/>
      <c r="H69" s="14">
        <f>+'KY_Res by Plant Acct P16(REG)'!H67+'VA_Res by Plant Acct P17(REG)'!H31</f>
        <v>0</v>
      </c>
      <c r="I69" s="13"/>
      <c r="J69" s="14">
        <f>+'KY_Res by Plant Acct P16(REG)'!J67+'VA_Res by Plant Acct P17(REG)'!J31</f>
        <v>0</v>
      </c>
      <c r="K69" s="13"/>
      <c r="L69" s="14">
        <f>+'KY_Res by Plant Acct P16(REG)'!L67+'VA_Res by Plant Acct P17(REG)'!L31</f>
        <v>0</v>
      </c>
      <c r="M69" s="13"/>
      <c r="N69" s="14">
        <f>+'KY_Res by Plant Acct P16(REG)'!N67+'VA_Res by Plant Acct P17(REG)'!N31</f>
        <v>0</v>
      </c>
      <c r="O69" s="13"/>
      <c r="P69" s="14">
        <f>+'KY_Res by Plant Acct P16(REG)'!P67+'VA_Res by Plant Acct P17(REG)'!P31</f>
        <v>0</v>
      </c>
      <c r="Q69" s="13"/>
      <c r="R69" s="14">
        <f t="shared" si="2"/>
        <v>-15527644.560000001</v>
      </c>
    </row>
    <row r="70" spans="1:18" x14ac:dyDescent="0.2">
      <c r="A70" s="3" t="s">
        <v>3887</v>
      </c>
      <c r="B70" s="14">
        <f>+'KY_Res by Plant Acct P16(REG)'!B68</f>
        <v>0</v>
      </c>
      <c r="C70" s="13"/>
      <c r="D70" s="14">
        <f>+'KY_Res by Plant Acct P16(REG)'!D68</f>
        <v>0</v>
      </c>
      <c r="E70" s="13"/>
      <c r="F70" s="14">
        <f>+'KY_Res by Plant Acct P16(REG)'!F68</f>
        <v>0</v>
      </c>
      <c r="G70" s="13"/>
      <c r="H70" s="14">
        <f>+'KY_Res by Plant Acct P16(REG)'!H68</f>
        <v>0</v>
      </c>
      <c r="I70" s="13"/>
      <c r="J70" s="14">
        <f>+'KY_Res by Plant Acct P16(REG)'!J68</f>
        <v>0</v>
      </c>
      <c r="K70" s="13"/>
      <c r="L70" s="14">
        <f>+'KY_Res by Plant Acct P16(REG)'!L68</f>
        <v>0</v>
      </c>
      <c r="M70" s="13"/>
      <c r="N70" s="14">
        <f>+'KY_Res by Plant Acct P16(REG)'!N68</f>
        <v>0</v>
      </c>
      <c r="O70" s="13"/>
      <c r="P70" s="14">
        <f>+'KY_Res by Plant Acct P16(REG)'!P68</f>
        <v>0</v>
      </c>
      <c r="Q70" s="13"/>
      <c r="R70" s="14">
        <f t="shared" si="2"/>
        <v>0</v>
      </c>
    </row>
    <row r="71" spans="1:18" x14ac:dyDescent="0.2">
      <c r="A71" s="3" t="s">
        <v>3888</v>
      </c>
      <c r="B71" s="14">
        <f>+'KY_Res by Plant Acct P16(REG)'!B69</f>
        <v>-607893.88999999966</v>
      </c>
      <c r="C71" s="13"/>
      <c r="D71" s="14">
        <f>+'KY_Res by Plant Acct P16(REG)'!D69</f>
        <v>-821999.63</v>
      </c>
      <c r="E71" s="13"/>
      <c r="F71" s="14">
        <f>+'KY_Res by Plant Acct P16(REG)'!F69</f>
        <v>878964.66</v>
      </c>
      <c r="G71" s="13"/>
      <c r="H71" s="14">
        <f>+'KY_Res by Plant Acct P16(REG)'!H69</f>
        <v>0</v>
      </c>
      <c r="I71" s="13"/>
      <c r="J71" s="14">
        <f>+'KY_Res by Plant Acct P16(REG)'!J69</f>
        <v>0</v>
      </c>
      <c r="K71" s="13"/>
      <c r="L71" s="14">
        <f>+'KY_Res by Plant Acct P16(REG)'!L69</f>
        <v>0</v>
      </c>
      <c r="M71" s="13"/>
      <c r="N71" s="14">
        <f>+'KY_Res by Plant Acct P16(REG)'!N69</f>
        <v>0</v>
      </c>
      <c r="O71" s="13"/>
      <c r="P71" s="14">
        <f>+'KY_Res by Plant Acct P16(REG)'!P69</f>
        <v>0</v>
      </c>
      <c r="Q71" s="13"/>
      <c r="R71" s="14">
        <f t="shared" si="2"/>
        <v>-550928.85999999952</v>
      </c>
    </row>
    <row r="72" spans="1:18" x14ac:dyDescent="0.2">
      <c r="A72" s="3" t="s">
        <v>4365</v>
      </c>
      <c r="B72" s="14">
        <f>+'KY_Res by Plant Acct P16(REG)'!B70</f>
        <v>-26175.600000000006</v>
      </c>
      <c r="C72" s="13"/>
      <c r="D72" s="14">
        <f>+'KY_Res by Plant Acct P16(REG)'!D70</f>
        <v>-4867.12</v>
      </c>
      <c r="E72" s="13"/>
      <c r="F72" s="14">
        <f>+'KY_Res by Plant Acct P16(REG)'!F70</f>
        <v>14733.54</v>
      </c>
      <c r="G72" s="13"/>
      <c r="H72" s="14">
        <f>+'KY_Res by Plant Acct P16(REG)'!H70</f>
        <v>-2578.33</v>
      </c>
      <c r="I72" s="13"/>
      <c r="J72" s="14">
        <f>+'KY_Res by Plant Acct P16(REG)'!J70</f>
        <v>0</v>
      </c>
      <c r="K72" s="13"/>
      <c r="L72" s="14">
        <f>+'KY_Res by Plant Acct P16(REG)'!L70</f>
        <v>0</v>
      </c>
      <c r="M72" s="13"/>
      <c r="N72" s="14">
        <f>+'KY_Res by Plant Acct P16(REG)'!N70</f>
        <v>0</v>
      </c>
      <c r="O72" s="13"/>
      <c r="P72" s="14">
        <f>+'KY_Res by Plant Acct P16(REG)'!P70</f>
        <v>0</v>
      </c>
      <c r="Q72" s="13"/>
      <c r="R72" s="14">
        <f t="shared" si="2"/>
        <v>-18887.510000000002</v>
      </c>
    </row>
    <row r="73" spans="1:18" x14ac:dyDescent="0.2">
      <c r="A73" s="3" t="s">
        <v>4366</v>
      </c>
      <c r="B73" s="14">
        <f>+'KY_Res by Plant Acct P16(REG)'!B71+'VA_Res by Plant Acct P17(REG)'!B32</f>
        <v>-800077.20999999624</v>
      </c>
      <c r="C73" s="13"/>
      <c r="D73" s="14">
        <f>+'KY_Res by Plant Acct P16(REG)'!D71+'VA_Res by Plant Acct P17(REG)'!D32</f>
        <v>-116580.61</v>
      </c>
      <c r="E73" s="13"/>
      <c r="F73" s="14">
        <f>+'KY_Res by Plant Acct P16(REG)'!F71+'VA_Res by Plant Acct P17(REG)'!F32</f>
        <v>24188.2</v>
      </c>
      <c r="G73" s="13"/>
      <c r="H73" s="14">
        <f>+'KY_Res by Plant Acct P16(REG)'!H71+'VA_Res by Plant Acct P17(REG)'!H32</f>
        <v>-10680.76</v>
      </c>
      <c r="I73" s="13"/>
      <c r="J73" s="14">
        <f>+'KY_Res by Plant Acct P16(REG)'!J71+'VA_Res by Plant Acct P17(REG)'!J32</f>
        <v>0</v>
      </c>
      <c r="K73" s="13"/>
      <c r="L73" s="14">
        <f>+'KY_Res by Plant Acct P16(REG)'!L71+'VA_Res by Plant Acct P17(REG)'!L32</f>
        <v>0</v>
      </c>
      <c r="M73" s="13"/>
      <c r="N73" s="14">
        <f>+'KY_Res by Plant Acct P16(REG)'!N71+'VA_Res by Plant Acct P17(REG)'!N32</f>
        <v>0</v>
      </c>
      <c r="O73" s="13"/>
      <c r="P73" s="14">
        <f>+'KY_Res by Plant Acct P16(REG)'!P71+'VA_Res by Plant Acct P17(REG)'!P32</f>
        <v>0</v>
      </c>
      <c r="Q73" s="13"/>
      <c r="R73" s="14">
        <f t="shared" si="2"/>
        <v>-903150.37999999628</v>
      </c>
    </row>
    <row r="74" spans="1:18" x14ac:dyDescent="0.2">
      <c r="A74" s="43" t="s">
        <v>4367</v>
      </c>
      <c r="B74" s="14">
        <f>+'KY_Res by Plant Acct P16(REG)'!B72</f>
        <v>-3025515.290000001</v>
      </c>
      <c r="C74" s="13"/>
      <c r="D74" s="14">
        <f>+'KY_Res by Plant Acct P16(REG)'!D72</f>
        <v>-278968.84000000003</v>
      </c>
      <c r="E74" s="13"/>
      <c r="F74" s="14">
        <f>+'KY_Res by Plant Acct P16(REG)'!F72</f>
        <v>27677.5</v>
      </c>
      <c r="G74" s="13"/>
      <c r="H74" s="14">
        <f>+'KY_Res by Plant Acct P16(REG)'!H72</f>
        <v>0</v>
      </c>
      <c r="I74" s="13"/>
      <c r="J74" s="14">
        <f>+'KY_Res by Plant Acct P16(REG)'!J72</f>
        <v>0</v>
      </c>
      <c r="K74" s="13"/>
      <c r="L74" s="14">
        <f>+'KY_Res by Plant Acct P16(REG)'!L72</f>
        <v>0</v>
      </c>
      <c r="M74" s="13"/>
      <c r="N74" s="14">
        <f>+'KY_Res by Plant Acct P16(REG)'!N72</f>
        <v>0</v>
      </c>
      <c r="O74" s="13"/>
      <c r="P74" s="14">
        <f>+'KY_Res by Plant Acct P16(REG)'!P72</f>
        <v>0</v>
      </c>
      <c r="Q74" s="13"/>
      <c r="R74" s="14">
        <f>SUM(B74:P74)</f>
        <v>-3276806.6300000008</v>
      </c>
    </row>
    <row r="75" spans="1:18" x14ac:dyDescent="0.2">
      <c r="A75" s="3" t="s">
        <v>4368</v>
      </c>
      <c r="B75" s="14">
        <f>+'KY_Res by Plant Acct P16(REG)'!B73+'VA_Res by Plant Acct P17(REG)'!B33</f>
        <v>-379451.79000000004</v>
      </c>
      <c r="C75" s="13"/>
      <c r="D75" s="14">
        <f>+'KY_Res by Plant Acct P16(REG)'!D73+'VA_Res by Plant Acct P17(REG)'!D33</f>
        <v>-43134.48</v>
      </c>
      <c r="E75" s="13"/>
      <c r="F75" s="14">
        <f>+'KY_Res by Plant Acct P16(REG)'!F73+'VA_Res by Plant Acct P17(REG)'!F33</f>
        <v>0</v>
      </c>
      <c r="G75" s="13"/>
      <c r="H75" s="14">
        <f>+'KY_Res by Plant Acct P16(REG)'!H73+'VA_Res by Plant Acct P17(REG)'!H33</f>
        <v>0</v>
      </c>
      <c r="I75" s="13"/>
      <c r="J75" s="14">
        <f>+'KY_Res by Plant Acct P16(REG)'!J73+'VA_Res by Plant Acct P17(REG)'!J33</f>
        <v>0</v>
      </c>
      <c r="K75" s="13"/>
      <c r="L75" s="14">
        <f>+'KY_Res by Plant Acct P16(REG)'!L73+'VA_Res by Plant Acct P17(REG)'!L33</f>
        <v>0</v>
      </c>
      <c r="M75" s="13"/>
      <c r="N75" s="14">
        <f>+'KY_Res by Plant Acct P16(REG)'!N73+'VA_Res by Plant Acct P17(REG)'!N33</f>
        <v>0</v>
      </c>
      <c r="O75" s="13"/>
      <c r="P75" s="14">
        <f>+'KY_Res by Plant Acct P16(REG)'!P73+'VA_Res by Plant Acct P17(REG)'!P33</f>
        <v>0</v>
      </c>
      <c r="Q75" s="13"/>
      <c r="R75" s="14">
        <f t="shared" si="2"/>
        <v>-422586.27</v>
      </c>
    </row>
    <row r="76" spans="1:18" x14ac:dyDescent="0.2">
      <c r="A76" s="3" t="s">
        <v>4369</v>
      </c>
      <c r="B76" s="14">
        <f>+'KY_Res by Plant Acct P16(REG)'!B74+'VA_Res by Plant Acct P17(REG)'!B34</f>
        <v>-4014111.9699999997</v>
      </c>
      <c r="C76" s="13"/>
      <c r="D76" s="14">
        <f>+'KY_Res by Plant Acct P16(REG)'!D74+'VA_Res by Plant Acct P17(REG)'!D34</f>
        <v>-555268.01</v>
      </c>
      <c r="E76" s="13"/>
      <c r="F76" s="14">
        <f>+'KY_Res by Plant Acct P16(REG)'!F74+'VA_Res by Plant Acct P17(REG)'!F34</f>
        <v>274113.84999999998</v>
      </c>
      <c r="G76" s="13"/>
      <c r="H76" s="14">
        <f>+'KY_Res by Plant Acct P16(REG)'!H74+'VA_Res by Plant Acct P17(REG)'!H34</f>
        <v>0</v>
      </c>
      <c r="I76" s="13"/>
      <c r="J76" s="14">
        <f>+'KY_Res by Plant Acct P16(REG)'!J74+'VA_Res by Plant Acct P17(REG)'!J34</f>
        <v>0</v>
      </c>
      <c r="K76" s="13"/>
      <c r="L76" s="14">
        <f>+'KY_Res by Plant Acct P16(REG)'!L74+'VA_Res by Plant Acct P17(REG)'!L34</f>
        <v>0</v>
      </c>
      <c r="M76" s="13"/>
      <c r="N76" s="14">
        <f>+'KY_Res by Plant Acct P16(REG)'!N74+'VA_Res by Plant Acct P17(REG)'!N34</f>
        <v>0</v>
      </c>
      <c r="O76" s="13"/>
      <c r="P76" s="14">
        <f>+'KY_Res by Plant Acct P16(REG)'!P74+'VA_Res by Plant Acct P17(REG)'!P34</f>
        <v>0</v>
      </c>
      <c r="Q76" s="13"/>
      <c r="R76" s="14">
        <f t="shared" si="2"/>
        <v>-4295266.13</v>
      </c>
    </row>
    <row r="77" spans="1:18" x14ac:dyDescent="0.2">
      <c r="A77" s="3" t="s">
        <v>4370</v>
      </c>
      <c r="B77" s="14">
        <f>+'KY_Res by Plant Acct P16(REG)'!B75+'VA_Res by Plant Acct P17(REG)'!B35</f>
        <v>-4.6566128730773926E-10</v>
      </c>
      <c r="C77" s="13"/>
      <c r="D77" s="14">
        <f>+'KY_Res by Plant Acct P16(REG)'!D75+'VA_Res by Plant Acct P17(REG)'!D35</f>
        <v>0</v>
      </c>
      <c r="E77" s="13"/>
      <c r="F77" s="14">
        <f>+'KY_Res by Plant Acct P16(REG)'!F75+'VA_Res by Plant Acct P17(REG)'!F35</f>
        <v>0</v>
      </c>
      <c r="G77" s="13"/>
      <c r="H77" s="14">
        <f>+'KY_Res by Plant Acct P16(REG)'!H75+'VA_Res by Plant Acct P17(REG)'!H35</f>
        <v>0</v>
      </c>
      <c r="I77" s="13"/>
      <c r="J77" s="14">
        <f>+'KY_Res by Plant Acct P16(REG)'!J75+'VA_Res by Plant Acct P17(REG)'!J35</f>
        <v>0</v>
      </c>
      <c r="K77" s="13"/>
      <c r="L77" s="14">
        <f>+'KY_Res by Plant Acct P16(REG)'!L75+'VA_Res by Plant Acct P17(REG)'!L35</f>
        <v>0</v>
      </c>
      <c r="M77" s="13"/>
      <c r="N77" s="14">
        <f>+'KY_Res by Plant Acct P16(REG)'!N75+'VA_Res by Plant Acct P17(REG)'!N35</f>
        <v>0</v>
      </c>
      <c r="O77" s="13"/>
      <c r="P77" s="14">
        <f>+'KY_Res by Plant Acct P16(REG)'!P75+'VA_Res by Plant Acct P17(REG)'!P35</f>
        <v>0</v>
      </c>
      <c r="Q77" s="13"/>
      <c r="R77" s="14">
        <f t="shared" si="2"/>
        <v>-4.6566128730773926E-10</v>
      </c>
    </row>
    <row r="78" spans="1:18" x14ac:dyDescent="0.2">
      <c r="A78" s="3" t="s">
        <v>4371</v>
      </c>
      <c r="B78" s="14">
        <f>+'KY_Res by Plant Acct P16(REG)'!B76+'VA_Res by Plant Acct P17(REG)'!B36</f>
        <v>-942015.58000000007</v>
      </c>
      <c r="C78" s="13"/>
      <c r="D78" s="14">
        <f>+'KY_Res by Plant Acct P16(REG)'!D76+'VA_Res by Plant Acct P17(REG)'!D36</f>
        <v>-191026.62</v>
      </c>
      <c r="E78" s="13"/>
      <c r="F78" s="14">
        <f>+'KY_Res by Plant Acct P16(REG)'!F76+'VA_Res by Plant Acct P17(REG)'!F36</f>
        <v>0</v>
      </c>
      <c r="G78" s="13"/>
      <c r="H78" s="14">
        <f>+'KY_Res by Plant Acct P16(REG)'!H76+'VA_Res by Plant Acct P17(REG)'!H36</f>
        <v>0</v>
      </c>
      <c r="I78" s="13"/>
      <c r="J78" s="14">
        <f>+'KY_Res by Plant Acct P16(REG)'!J76+'VA_Res by Plant Acct P17(REG)'!J36</f>
        <v>0</v>
      </c>
      <c r="K78" s="13"/>
      <c r="L78" s="14">
        <f>+'KY_Res by Plant Acct P16(REG)'!L76+'VA_Res by Plant Acct P17(REG)'!L36</f>
        <v>0</v>
      </c>
      <c r="M78" s="13"/>
      <c r="N78" s="14">
        <f>+'KY_Res by Plant Acct P16(REG)'!N76+'VA_Res by Plant Acct P17(REG)'!N36</f>
        <v>0</v>
      </c>
      <c r="O78" s="13"/>
      <c r="P78" s="14">
        <f>+'KY_Res by Plant Acct P16(REG)'!P76+'VA_Res by Plant Acct P17(REG)'!P36</f>
        <v>0</v>
      </c>
      <c r="Q78" s="13"/>
      <c r="R78" s="14">
        <f t="shared" si="2"/>
        <v>-1133042.2000000002</v>
      </c>
    </row>
    <row r="79" spans="1:18" x14ac:dyDescent="0.2">
      <c r="A79" s="3" t="s">
        <v>4372</v>
      </c>
      <c r="B79" s="14">
        <f>+'KY_Res by Plant Acct P16(REG)'!B77+'VA_Res by Plant Acct P17(REG)'!B37</f>
        <v>-9738129.2700000033</v>
      </c>
      <c r="C79" s="13"/>
      <c r="D79" s="14">
        <f>+'KY_Res by Plant Acct P16(REG)'!D77+'VA_Res by Plant Acct P17(REG)'!D37</f>
        <v>-1580442.87</v>
      </c>
      <c r="E79" s="13"/>
      <c r="F79" s="14">
        <f>+'KY_Res by Plant Acct P16(REG)'!F77+'VA_Res by Plant Acct P17(REG)'!F37</f>
        <v>1916.55</v>
      </c>
      <c r="G79" s="13"/>
      <c r="H79" s="14">
        <f>+'KY_Res by Plant Acct P16(REG)'!H77+'VA_Res by Plant Acct P17(REG)'!H37</f>
        <v>0</v>
      </c>
      <c r="I79" s="13"/>
      <c r="J79" s="14">
        <f>+'KY_Res by Plant Acct P16(REG)'!J77+'VA_Res by Plant Acct P17(REG)'!J37</f>
        <v>0</v>
      </c>
      <c r="K79" s="13"/>
      <c r="L79" s="14">
        <f>+'KY_Res by Plant Acct P16(REG)'!L77+'VA_Res by Plant Acct P17(REG)'!L37</f>
        <v>1049.26</v>
      </c>
      <c r="M79" s="13"/>
      <c r="N79" s="14">
        <f>+'KY_Res by Plant Acct P16(REG)'!N77+'VA_Res by Plant Acct P17(REG)'!N37</f>
        <v>0</v>
      </c>
      <c r="O79" s="13"/>
      <c r="P79" s="14">
        <f>+'KY_Res by Plant Acct P16(REG)'!P77+'VA_Res by Plant Acct P17(REG)'!P37</f>
        <v>0</v>
      </c>
      <c r="Q79" s="13"/>
      <c r="R79" s="14">
        <f t="shared" si="2"/>
        <v>-11315606.330000004</v>
      </c>
    </row>
    <row r="80" spans="1:18" x14ac:dyDescent="0.2">
      <c r="A80" s="3" t="s">
        <v>4373</v>
      </c>
      <c r="B80" s="14">
        <f>+'KY_Res by Plant Acct P16(REG)'!B78+'VA_Res by Plant Acct P17(REG)'!B38</f>
        <v>-7753743.5899999999</v>
      </c>
      <c r="C80" s="13"/>
      <c r="D80" s="14">
        <f>+'KY_Res by Plant Acct P16(REG)'!D78+'VA_Res by Plant Acct P17(REG)'!D38</f>
        <v>-1397300.73</v>
      </c>
      <c r="E80" s="13"/>
      <c r="F80" s="14">
        <f>+'KY_Res by Plant Acct P16(REG)'!F78+'VA_Res by Plant Acct P17(REG)'!F38</f>
        <v>0</v>
      </c>
      <c r="G80" s="13"/>
      <c r="H80" s="14">
        <f>+'KY_Res by Plant Acct P16(REG)'!H78+'VA_Res by Plant Acct P17(REG)'!H38</f>
        <v>0</v>
      </c>
      <c r="I80" s="13"/>
      <c r="J80" s="14">
        <f>+'KY_Res by Plant Acct P16(REG)'!J78+'VA_Res by Plant Acct P17(REG)'!J38</f>
        <v>0</v>
      </c>
      <c r="K80" s="13"/>
      <c r="L80" s="14">
        <f>+'KY_Res by Plant Acct P16(REG)'!L78+'VA_Res by Plant Acct P17(REG)'!L38</f>
        <v>0</v>
      </c>
      <c r="M80" s="13"/>
      <c r="N80" s="14">
        <f>+'KY_Res by Plant Acct P16(REG)'!N78+'VA_Res by Plant Acct P17(REG)'!N38</f>
        <v>0</v>
      </c>
      <c r="O80" s="13"/>
      <c r="P80" s="14">
        <f>+'KY_Res by Plant Acct P16(REG)'!P78+'VA_Res by Plant Acct P17(REG)'!P38</f>
        <v>0</v>
      </c>
      <c r="Q80" s="13"/>
      <c r="R80" s="14">
        <f t="shared" si="2"/>
        <v>-9151044.3200000003</v>
      </c>
    </row>
    <row r="81" spans="1:18" x14ac:dyDescent="0.2">
      <c r="A81" s="3" t="s">
        <v>3898</v>
      </c>
      <c r="B81" s="14">
        <f>+'KY_Res by Plant Acct P16(REG)'!B79</f>
        <v>-848576.6399999999</v>
      </c>
      <c r="C81" s="13"/>
      <c r="D81" s="14">
        <f>+'KY_Res by Plant Acct P16(REG)'!D79</f>
        <v>-736857.41</v>
      </c>
      <c r="E81" s="13"/>
      <c r="F81" s="14">
        <f>+'KY_Res by Plant Acct P16(REG)'!F79</f>
        <v>0</v>
      </c>
      <c r="G81" s="13"/>
      <c r="H81" s="14">
        <f>+'KY_Res by Plant Acct P16(REG)'!H79</f>
        <v>0</v>
      </c>
      <c r="I81" s="13"/>
      <c r="J81" s="14">
        <f>+'KY_Res by Plant Acct P16(REG)'!J79</f>
        <v>0</v>
      </c>
      <c r="K81" s="13"/>
      <c r="L81" s="14">
        <f>+'KY_Res by Plant Acct P16(REG)'!L79</f>
        <v>0</v>
      </c>
      <c r="M81" s="13"/>
      <c r="N81" s="14">
        <f>+'KY_Res by Plant Acct P16(REG)'!N79</f>
        <v>0</v>
      </c>
      <c r="O81" s="13"/>
      <c r="P81" s="14">
        <f>+'KY_Res by Plant Acct P16(REG)'!P79</f>
        <v>0</v>
      </c>
      <c r="Q81" s="13"/>
      <c r="R81" s="14">
        <f>SUM(B81:P81)</f>
        <v>-1585434.0499999998</v>
      </c>
    </row>
    <row r="82" spans="1:18" x14ac:dyDescent="0.2">
      <c r="A82" s="3" t="s">
        <v>4374</v>
      </c>
      <c r="B82" s="16">
        <f>+'KY_Res by Plant Acct P16(REG)'!B80+'VA_Res by Plant Acct P17(REG)'!B39</f>
        <v>3.0850044741015381E-11</v>
      </c>
      <c r="C82" s="94"/>
      <c r="D82" s="16">
        <f>+'KY_Res by Plant Acct P16(REG)'!D80+'VA_Res by Plant Acct P17(REG)'!D39</f>
        <v>0</v>
      </c>
      <c r="E82" s="94"/>
      <c r="F82" s="16">
        <f>+'KY_Res by Plant Acct P16(REG)'!F80+'VA_Res by Plant Acct P17(REG)'!F39</f>
        <v>0</v>
      </c>
      <c r="G82" s="94"/>
      <c r="H82" s="16">
        <f>+'KY_Res by Plant Acct P16(REG)'!H80+'VA_Res by Plant Acct P17(REG)'!H39</f>
        <v>0</v>
      </c>
      <c r="I82" s="94"/>
      <c r="J82" s="16">
        <f>+'KY_Res by Plant Acct P16(REG)'!J80+'VA_Res by Plant Acct P17(REG)'!J39</f>
        <v>0</v>
      </c>
      <c r="K82" s="94"/>
      <c r="L82" s="16">
        <f>+'KY_Res by Plant Acct P16(REG)'!L80+'VA_Res by Plant Acct P17(REG)'!L39</f>
        <v>0</v>
      </c>
      <c r="M82" s="94"/>
      <c r="N82" s="16">
        <f>+'KY_Res by Plant Acct P16(REG)'!N80+'VA_Res by Plant Acct P17(REG)'!N39</f>
        <v>0</v>
      </c>
      <c r="O82" s="94"/>
      <c r="P82" s="16">
        <f>+'KY_Res by Plant Acct P16(REG)'!P80+'VA_Res by Plant Acct P17(REG)'!P39</f>
        <v>0</v>
      </c>
      <c r="Q82" s="94"/>
      <c r="R82" s="16">
        <f t="shared" si="2"/>
        <v>3.0850044741015381E-11</v>
      </c>
    </row>
    <row r="83" spans="1:18" x14ac:dyDescent="0.2">
      <c r="A83" s="3" t="s">
        <v>3900</v>
      </c>
      <c r="B83" s="17">
        <f>+B82+B79+B78+B77+B76+B75+B73+B71+B70+B69+B68+B67+B38+B37+B39+B40+B41+B42+B81+B80+B72+B74</f>
        <v>-60586978.01000002</v>
      </c>
      <c r="C83" s="13"/>
      <c r="D83" s="17">
        <f>+D82+D79+D78+D77+D76+D75+D73+D71+D70+D69+D68+D67+D38+D37+D39+D40+D41+D42+D81+D80+D72+D74</f>
        <v>-11625717.140000001</v>
      </c>
      <c r="E83" s="13"/>
      <c r="F83" s="17">
        <f>+F82+F79+F78+F77+F76+F75+F73+F71+F70+F69+F68+F67+F38+F37+F39+F40+F41+F42+F81+F80+F72+F74</f>
        <v>5739015.4200000009</v>
      </c>
      <c r="G83" s="13"/>
      <c r="H83" s="17">
        <f>+H82+H79+H78+H77+H76+H75+H73+H71+H70+H69+H68+H67+H38+H37+H39+H40+H41+H42+H81+H80+H72+H74</f>
        <v>-13259.09</v>
      </c>
      <c r="I83" s="13"/>
      <c r="J83" s="17">
        <f>+J82+J79+J78+J77+J76+J75+J73+J71+J70+J69+J68+J67+J38+J37+J39+J40+J41+J42+J81+J80+J72+J74</f>
        <v>0</v>
      </c>
      <c r="K83" s="13"/>
      <c r="L83" s="17">
        <f>+L82+L79+L78+L77+L76+L75+L73+L71+L70+L69+L68+L67+L38+L37+L39+L40+L41+L42+L81+L80+L72+L74</f>
        <v>29109.11</v>
      </c>
      <c r="M83" s="13"/>
      <c r="N83" s="17">
        <f>+N82+N79+N78+N77+N76+N75+N73+N71+N70+N69+N68+N67+N38+N37+N39+N40+N41+N42+N81+N80+N72+N74</f>
        <v>0</v>
      </c>
      <c r="O83" s="13"/>
      <c r="P83" s="17">
        <f>+P82+P79+P78+P77+P76+P75+P73+P71+P70+P69+P68+P67+P38+P37+P39+P40+P41+P42+P81+P80+P72+P74</f>
        <v>0</v>
      </c>
      <c r="Q83" s="17"/>
      <c r="R83" s="17">
        <f>+R82+R79+R78+R77+R76+R75+R73+R71+R70+R69+R68+R67+R38+R37+R39+R40+R41+R42+R81+R80+R72+R74</f>
        <v>-66457829.710000001</v>
      </c>
    </row>
    <row r="84" spans="1:18" x14ac:dyDescent="0.2">
      <c r="C84" s="13"/>
      <c r="E84" s="13"/>
      <c r="G84" s="13"/>
      <c r="I84" s="13"/>
      <c r="K84" s="13"/>
      <c r="M84" s="13"/>
      <c r="O84" s="13"/>
      <c r="Q84" s="13"/>
    </row>
    <row r="85" spans="1:18" x14ac:dyDescent="0.2">
      <c r="A85" s="12" t="s">
        <v>14</v>
      </c>
      <c r="C85" s="13"/>
      <c r="E85" s="13"/>
      <c r="G85" s="13"/>
      <c r="I85" s="13"/>
      <c r="K85" s="13"/>
      <c r="M85" s="13"/>
      <c r="O85" s="13"/>
      <c r="Q85" s="13"/>
    </row>
    <row r="86" spans="1:18" x14ac:dyDescent="0.2">
      <c r="A86" s="3" t="s">
        <v>3901</v>
      </c>
      <c r="B86" s="14">
        <f>+'KY_Res by Plant Acct P16(REG)'!B84</f>
        <v>-912332.6</v>
      </c>
      <c r="C86" s="13"/>
      <c r="D86" s="14">
        <f>+'KY_Res by Plant Acct P16(REG)'!D84</f>
        <v>0</v>
      </c>
      <c r="E86" s="13"/>
      <c r="F86" s="14">
        <f>+'KY_Res by Plant Acct P16(REG)'!F84</f>
        <v>23675</v>
      </c>
      <c r="G86" s="13"/>
      <c r="H86" s="14">
        <f>+'KY_Res by Plant Acct P16(REG)'!H84</f>
        <v>0</v>
      </c>
      <c r="I86" s="13"/>
      <c r="J86" s="14">
        <f>+'KY_Res by Plant Acct P16(REG)'!J84</f>
        <v>0</v>
      </c>
      <c r="K86" s="13"/>
      <c r="L86" s="14">
        <f>+'KY_Res by Plant Acct P16(REG)'!L84</f>
        <v>0</v>
      </c>
      <c r="M86" s="13"/>
      <c r="N86" s="14">
        <f>+'KY_Res by Plant Acct P16(REG)'!N84</f>
        <v>-23675</v>
      </c>
      <c r="O86" s="13"/>
      <c r="P86" s="14">
        <f>+'KY_Res by Plant Acct P16(REG)'!P84</f>
        <v>0</v>
      </c>
      <c r="Q86" s="13"/>
      <c r="R86" s="14">
        <f t="shared" ref="R86:R93" si="3">SUM(B86:P86)</f>
        <v>-912332.6</v>
      </c>
    </row>
    <row r="87" spans="1:18" x14ac:dyDescent="0.2">
      <c r="A87" s="3" t="s">
        <v>3902</v>
      </c>
      <c r="B87" s="14">
        <f>+'KY_Res by Plant Acct P16(REG)'!B85</f>
        <v>-360879.55</v>
      </c>
      <c r="C87" s="13"/>
      <c r="D87" s="14">
        <f>+'KY_Res by Plant Acct P16(REG)'!D85</f>
        <v>-61487.46</v>
      </c>
      <c r="E87" s="13"/>
      <c r="F87" s="14">
        <f>+'KY_Res by Plant Acct P16(REG)'!F85</f>
        <v>0</v>
      </c>
      <c r="G87" s="13"/>
      <c r="H87" s="14">
        <f>+'KY_Res by Plant Acct P16(REG)'!H85</f>
        <v>0</v>
      </c>
      <c r="I87" s="13"/>
      <c r="J87" s="14">
        <f>+'KY_Res by Plant Acct P16(REG)'!J85</f>
        <v>0</v>
      </c>
      <c r="K87" s="13"/>
      <c r="L87" s="14">
        <f>+'KY_Res by Plant Acct P16(REG)'!L85</f>
        <v>0</v>
      </c>
      <c r="M87" s="13"/>
      <c r="N87" s="14">
        <f>+'KY_Res by Plant Acct P16(REG)'!N85</f>
        <v>0</v>
      </c>
      <c r="O87" s="13"/>
      <c r="P87" s="14">
        <f>+'KY_Res by Plant Acct P16(REG)'!P85</f>
        <v>0</v>
      </c>
      <c r="Q87" s="13"/>
      <c r="R87" s="14">
        <f t="shared" si="3"/>
        <v>-422367.01</v>
      </c>
    </row>
    <row r="88" spans="1:18" x14ac:dyDescent="0.2">
      <c r="A88" s="3" t="s">
        <v>3903</v>
      </c>
      <c r="B88" s="14">
        <f>+'KY_Res by Plant Acct P16(REG)'!B86</f>
        <v>-8759384.3899999987</v>
      </c>
      <c r="C88" s="13"/>
      <c r="D88" s="14">
        <f>+'KY_Res by Plant Acct P16(REG)'!D86</f>
        <v>-556989.66</v>
      </c>
      <c r="E88" s="13"/>
      <c r="F88" s="14">
        <f>+'KY_Res by Plant Acct P16(REG)'!F86</f>
        <v>0</v>
      </c>
      <c r="G88" s="13"/>
      <c r="H88" s="14">
        <f>+'KY_Res by Plant Acct P16(REG)'!H86</f>
        <v>0</v>
      </c>
      <c r="I88" s="13"/>
      <c r="J88" s="14">
        <f>+'KY_Res by Plant Acct P16(REG)'!J86</f>
        <v>0</v>
      </c>
      <c r="K88" s="13"/>
      <c r="L88" s="14">
        <f>+'KY_Res by Plant Acct P16(REG)'!L86</f>
        <v>0</v>
      </c>
      <c r="M88" s="13"/>
      <c r="N88" s="14">
        <f>+'KY_Res by Plant Acct P16(REG)'!N86</f>
        <v>0</v>
      </c>
      <c r="O88" s="13"/>
      <c r="P88" s="14">
        <f>+'KY_Res by Plant Acct P16(REG)'!P86</f>
        <v>0</v>
      </c>
      <c r="Q88" s="13"/>
      <c r="R88" s="14">
        <f t="shared" si="3"/>
        <v>-9316374.0499999989</v>
      </c>
    </row>
    <row r="89" spans="1:18" x14ac:dyDescent="0.2">
      <c r="A89" s="3" t="s">
        <v>3904</v>
      </c>
      <c r="B89" s="14">
        <f>+'KY_Res by Plant Acct P16(REG)'!B87</f>
        <v>-1319050.5900000001</v>
      </c>
      <c r="C89" s="13"/>
      <c r="D89" s="14">
        <f>+'KY_Res by Plant Acct P16(REG)'!D87</f>
        <v>-528157.56000000006</v>
      </c>
      <c r="E89" s="13"/>
      <c r="F89" s="14">
        <f>+'KY_Res by Plant Acct P16(REG)'!F87</f>
        <v>0</v>
      </c>
      <c r="G89" s="13"/>
      <c r="H89" s="14">
        <f>+'KY_Res by Plant Acct P16(REG)'!H87</f>
        <v>0</v>
      </c>
      <c r="I89" s="13"/>
      <c r="J89" s="14">
        <f>+'KY_Res by Plant Acct P16(REG)'!J87</f>
        <v>0</v>
      </c>
      <c r="K89" s="13"/>
      <c r="L89" s="14">
        <f>+'KY_Res by Plant Acct P16(REG)'!L87</f>
        <v>0</v>
      </c>
      <c r="M89" s="13"/>
      <c r="N89" s="14">
        <f>+'KY_Res by Plant Acct P16(REG)'!N87</f>
        <v>0</v>
      </c>
      <c r="O89" s="13"/>
      <c r="P89" s="14">
        <f>+'KY_Res by Plant Acct P16(REG)'!P87</f>
        <v>0</v>
      </c>
      <c r="Q89" s="13"/>
      <c r="R89" s="14">
        <f t="shared" si="3"/>
        <v>-1847208.1500000001</v>
      </c>
    </row>
    <row r="90" spans="1:18" x14ac:dyDescent="0.2">
      <c r="A90" s="3" t="s">
        <v>3905</v>
      </c>
      <c r="B90" s="14">
        <f>+'KY_Res by Plant Acct P16(REG)'!B88</f>
        <v>-268181.33</v>
      </c>
      <c r="C90" s="13"/>
      <c r="D90" s="14">
        <f>+'KY_Res by Plant Acct P16(REG)'!D88</f>
        <v>-50128</v>
      </c>
      <c r="E90" s="13"/>
      <c r="F90" s="14">
        <f>+'KY_Res by Plant Acct P16(REG)'!F88</f>
        <v>0</v>
      </c>
      <c r="G90" s="13"/>
      <c r="H90" s="14">
        <f>+'KY_Res by Plant Acct P16(REG)'!H88</f>
        <v>0</v>
      </c>
      <c r="I90" s="13"/>
      <c r="J90" s="14">
        <f>+'KY_Res by Plant Acct P16(REG)'!J88</f>
        <v>0</v>
      </c>
      <c r="K90" s="13"/>
      <c r="L90" s="14">
        <f>+'KY_Res by Plant Acct P16(REG)'!L88</f>
        <v>0</v>
      </c>
      <c r="M90" s="13"/>
      <c r="N90" s="14">
        <f>+'KY_Res by Plant Acct P16(REG)'!N88</f>
        <v>0</v>
      </c>
      <c r="O90" s="13"/>
      <c r="P90" s="14">
        <f>+'KY_Res by Plant Acct P16(REG)'!P88</f>
        <v>0</v>
      </c>
      <c r="Q90" s="13"/>
      <c r="R90" s="14">
        <f t="shared" si="3"/>
        <v>-318309.33</v>
      </c>
    </row>
    <row r="91" spans="1:18" x14ac:dyDescent="0.2">
      <c r="A91" s="3" t="s">
        <v>3906</v>
      </c>
      <c r="B91" s="14">
        <f>+'KY_Res by Plant Acct P16(REG)'!B89</f>
        <v>-130439.87999999998</v>
      </c>
      <c r="C91" s="13"/>
      <c r="D91" s="14">
        <f>+'KY_Res by Plant Acct P16(REG)'!D89</f>
        <v>-13113.93</v>
      </c>
      <c r="E91" s="13"/>
      <c r="F91" s="14">
        <f>+'KY_Res by Plant Acct P16(REG)'!F89</f>
        <v>0</v>
      </c>
      <c r="G91" s="13"/>
      <c r="H91" s="14">
        <f>+'KY_Res by Plant Acct P16(REG)'!H89</f>
        <v>0</v>
      </c>
      <c r="I91" s="13"/>
      <c r="J91" s="14">
        <f>+'KY_Res by Plant Acct P16(REG)'!J89</f>
        <v>0</v>
      </c>
      <c r="K91" s="13"/>
      <c r="L91" s="14">
        <f>+'KY_Res by Plant Acct P16(REG)'!L89</f>
        <v>0</v>
      </c>
      <c r="M91" s="13"/>
      <c r="N91" s="14">
        <f>+'KY_Res by Plant Acct P16(REG)'!N89</f>
        <v>0</v>
      </c>
      <c r="O91" s="13"/>
      <c r="P91" s="14">
        <f>+'KY_Res by Plant Acct P16(REG)'!P89</f>
        <v>0</v>
      </c>
      <c r="Q91" s="13"/>
      <c r="R91" s="14">
        <f t="shared" si="3"/>
        <v>-143553.80999999997</v>
      </c>
    </row>
    <row r="92" spans="1:18" x14ac:dyDescent="0.2">
      <c r="A92" s="3" t="s">
        <v>3907</v>
      </c>
      <c r="B92" s="14">
        <f>+'KY_Res by Plant Acct P16(REG)'!B90</f>
        <v>-79595.899999999994</v>
      </c>
      <c r="C92" s="13"/>
      <c r="D92" s="14">
        <f>+'KY_Res by Plant Acct P16(REG)'!D90</f>
        <v>-8418.9</v>
      </c>
      <c r="E92" s="13"/>
      <c r="F92" s="14">
        <f>+'KY_Res by Plant Acct P16(REG)'!F90</f>
        <v>0</v>
      </c>
      <c r="G92" s="13"/>
      <c r="H92" s="14">
        <f>+'KY_Res by Plant Acct P16(REG)'!H90</f>
        <v>0</v>
      </c>
      <c r="I92" s="13"/>
      <c r="J92" s="14">
        <f>+'KY_Res by Plant Acct P16(REG)'!J90</f>
        <v>0</v>
      </c>
      <c r="K92" s="13"/>
      <c r="L92" s="14">
        <f>+'KY_Res by Plant Acct P16(REG)'!L90</f>
        <v>0</v>
      </c>
      <c r="M92" s="13"/>
      <c r="N92" s="14">
        <f>+'KY_Res by Plant Acct P16(REG)'!N90</f>
        <v>0</v>
      </c>
      <c r="O92" s="13"/>
      <c r="P92" s="14">
        <f>+'KY_Res by Plant Acct P16(REG)'!P90</f>
        <v>0</v>
      </c>
      <c r="Q92" s="13"/>
      <c r="R92" s="14">
        <f t="shared" si="3"/>
        <v>-88014.799999999988</v>
      </c>
    </row>
    <row r="93" spans="1:18" x14ac:dyDescent="0.2">
      <c r="A93" s="3" t="s">
        <v>3908</v>
      </c>
      <c r="B93" s="16">
        <f>+'KY_Res by Plant Acct P16(REG)'!B91</f>
        <v>-19701.790000000008</v>
      </c>
      <c r="C93" s="13"/>
      <c r="D93" s="16">
        <f>+'KY_Res by Plant Acct P16(REG)'!D91</f>
        <v>-17888.16</v>
      </c>
      <c r="E93" s="13"/>
      <c r="F93" s="16">
        <f>+'KY_Res by Plant Acct P16(REG)'!F91</f>
        <v>0</v>
      </c>
      <c r="G93" s="13"/>
      <c r="H93" s="16">
        <f>+'KY_Res by Plant Acct P16(REG)'!H91</f>
        <v>0</v>
      </c>
      <c r="I93" s="13"/>
      <c r="J93" s="16">
        <f>+'KY_Res by Plant Acct P16(REG)'!J91</f>
        <v>0</v>
      </c>
      <c r="K93" s="13"/>
      <c r="L93" s="16">
        <f>+'KY_Res by Plant Acct P16(REG)'!L91</f>
        <v>0</v>
      </c>
      <c r="M93" s="13"/>
      <c r="N93" s="16">
        <f>+'KY_Res by Plant Acct P16(REG)'!N91</f>
        <v>0</v>
      </c>
      <c r="O93" s="13"/>
      <c r="P93" s="16">
        <f>+'KY_Res by Plant Acct P16(REG)'!P91</f>
        <v>0</v>
      </c>
      <c r="Q93" s="13"/>
      <c r="R93" s="16">
        <f t="shared" si="3"/>
        <v>-37589.950000000012</v>
      </c>
    </row>
    <row r="94" spans="1:18" x14ac:dyDescent="0.2">
      <c r="A94" s="3" t="s">
        <v>3909</v>
      </c>
      <c r="B94" s="17">
        <f>SUM(B86:B93)</f>
        <v>-11849566.029999999</v>
      </c>
      <c r="C94" s="13"/>
      <c r="D94" s="17">
        <f>SUM(D86:D93)</f>
        <v>-1236183.67</v>
      </c>
      <c r="E94" s="13"/>
      <c r="F94" s="17">
        <f>SUM(F86:F93)</f>
        <v>23675</v>
      </c>
      <c r="G94" s="13"/>
      <c r="H94" s="17">
        <f>SUM(H86:H93)</f>
        <v>0</v>
      </c>
      <c r="I94" s="13"/>
      <c r="J94" s="17">
        <f>SUM(J86:J93)</f>
        <v>0</v>
      </c>
      <c r="K94" s="13"/>
      <c r="L94" s="17">
        <f>SUM(L86:L93)</f>
        <v>0</v>
      </c>
      <c r="M94" s="13"/>
      <c r="N94" s="17">
        <f>SUM(N86:N93)</f>
        <v>-23675</v>
      </c>
      <c r="O94" s="13"/>
      <c r="P94" s="17">
        <f>SUM(P86:P93)</f>
        <v>0</v>
      </c>
      <c r="Q94" s="13"/>
      <c r="R94" s="17">
        <f>SUM(R86:R93)</f>
        <v>-13085749.699999999</v>
      </c>
    </row>
    <row r="95" spans="1:18" x14ac:dyDescent="0.2">
      <c r="C95" s="13"/>
      <c r="E95" s="13"/>
      <c r="G95" s="13"/>
      <c r="I95" s="13"/>
      <c r="K95" s="13"/>
      <c r="M95" s="13"/>
      <c r="O95" s="13"/>
      <c r="Q95" s="13"/>
    </row>
    <row r="96" spans="1:18" x14ac:dyDescent="0.2">
      <c r="A96" s="12" t="s">
        <v>16</v>
      </c>
      <c r="C96" s="13"/>
      <c r="E96" s="13"/>
      <c r="G96" s="13"/>
      <c r="I96" s="13"/>
      <c r="K96" s="13"/>
      <c r="M96" s="13"/>
      <c r="O96" s="13"/>
      <c r="Q96" s="13"/>
    </row>
    <row r="97" spans="1:18" x14ac:dyDescent="0.2">
      <c r="A97" s="3" t="s">
        <v>3910</v>
      </c>
      <c r="B97" s="14">
        <f>+'KY_Res by Plant Acct P16(REG)'!B95</f>
        <v>-120484.00000000003</v>
      </c>
      <c r="C97" s="13"/>
      <c r="D97" s="14">
        <f>+'KY_Res by Plant Acct P16(REG)'!D95</f>
        <v>-3907.5</v>
      </c>
      <c r="E97" s="13"/>
      <c r="F97" s="14">
        <f>+'KY_Res by Plant Acct P16(REG)'!F95</f>
        <v>0</v>
      </c>
      <c r="G97" s="13"/>
      <c r="H97" s="14">
        <f>+'KY_Res by Plant Acct P16(REG)'!H95</f>
        <v>0</v>
      </c>
      <c r="I97" s="13"/>
      <c r="J97" s="14">
        <f>+'KY_Res by Plant Acct P16(REG)'!J95</f>
        <v>0</v>
      </c>
      <c r="K97" s="13"/>
      <c r="L97" s="14">
        <f>+'KY_Res by Plant Acct P16(REG)'!L95</f>
        <v>0</v>
      </c>
      <c r="M97" s="13"/>
      <c r="N97" s="14">
        <f>+'KY_Res by Plant Acct P16(REG)'!N95</f>
        <v>0</v>
      </c>
      <c r="O97" s="13"/>
      <c r="P97" s="14">
        <f>+'KY_Res by Plant Acct P16(REG)'!P95</f>
        <v>0</v>
      </c>
      <c r="Q97" s="13"/>
      <c r="R97" s="14">
        <f t="shared" ref="R97:R117" si="4">SUM(B97:P97)</f>
        <v>-124391.50000000003</v>
      </c>
    </row>
    <row r="98" spans="1:18" x14ac:dyDescent="0.2">
      <c r="A98" s="3" t="s">
        <v>3911</v>
      </c>
      <c r="B98" s="14">
        <f>+'KY_Res by Plant Acct P16(REG)'!B96</f>
        <v>0</v>
      </c>
      <c r="C98" s="13"/>
      <c r="D98" s="14">
        <f>+'KY_Res by Plant Acct P16(REG)'!D96</f>
        <v>0</v>
      </c>
      <c r="E98" s="13"/>
      <c r="F98" s="14">
        <f>+'KY_Res by Plant Acct P16(REG)'!F96</f>
        <v>0</v>
      </c>
      <c r="G98" s="13"/>
      <c r="H98" s="14">
        <f>+'KY_Res by Plant Acct P16(REG)'!H96</f>
        <v>0</v>
      </c>
      <c r="I98" s="13"/>
      <c r="J98" s="14">
        <f>+'KY_Res by Plant Acct P16(REG)'!J96</f>
        <v>0</v>
      </c>
      <c r="K98" s="13"/>
      <c r="L98" s="14">
        <f>+'KY_Res by Plant Acct P16(REG)'!L96</f>
        <v>0</v>
      </c>
      <c r="M98" s="13"/>
      <c r="N98" s="14">
        <f>+'KY_Res by Plant Acct P16(REG)'!N96</f>
        <v>0</v>
      </c>
      <c r="O98" s="13"/>
      <c r="P98" s="14">
        <f>+'KY_Res by Plant Acct P16(REG)'!P96</f>
        <v>0</v>
      </c>
      <c r="Q98" s="13"/>
      <c r="R98" s="14">
        <f t="shared" si="4"/>
        <v>0</v>
      </c>
    </row>
    <row r="99" spans="1:18" x14ac:dyDescent="0.2">
      <c r="A99" s="3" t="s">
        <v>3912</v>
      </c>
      <c r="B99" s="14">
        <f>+'KY_Res by Plant Acct P16(REG)'!B97</f>
        <v>0</v>
      </c>
      <c r="C99" s="13"/>
      <c r="D99" s="14">
        <f>+'KY_Res by Plant Acct P16(REG)'!D97</f>
        <v>0</v>
      </c>
      <c r="E99" s="13"/>
      <c r="F99" s="14">
        <f>+'KY_Res by Plant Acct P16(REG)'!F97</f>
        <v>0</v>
      </c>
      <c r="G99" s="13"/>
      <c r="H99" s="14">
        <f>+'KY_Res by Plant Acct P16(REG)'!H97</f>
        <v>0</v>
      </c>
      <c r="I99" s="13"/>
      <c r="J99" s="14">
        <f>+'KY_Res by Plant Acct P16(REG)'!J97</f>
        <v>0</v>
      </c>
      <c r="K99" s="13"/>
      <c r="L99" s="14">
        <f>+'KY_Res by Plant Acct P16(REG)'!L97</f>
        <v>0</v>
      </c>
      <c r="M99" s="13"/>
      <c r="N99" s="14">
        <f>+'KY_Res by Plant Acct P16(REG)'!N97</f>
        <v>0</v>
      </c>
      <c r="O99" s="13"/>
      <c r="P99" s="14">
        <f>+'KY_Res by Plant Acct P16(REG)'!P97</f>
        <v>0</v>
      </c>
      <c r="Q99" s="13"/>
      <c r="R99" s="14">
        <f t="shared" si="4"/>
        <v>0</v>
      </c>
    </row>
    <row r="100" spans="1:18" x14ac:dyDescent="0.2">
      <c r="A100" s="3" t="s">
        <v>3913</v>
      </c>
      <c r="B100" s="14">
        <f>+'KY_Res by Plant Acct P16(REG)'!B98</f>
        <v>0</v>
      </c>
      <c r="C100" s="13"/>
      <c r="D100" s="14">
        <f>+'KY_Res by Plant Acct P16(REG)'!D98</f>
        <v>0</v>
      </c>
      <c r="E100" s="13"/>
      <c r="F100" s="14">
        <f>+'KY_Res by Plant Acct P16(REG)'!F98</f>
        <v>0</v>
      </c>
      <c r="G100" s="13"/>
      <c r="H100" s="14">
        <f>+'KY_Res by Plant Acct P16(REG)'!H98</f>
        <v>0</v>
      </c>
      <c r="I100" s="13"/>
      <c r="J100" s="14">
        <f>+'KY_Res by Plant Acct P16(REG)'!J98</f>
        <v>0</v>
      </c>
      <c r="K100" s="13"/>
      <c r="L100" s="14">
        <f>+'KY_Res by Plant Acct P16(REG)'!L98</f>
        <v>0</v>
      </c>
      <c r="M100" s="13"/>
      <c r="N100" s="14">
        <f>+'KY_Res by Plant Acct P16(REG)'!N98</f>
        <v>0</v>
      </c>
      <c r="O100" s="13"/>
      <c r="P100" s="14">
        <f>+'KY_Res by Plant Acct P16(REG)'!P98</f>
        <v>0</v>
      </c>
      <c r="Q100" s="13"/>
      <c r="R100" s="14">
        <f t="shared" si="4"/>
        <v>0</v>
      </c>
    </row>
    <row r="101" spans="1:18" outlineLevel="1" x14ac:dyDescent="0.2">
      <c r="A101" s="3" t="s">
        <v>3914</v>
      </c>
      <c r="B101" s="14">
        <f>+'KY_Res by Plant Acct P16(REG)'!B99</f>
        <v>-1901718.9</v>
      </c>
      <c r="C101" s="13"/>
      <c r="D101" s="14">
        <f>+'KY_Res by Plant Acct P16(REG)'!D99</f>
        <v>-1350435.56</v>
      </c>
      <c r="E101" s="13"/>
      <c r="F101" s="14">
        <f>+'KY_Res by Plant Acct P16(REG)'!F99</f>
        <v>0</v>
      </c>
      <c r="G101" s="13"/>
      <c r="H101" s="14">
        <f>+'KY_Res by Plant Acct P16(REG)'!H99</f>
        <v>0</v>
      </c>
      <c r="I101" s="13"/>
      <c r="J101" s="14">
        <f>+'KY_Res by Plant Acct P16(REG)'!J99</f>
        <v>0</v>
      </c>
      <c r="K101" s="13"/>
      <c r="L101" s="14">
        <f>+'KY_Res by Plant Acct P16(REG)'!L99</f>
        <v>0</v>
      </c>
      <c r="M101" s="13"/>
      <c r="N101" s="14">
        <f>+'KY_Res by Plant Acct P16(REG)'!N99</f>
        <v>0</v>
      </c>
      <c r="O101" s="13"/>
      <c r="P101" s="14">
        <f>+'KY_Res by Plant Acct P16(REG)'!P99</f>
        <v>0</v>
      </c>
      <c r="Q101" s="13"/>
      <c r="R101" s="14">
        <f>SUM(B101:P101)</f>
        <v>-3252154.46</v>
      </c>
    </row>
    <row r="102" spans="1:18" outlineLevel="1" x14ac:dyDescent="0.2">
      <c r="A102" s="3" t="s">
        <v>3915</v>
      </c>
      <c r="B102" s="14">
        <f>+'KY_Res by Plant Acct P16(REG)'!B100</f>
        <v>-1255072.2899999998</v>
      </c>
      <c r="C102" s="13"/>
      <c r="D102" s="14">
        <f>+'KY_Res by Plant Acct P16(REG)'!D100</f>
        <v>-53639.46</v>
      </c>
      <c r="E102" s="13"/>
      <c r="F102" s="14">
        <f>+'KY_Res by Plant Acct P16(REG)'!F100</f>
        <v>0</v>
      </c>
      <c r="G102" s="13"/>
      <c r="H102" s="14">
        <f>+'KY_Res by Plant Acct P16(REG)'!H100</f>
        <v>0</v>
      </c>
      <c r="I102" s="13"/>
      <c r="J102" s="14">
        <f>+'KY_Res by Plant Acct P16(REG)'!J100</f>
        <v>0</v>
      </c>
      <c r="K102" s="13"/>
      <c r="L102" s="14">
        <f>+'KY_Res by Plant Acct P16(REG)'!L100</f>
        <v>0</v>
      </c>
      <c r="M102" s="13"/>
      <c r="N102" s="14">
        <f>+'KY_Res by Plant Acct P16(REG)'!N100</f>
        <v>0</v>
      </c>
      <c r="O102" s="13"/>
      <c r="P102" s="14">
        <f>+'KY_Res by Plant Acct P16(REG)'!P100</f>
        <v>0</v>
      </c>
      <c r="Q102" s="13"/>
      <c r="R102" s="14">
        <f t="shared" si="4"/>
        <v>-1308711.7499999998</v>
      </c>
    </row>
    <row r="103" spans="1:18" outlineLevel="1" x14ac:dyDescent="0.2">
      <c r="A103" s="3" t="s">
        <v>3916</v>
      </c>
      <c r="B103" s="14">
        <f>+'KY_Res by Plant Acct P16(REG)'!B101</f>
        <v>-1281432.97</v>
      </c>
      <c r="C103" s="13"/>
      <c r="D103" s="14">
        <f>+'KY_Res by Plant Acct P16(REG)'!D101</f>
        <v>-77720.100000000006</v>
      </c>
      <c r="E103" s="13"/>
      <c r="F103" s="14">
        <f>+'KY_Res by Plant Acct P16(REG)'!F101</f>
        <v>0</v>
      </c>
      <c r="G103" s="13"/>
      <c r="H103" s="14">
        <f>+'KY_Res by Plant Acct P16(REG)'!H101</f>
        <v>0</v>
      </c>
      <c r="I103" s="13"/>
      <c r="J103" s="14">
        <f>+'KY_Res by Plant Acct P16(REG)'!J101</f>
        <v>0</v>
      </c>
      <c r="K103" s="13"/>
      <c r="L103" s="14">
        <f>+'KY_Res by Plant Acct P16(REG)'!L101</f>
        <v>0</v>
      </c>
      <c r="M103" s="13"/>
      <c r="N103" s="14">
        <f>+'KY_Res by Plant Acct P16(REG)'!N101</f>
        <v>0</v>
      </c>
      <c r="O103" s="13"/>
      <c r="P103" s="14">
        <f>+'KY_Res by Plant Acct P16(REG)'!P101</f>
        <v>0</v>
      </c>
      <c r="Q103" s="13"/>
      <c r="R103" s="14">
        <f t="shared" si="4"/>
        <v>-1359153.07</v>
      </c>
    </row>
    <row r="104" spans="1:18" outlineLevel="1" x14ac:dyDescent="0.2">
      <c r="A104" s="43" t="s">
        <v>4375</v>
      </c>
      <c r="B104" s="14">
        <f>+'KY_Res by Plant Acct P16(REG)'!B102</f>
        <v>-329729.20999999996</v>
      </c>
      <c r="C104" s="13"/>
      <c r="D104" s="14">
        <f>+'KY_Res by Plant Acct P16(REG)'!D102</f>
        <v>-40277.82</v>
      </c>
      <c r="E104" s="13"/>
      <c r="F104" s="14">
        <f>+'KY_Res by Plant Acct P16(REG)'!F102</f>
        <v>0</v>
      </c>
      <c r="G104" s="13"/>
      <c r="H104" s="14">
        <f>+'KY_Res by Plant Acct P16(REG)'!H102</f>
        <v>0</v>
      </c>
      <c r="I104" s="13"/>
      <c r="J104" s="14">
        <f>+'KY_Res by Plant Acct P16(REG)'!J102</f>
        <v>0</v>
      </c>
      <c r="K104" s="13"/>
      <c r="L104" s="14">
        <f>+'KY_Res by Plant Acct P16(REG)'!L102</f>
        <v>0</v>
      </c>
      <c r="M104" s="13"/>
      <c r="N104" s="14">
        <f>+'KY_Res by Plant Acct P16(REG)'!N102</f>
        <v>0</v>
      </c>
      <c r="O104" s="13"/>
      <c r="P104" s="14">
        <f>+'KY_Res by Plant Acct P16(REG)'!P102</f>
        <v>0</v>
      </c>
      <c r="Q104" s="13"/>
      <c r="R104" s="14">
        <f t="shared" si="4"/>
        <v>-370007.02999999997</v>
      </c>
    </row>
    <row r="105" spans="1:18" outlineLevel="1" x14ac:dyDescent="0.2">
      <c r="A105" s="3" t="s">
        <v>3918</v>
      </c>
      <c r="B105" s="14">
        <f>+'KY_Res by Plant Acct P16(REG)'!B103</f>
        <v>-105028.15000000001</v>
      </c>
      <c r="C105" s="13"/>
      <c r="D105" s="14">
        <f>+'KY_Res by Plant Acct P16(REG)'!D103</f>
        <v>-8107.8</v>
      </c>
      <c r="E105" s="13"/>
      <c r="F105" s="14">
        <f>+'KY_Res by Plant Acct P16(REG)'!F103</f>
        <v>0</v>
      </c>
      <c r="G105" s="13"/>
      <c r="H105" s="14">
        <f>+'KY_Res by Plant Acct P16(REG)'!H103</f>
        <v>0</v>
      </c>
      <c r="I105" s="13"/>
      <c r="J105" s="14">
        <f>+'KY_Res by Plant Acct P16(REG)'!J103</f>
        <v>0</v>
      </c>
      <c r="K105" s="13"/>
      <c r="L105" s="14">
        <f>+'KY_Res by Plant Acct P16(REG)'!L103</f>
        <v>0</v>
      </c>
      <c r="M105" s="13"/>
      <c r="N105" s="14">
        <f>+'KY_Res by Plant Acct P16(REG)'!N103</f>
        <v>0</v>
      </c>
      <c r="O105" s="13"/>
      <c r="P105" s="14">
        <f>+'KY_Res by Plant Acct P16(REG)'!P103</f>
        <v>0</v>
      </c>
      <c r="Q105" s="13"/>
      <c r="R105" s="14">
        <f t="shared" si="4"/>
        <v>-113135.95000000001</v>
      </c>
    </row>
    <row r="106" spans="1:18" outlineLevel="1" x14ac:dyDescent="0.2">
      <c r="A106" s="3" t="s">
        <v>3919</v>
      </c>
      <c r="B106" s="14">
        <f>+'KY_Res by Plant Acct P16(REG)'!B104</f>
        <v>-297900.63999999996</v>
      </c>
      <c r="C106" s="13"/>
      <c r="D106" s="14">
        <f>+'KY_Res by Plant Acct P16(REG)'!D104</f>
        <v>-22934.76</v>
      </c>
      <c r="E106" s="13"/>
      <c r="F106" s="14">
        <f>+'KY_Res by Plant Acct P16(REG)'!F104</f>
        <v>0</v>
      </c>
      <c r="G106" s="13"/>
      <c r="H106" s="14">
        <f>+'KY_Res by Plant Acct P16(REG)'!H104</f>
        <v>0</v>
      </c>
      <c r="I106" s="13"/>
      <c r="J106" s="14">
        <f>+'KY_Res by Plant Acct P16(REG)'!J104</f>
        <v>0</v>
      </c>
      <c r="K106" s="13"/>
      <c r="L106" s="14">
        <f>+'KY_Res by Plant Acct P16(REG)'!L104</f>
        <v>0</v>
      </c>
      <c r="M106" s="13"/>
      <c r="N106" s="14">
        <f>+'KY_Res by Plant Acct P16(REG)'!N104</f>
        <v>0</v>
      </c>
      <c r="O106" s="13"/>
      <c r="P106" s="14">
        <f>+'KY_Res by Plant Acct P16(REG)'!P104</f>
        <v>0</v>
      </c>
      <c r="Q106" s="13"/>
      <c r="R106" s="14">
        <f t="shared" si="4"/>
        <v>-320835.39999999997</v>
      </c>
    </row>
    <row r="107" spans="1:18" outlineLevel="1" x14ac:dyDescent="0.2">
      <c r="A107" s="3" t="s">
        <v>3920</v>
      </c>
      <c r="B107" s="14">
        <f>+'KY_Res by Plant Acct P16(REG)'!B105</f>
        <v>-1490741.8699999996</v>
      </c>
      <c r="C107" s="13"/>
      <c r="D107" s="14">
        <f>+'KY_Res by Plant Acct P16(REG)'!D105</f>
        <v>-75776.460000000006</v>
      </c>
      <c r="E107" s="13"/>
      <c r="F107" s="14">
        <f>+'KY_Res by Plant Acct P16(REG)'!F105</f>
        <v>0</v>
      </c>
      <c r="G107" s="13"/>
      <c r="H107" s="14">
        <f>+'KY_Res by Plant Acct P16(REG)'!H105</f>
        <v>0</v>
      </c>
      <c r="I107" s="13"/>
      <c r="J107" s="14">
        <f>+'KY_Res by Plant Acct P16(REG)'!J105</f>
        <v>0</v>
      </c>
      <c r="K107" s="13"/>
      <c r="L107" s="14">
        <f>+'KY_Res by Plant Acct P16(REG)'!L105</f>
        <v>0</v>
      </c>
      <c r="M107" s="13"/>
      <c r="N107" s="14">
        <f>+'KY_Res by Plant Acct P16(REG)'!N105</f>
        <v>0</v>
      </c>
      <c r="O107" s="13"/>
      <c r="P107" s="14">
        <f>+'KY_Res by Plant Acct P16(REG)'!P105</f>
        <v>0</v>
      </c>
      <c r="Q107" s="13"/>
      <c r="R107" s="14">
        <f t="shared" si="4"/>
        <v>-1566518.3299999996</v>
      </c>
    </row>
    <row r="108" spans="1:18" outlineLevel="1" x14ac:dyDescent="0.2">
      <c r="A108" s="3" t="s">
        <v>3921</v>
      </c>
      <c r="B108" s="14">
        <f>+'KY_Res by Plant Acct P16(REG)'!B106</f>
        <v>-3238539.47</v>
      </c>
      <c r="C108" s="13"/>
      <c r="D108" s="14">
        <f>+'KY_Res by Plant Acct P16(REG)'!D106</f>
        <v>-125824.2</v>
      </c>
      <c r="E108" s="13"/>
      <c r="F108" s="14">
        <f>+'KY_Res by Plant Acct P16(REG)'!F106</f>
        <v>0</v>
      </c>
      <c r="G108" s="13"/>
      <c r="H108" s="14">
        <f>+'KY_Res by Plant Acct P16(REG)'!H106</f>
        <v>0</v>
      </c>
      <c r="I108" s="13"/>
      <c r="J108" s="14">
        <f>+'KY_Res by Plant Acct P16(REG)'!J106</f>
        <v>0</v>
      </c>
      <c r="K108" s="13"/>
      <c r="L108" s="14">
        <f>+'KY_Res by Plant Acct P16(REG)'!L106</f>
        <v>0</v>
      </c>
      <c r="M108" s="13"/>
      <c r="N108" s="14">
        <f>+'KY_Res by Plant Acct P16(REG)'!N106</f>
        <v>0</v>
      </c>
      <c r="O108" s="13"/>
      <c r="P108" s="14">
        <f>+'KY_Res by Plant Acct P16(REG)'!P106</f>
        <v>0</v>
      </c>
      <c r="Q108" s="13"/>
      <c r="R108" s="14">
        <f t="shared" si="4"/>
        <v>-3364363.6700000004</v>
      </c>
    </row>
    <row r="109" spans="1:18" outlineLevel="1" x14ac:dyDescent="0.2">
      <c r="A109" s="3" t="s">
        <v>3922</v>
      </c>
      <c r="B109" s="14">
        <f>+'KY_Res by Plant Acct P16(REG)'!B107</f>
        <v>-20073.13</v>
      </c>
      <c r="C109" s="13"/>
      <c r="D109" s="14">
        <f>+'KY_Res by Plant Acct P16(REG)'!D107</f>
        <v>-39100.080000000002</v>
      </c>
      <c r="E109" s="13"/>
      <c r="F109" s="14">
        <f>+'KY_Res by Plant Acct P16(REG)'!F107</f>
        <v>0</v>
      </c>
      <c r="G109" s="13"/>
      <c r="H109" s="14">
        <f>+'KY_Res by Plant Acct P16(REG)'!H107</f>
        <v>0</v>
      </c>
      <c r="I109" s="13"/>
      <c r="J109" s="14">
        <f>+'KY_Res by Plant Acct P16(REG)'!J107</f>
        <v>0</v>
      </c>
      <c r="K109" s="13"/>
      <c r="L109" s="14">
        <f>+'KY_Res by Plant Acct P16(REG)'!L107</f>
        <v>0</v>
      </c>
      <c r="M109" s="13"/>
      <c r="N109" s="14">
        <f>+'KY_Res by Plant Acct P16(REG)'!N107</f>
        <v>0</v>
      </c>
      <c r="O109" s="13"/>
      <c r="P109" s="14">
        <f>+'KY_Res by Plant Acct P16(REG)'!P107</f>
        <v>0</v>
      </c>
      <c r="Q109" s="13"/>
      <c r="R109" s="14">
        <f t="shared" si="4"/>
        <v>-59173.210000000006</v>
      </c>
    </row>
    <row r="110" spans="1:18" outlineLevel="1" x14ac:dyDescent="0.2">
      <c r="A110" s="3" t="s">
        <v>3923</v>
      </c>
      <c r="B110" s="14">
        <f>+'KY_Res by Plant Acct P16(REG)'!B108</f>
        <v>-100185.14000000003</v>
      </c>
      <c r="C110" s="13"/>
      <c r="D110" s="14">
        <f>+'KY_Res by Plant Acct P16(REG)'!D108</f>
        <v>-42333.3</v>
      </c>
      <c r="E110" s="13"/>
      <c r="F110" s="14">
        <f>+'KY_Res by Plant Acct P16(REG)'!F108</f>
        <v>0</v>
      </c>
      <c r="G110" s="13"/>
      <c r="H110" s="14">
        <f>+'KY_Res by Plant Acct P16(REG)'!H108</f>
        <v>0</v>
      </c>
      <c r="I110" s="13"/>
      <c r="J110" s="14">
        <f>+'KY_Res by Plant Acct P16(REG)'!J108</f>
        <v>0</v>
      </c>
      <c r="K110" s="13"/>
      <c r="L110" s="14">
        <f>+'KY_Res by Plant Acct P16(REG)'!L108</f>
        <v>0</v>
      </c>
      <c r="M110" s="13"/>
      <c r="N110" s="14">
        <f>+'KY_Res by Plant Acct P16(REG)'!N108</f>
        <v>0</v>
      </c>
      <c r="O110" s="13"/>
      <c r="P110" s="14">
        <f>+'KY_Res by Plant Acct P16(REG)'!P108</f>
        <v>0</v>
      </c>
      <c r="Q110" s="13"/>
      <c r="R110" s="14">
        <f t="shared" si="4"/>
        <v>-142518.44000000003</v>
      </c>
    </row>
    <row r="111" spans="1:18" outlineLevel="1" x14ac:dyDescent="0.2">
      <c r="A111" s="3" t="s">
        <v>3924</v>
      </c>
      <c r="B111" s="14">
        <f>+'KY_Res by Plant Acct P16(REG)'!B109</f>
        <v>-1011569.5099999998</v>
      </c>
      <c r="C111" s="13"/>
      <c r="D111" s="14">
        <f>+'KY_Res by Plant Acct P16(REG)'!D109</f>
        <v>-84007.38</v>
      </c>
      <c r="E111" s="13"/>
      <c r="F111" s="14">
        <f>+'KY_Res by Plant Acct P16(REG)'!F109</f>
        <v>0</v>
      </c>
      <c r="G111" s="13"/>
      <c r="H111" s="14">
        <f>+'KY_Res by Plant Acct P16(REG)'!H109</f>
        <v>0</v>
      </c>
      <c r="I111" s="13"/>
      <c r="J111" s="14">
        <f>+'KY_Res by Plant Acct P16(REG)'!J109</f>
        <v>0</v>
      </c>
      <c r="K111" s="13"/>
      <c r="L111" s="14">
        <f>+'KY_Res by Plant Acct P16(REG)'!L109</f>
        <v>0</v>
      </c>
      <c r="M111" s="13"/>
      <c r="N111" s="14">
        <f>+'KY_Res by Plant Acct P16(REG)'!N109</f>
        <v>0</v>
      </c>
      <c r="O111" s="13"/>
      <c r="P111" s="14">
        <f>+'KY_Res by Plant Acct P16(REG)'!P109</f>
        <v>0</v>
      </c>
      <c r="Q111" s="13"/>
      <c r="R111" s="14">
        <f t="shared" si="4"/>
        <v>-1095576.8899999997</v>
      </c>
    </row>
    <row r="112" spans="1:18" outlineLevel="1" x14ac:dyDescent="0.2">
      <c r="A112" s="3" t="s">
        <v>3925</v>
      </c>
      <c r="B112" s="14">
        <f>+'KY_Res by Plant Acct P16(REG)'!B110</f>
        <v>-1587652.67</v>
      </c>
      <c r="C112" s="13"/>
      <c r="D112" s="14">
        <f>+'KY_Res by Plant Acct P16(REG)'!D110</f>
        <v>-137171.28</v>
      </c>
      <c r="E112" s="13"/>
      <c r="F112" s="14">
        <f>+'KY_Res by Plant Acct P16(REG)'!F110</f>
        <v>0</v>
      </c>
      <c r="G112" s="13"/>
      <c r="H112" s="14">
        <f>+'KY_Res by Plant Acct P16(REG)'!H110</f>
        <v>0</v>
      </c>
      <c r="I112" s="13"/>
      <c r="J112" s="14">
        <f>+'KY_Res by Plant Acct P16(REG)'!J110</f>
        <v>0</v>
      </c>
      <c r="K112" s="13"/>
      <c r="L112" s="14">
        <f>+'KY_Res by Plant Acct P16(REG)'!L110</f>
        <v>0</v>
      </c>
      <c r="M112" s="13"/>
      <c r="N112" s="14">
        <f>+'KY_Res by Plant Acct P16(REG)'!N110</f>
        <v>0</v>
      </c>
      <c r="O112" s="13"/>
      <c r="P112" s="14">
        <f>+'KY_Res by Plant Acct P16(REG)'!P110</f>
        <v>0</v>
      </c>
      <c r="Q112" s="13"/>
      <c r="R112" s="14">
        <f t="shared" si="4"/>
        <v>-1724823.95</v>
      </c>
    </row>
    <row r="113" spans="1:18" outlineLevel="1" x14ac:dyDescent="0.2">
      <c r="A113" s="3" t="s">
        <v>3926</v>
      </c>
      <c r="B113" s="14">
        <f>+'KY_Res by Plant Acct P16(REG)'!B111</f>
        <v>-1852418.76</v>
      </c>
      <c r="C113" s="13"/>
      <c r="D113" s="14">
        <f>+'KY_Res by Plant Acct P16(REG)'!D111</f>
        <v>-142876.79999999999</v>
      </c>
      <c r="E113" s="13"/>
      <c r="F113" s="14">
        <f>+'KY_Res by Plant Acct P16(REG)'!F111</f>
        <v>0</v>
      </c>
      <c r="G113" s="13"/>
      <c r="H113" s="14">
        <f>+'KY_Res by Plant Acct P16(REG)'!H111</f>
        <v>0</v>
      </c>
      <c r="I113" s="13"/>
      <c r="J113" s="14">
        <f>+'KY_Res by Plant Acct P16(REG)'!J111</f>
        <v>0</v>
      </c>
      <c r="K113" s="13"/>
      <c r="L113" s="14">
        <f>+'KY_Res by Plant Acct P16(REG)'!L111</f>
        <v>0</v>
      </c>
      <c r="M113" s="13"/>
      <c r="N113" s="14">
        <f>+'KY_Res by Plant Acct P16(REG)'!N111</f>
        <v>0</v>
      </c>
      <c r="O113" s="13"/>
      <c r="P113" s="14">
        <f>+'KY_Res by Plant Acct P16(REG)'!P111</f>
        <v>0</v>
      </c>
      <c r="Q113" s="13"/>
      <c r="R113" s="14">
        <f t="shared" si="4"/>
        <v>-1995295.56</v>
      </c>
    </row>
    <row r="114" spans="1:18" outlineLevel="1" x14ac:dyDescent="0.2">
      <c r="A114" s="3" t="s">
        <v>3927</v>
      </c>
      <c r="B114" s="14">
        <f>+'KY_Res by Plant Acct P16(REG)'!B112</f>
        <v>-1782075.72</v>
      </c>
      <c r="C114" s="13"/>
      <c r="D114" s="14">
        <f>+'KY_Res by Plant Acct P16(REG)'!D112</f>
        <v>-136728.84</v>
      </c>
      <c r="E114" s="13"/>
      <c r="F114" s="14">
        <f>+'KY_Res by Plant Acct P16(REG)'!F112</f>
        <v>0</v>
      </c>
      <c r="G114" s="13"/>
      <c r="H114" s="14">
        <f>+'KY_Res by Plant Acct P16(REG)'!H112</f>
        <v>0</v>
      </c>
      <c r="I114" s="13"/>
      <c r="J114" s="14">
        <f>+'KY_Res by Plant Acct P16(REG)'!J112</f>
        <v>0</v>
      </c>
      <c r="K114" s="13"/>
      <c r="L114" s="14">
        <f>+'KY_Res by Plant Acct P16(REG)'!L112</f>
        <v>0</v>
      </c>
      <c r="M114" s="13"/>
      <c r="N114" s="14">
        <f>+'KY_Res by Plant Acct P16(REG)'!N112</f>
        <v>0</v>
      </c>
      <c r="O114" s="13"/>
      <c r="P114" s="14">
        <f>+'KY_Res by Plant Acct P16(REG)'!P112</f>
        <v>0</v>
      </c>
      <c r="Q114" s="13"/>
      <c r="R114" s="14">
        <f t="shared" si="4"/>
        <v>-1918804.56</v>
      </c>
    </row>
    <row r="115" spans="1:18" outlineLevel="1" x14ac:dyDescent="0.2">
      <c r="A115" s="3" t="s">
        <v>3928</v>
      </c>
      <c r="B115" s="14">
        <f>+'KY_Res by Plant Acct P16(REG)'!B113</f>
        <v>-1555602.9300000002</v>
      </c>
      <c r="C115" s="13"/>
      <c r="D115" s="14">
        <f>+'KY_Res by Plant Acct P16(REG)'!D113</f>
        <v>-133290.35999999999</v>
      </c>
      <c r="E115" s="13"/>
      <c r="F115" s="14">
        <f>+'KY_Res by Plant Acct P16(REG)'!F113</f>
        <v>0</v>
      </c>
      <c r="G115" s="13"/>
      <c r="H115" s="14">
        <f>+'KY_Res by Plant Acct P16(REG)'!H113</f>
        <v>0</v>
      </c>
      <c r="I115" s="13"/>
      <c r="J115" s="14">
        <f>+'KY_Res by Plant Acct P16(REG)'!J113</f>
        <v>0</v>
      </c>
      <c r="K115" s="13"/>
      <c r="L115" s="14">
        <f>+'KY_Res by Plant Acct P16(REG)'!L113</f>
        <v>0</v>
      </c>
      <c r="M115" s="13"/>
      <c r="N115" s="14">
        <f>+'KY_Res by Plant Acct P16(REG)'!N113</f>
        <v>0</v>
      </c>
      <c r="O115" s="13"/>
      <c r="P115" s="14">
        <f>+'KY_Res by Plant Acct P16(REG)'!P113</f>
        <v>0</v>
      </c>
      <c r="Q115" s="13"/>
      <c r="R115" s="14">
        <f t="shared" si="4"/>
        <v>-1688893.29</v>
      </c>
    </row>
    <row r="116" spans="1:18" outlineLevel="1" x14ac:dyDescent="0.2">
      <c r="A116" s="3" t="s">
        <v>3929</v>
      </c>
      <c r="B116" s="14">
        <f>+'KY_Res by Plant Acct P16(REG)'!B114</f>
        <v>-1551099.69</v>
      </c>
      <c r="C116" s="13"/>
      <c r="D116" s="14">
        <f>+'KY_Res by Plant Acct P16(REG)'!D114</f>
        <v>-132904.5</v>
      </c>
      <c r="E116" s="13"/>
      <c r="F116" s="14">
        <f>+'KY_Res by Plant Acct P16(REG)'!F114</f>
        <v>0</v>
      </c>
      <c r="G116" s="13"/>
      <c r="H116" s="14">
        <f>+'KY_Res by Plant Acct P16(REG)'!H114</f>
        <v>0</v>
      </c>
      <c r="I116" s="13"/>
      <c r="J116" s="14">
        <f>+'KY_Res by Plant Acct P16(REG)'!J114</f>
        <v>0</v>
      </c>
      <c r="K116" s="13"/>
      <c r="L116" s="14">
        <f>+'KY_Res by Plant Acct P16(REG)'!L114</f>
        <v>0</v>
      </c>
      <c r="M116" s="13"/>
      <c r="N116" s="14">
        <f>+'KY_Res by Plant Acct P16(REG)'!N114</f>
        <v>0</v>
      </c>
      <c r="O116" s="13"/>
      <c r="P116" s="14">
        <f>+'KY_Res by Plant Acct P16(REG)'!P114</f>
        <v>0</v>
      </c>
      <c r="Q116" s="13"/>
      <c r="R116" s="14">
        <f t="shared" si="4"/>
        <v>-1684004.19</v>
      </c>
    </row>
    <row r="117" spans="1:18" outlineLevel="1" x14ac:dyDescent="0.2">
      <c r="A117" s="3" t="s">
        <v>3930</v>
      </c>
      <c r="B117" s="14">
        <f>+'KY_Res by Plant Acct P16(REG)'!B115</f>
        <v>-1588933.3299999996</v>
      </c>
      <c r="C117" s="13"/>
      <c r="D117" s="14">
        <f>+'KY_Res by Plant Acct P16(REG)'!D115</f>
        <v>-137281.92000000001</v>
      </c>
      <c r="E117" s="13"/>
      <c r="F117" s="14">
        <f>+'KY_Res by Plant Acct P16(REG)'!F115</f>
        <v>0</v>
      </c>
      <c r="G117" s="13"/>
      <c r="H117" s="14">
        <f>+'KY_Res by Plant Acct P16(REG)'!H115</f>
        <v>0</v>
      </c>
      <c r="I117" s="13"/>
      <c r="J117" s="14">
        <f>+'KY_Res by Plant Acct P16(REG)'!J115</f>
        <v>0</v>
      </c>
      <c r="K117" s="13"/>
      <c r="L117" s="14">
        <f>+'KY_Res by Plant Acct P16(REG)'!L115</f>
        <v>0</v>
      </c>
      <c r="M117" s="13"/>
      <c r="N117" s="14">
        <f>+'KY_Res by Plant Acct P16(REG)'!N115</f>
        <v>0</v>
      </c>
      <c r="O117" s="13"/>
      <c r="P117" s="14">
        <f>+'KY_Res by Plant Acct P16(REG)'!P115</f>
        <v>0</v>
      </c>
      <c r="Q117" s="13"/>
      <c r="R117" s="14">
        <f t="shared" si="4"/>
        <v>-1726215.2499999995</v>
      </c>
    </row>
    <row r="118" spans="1:18" x14ac:dyDescent="0.2">
      <c r="A118" s="3" t="s">
        <v>3931</v>
      </c>
      <c r="B118" s="14">
        <f>SUM(B101:B117)</f>
        <v>-20949774.380000003</v>
      </c>
      <c r="C118" s="13"/>
      <c r="D118" s="14">
        <f>SUM(D101:D117)</f>
        <v>-2740410.62</v>
      </c>
      <c r="E118" s="13"/>
      <c r="F118" s="14">
        <f>SUM(F101:F117)</f>
        <v>0</v>
      </c>
      <c r="G118" s="13"/>
      <c r="H118" s="14">
        <f>SUM(H101:H117)</f>
        <v>0</v>
      </c>
      <c r="I118" s="13"/>
      <c r="J118" s="14">
        <f>SUM(J101:J117)</f>
        <v>0</v>
      </c>
      <c r="K118" s="13"/>
      <c r="L118" s="14">
        <f>SUM(L101:L117)</f>
        <v>0</v>
      </c>
      <c r="M118" s="13"/>
      <c r="N118" s="14">
        <f>SUM(N101:N117)</f>
        <v>0</v>
      </c>
      <c r="O118" s="13"/>
      <c r="P118" s="14">
        <f>SUM(P101:P117)</f>
        <v>0</v>
      </c>
      <c r="Q118" s="13"/>
      <c r="R118" s="14">
        <f>SUM(R101:R117)</f>
        <v>-23690185</v>
      </c>
    </row>
    <row r="119" spans="1:18" outlineLevel="1" x14ac:dyDescent="0.2">
      <c r="A119" s="3" t="s">
        <v>3932</v>
      </c>
      <c r="B119" s="14">
        <f>+'KY_Res by Plant Acct P16(REG)'!B117</f>
        <v>-983987.09000000008</v>
      </c>
      <c r="C119" s="13"/>
      <c r="D119" s="14">
        <f>+'KY_Res by Plant Acct P16(REG)'!D117</f>
        <v>-682418.1</v>
      </c>
      <c r="E119" s="13"/>
      <c r="F119" s="14">
        <f>+'KY_Res by Plant Acct P16(REG)'!F117</f>
        <v>0</v>
      </c>
      <c r="G119" s="13"/>
      <c r="H119" s="14">
        <f>+'KY_Res by Plant Acct P16(REG)'!H117</f>
        <v>0</v>
      </c>
      <c r="I119" s="13"/>
      <c r="J119" s="14">
        <f>+'KY_Res by Plant Acct P16(REG)'!J117</f>
        <v>0</v>
      </c>
      <c r="K119" s="13"/>
      <c r="L119" s="14">
        <f>+'KY_Res by Plant Acct P16(REG)'!L117</f>
        <v>0</v>
      </c>
      <c r="M119" s="13"/>
      <c r="N119" s="14">
        <f>+'KY_Res by Plant Acct P16(REG)'!N117</f>
        <v>0</v>
      </c>
      <c r="O119" s="13"/>
      <c r="P119" s="14">
        <f>+'KY_Res by Plant Acct P16(REG)'!P117</f>
        <v>0</v>
      </c>
      <c r="Q119" s="13"/>
      <c r="R119" s="14">
        <f>SUM(B119:P119)</f>
        <v>-1666405.19</v>
      </c>
    </row>
    <row r="120" spans="1:18" outlineLevel="1" x14ac:dyDescent="0.2">
      <c r="A120" s="3" t="s">
        <v>3933</v>
      </c>
      <c r="B120" s="14">
        <f>+'KY_Res by Plant Acct P16(REG)'!B118</f>
        <v>-3372373.26</v>
      </c>
      <c r="C120" s="13"/>
      <c r="D120" s="14">
        <f>+'KY_Res by Plant Acct P16(REG)'!D118</f>
        <v>-184210.44</v>
      </c>
      <c r="E120" s="13"/>
      <c r="F120" s="14">
        <f>+'KY_Res by Plant Acct P16(REG)'!F118</f>
        <v>0</v>
      </c>
      <c r="G120" s="13"/>
      <c r="H120" s="14">
        <f>+'KY_Res by Plant Acct P16(REG)'!H118</f>
        <v>0</v>
      </c>
      <c r="I120" s="13"/>
      <c r="J120" s="14">
        <f>+'KY_Res by Plant Acct P16(REG)'!J118</f>
        <v>0</v>
      </c>
      <c r="K120" s="13"/>
      <c r="L120" s="14">
        <f>+'KY_Res by Plant Acct P16(REG)'!L118</f>
        <v>0</v>
      </c>
      <c r="M120" s="13"/>
      <c r="N120" s="14">
        <f>+'KY_Res by Plant Acct P16(REG)'!N118</f>
        <v>0</v>
      </c>
      <c r="O120" s="13"/>
      <c r="P120" s="14">
        <f>+'KY_Res by Plant Acct P16(REG)'!P118</f>
        <v>0</v>
      </c>
      <c r="Q120" s="13"/>
      <c r="R120" s="14">
        <f>SUM(B120:P120)</f>
        <v>-3556583.6999999997</v>
      </c>
    </row>
    <row r="121" spans="1:18" outlineLevel="1" x14ac:dyDescent="0.2">
      <c r="A121" s="3" t="s">
        <v>3934</v>
      </c>
      <c r="B121" s="14">
        <f>+'KY_Res by Plant Acct P16(REG)'!B119</f>
        <v>-84672.430000000008</v>
      </c>
      <c r="C121" s="13"/>
      <c r="D121" s="14">
        <f>+'KY_Res by Plant Acct P16(REG)'!D119</f>
        <v>-14447.04</v>
      </c>
      <c r="E121" s="13"/>
      <c r="F121" s="14">
        <f>+'KY_Res by Plant Acct P16(REG)'!F119</f>
        <v>0</v>
      </c>
      <c r="G121" s="13"/>
      <c r="H121" s="14">
        <f>+'KY_Res by Plant Acct P16(REG)'!H119</f>
        <v>0</v>
      </c>
      <c r="I121" s="13"/>
      <c r="J121" s="14">
        <f>+'KY_Res by Plant Acct P16(REG)'!J119</f>
        <v>0</v>
      </c>
      <c r="K121" s="13"/>
      <c r="L121" s="14">
        <f>+'KY_Res by Plant Acct P16(REG)'!L119</f>
        <v>0</v>
      </c>
      <c r="M121" s="13"/>
      <c r="N121" s="14">
        <f>+'KY_Res by Plant Acct P16(REG)'!N119</f>
        <v>0</v>
      </c>
      <c r="O121" s="13"/>
      <c r="P121" s="14">
        <f>+'KY_Res by Plant Acct P16(REG)'!P119</f>
        <v>0</v>
      </c>
      <c r="Q121" s="13"/>
      <c r="R121" s="14">
        <f t="shared" ref="R121:R138" si="5">SUM(B121:P121)</f>
        <v>-99119.47</v>
      </c>
    </row>
    <row r="122" spans="1:18" outlineLevel="1" x14ac:dyDescent="0.2">
      <c r="A122" s="3" t="s">
        <v>3935</v>
      </c>
      <c r="B122" s="14">
        <f>+'KY_Res by Plant Acct P16(REG)'!B120</f>
        <v>-111540.48000000001</v>
      </c>
      <c r="C122" s="13"/>
      <c r="D122" s="14">
        <f>+'KY_Res by Plant Acct P16(REG)'!D120</f>
        <v>-20521.2</v>
      </c>
      <c r="E122" s="13"/>
      <c r="F122" s="14">
        <f>+'KY_Res by Plant Acct P16(REG)'!F120</f>
        <v>0</v>
      </c>
      <c r="G122" s="13"/>
      <c r="H122" s="14">
        <f>+'KY_Res by Plant Acct P16(REG)'!H120</f>
        <v>0</v>
      </c>
      <c r="I122" s="13"/>
      <c r="J122" s="14">
        <f>+'KY_Res by Plant Acct P16(REG)'!J120</f>
        <v>0</v>
      </c>
      <c r="K122" s="13"/>
      <c r="L122" s="14">
        <f>+'KY_Res by Plant Acct P16(REG)'!L120</f>
        <v>0</v>
      </c>
      <c r="M122" s="13"/>
      <c r="N122" s="14">
        <f>+'KY_Res by Plant Acct P16(REG)'!N120</f>
        <v>0</v>
      </c>
      <c r="O122" s="13"/>
      <c r="P122" s="14">
        <f>+'KY_Res by Plant Acct P16(REG)'!P120</f>
        <v>0</v>
      </c>
      <c r="Q122" s="13"/>
      <c r="R122" s="14">
        <f t="shared" si="5"/>
        <v>-132061.68000000002</v>
      </c>
    </row>
    <row r="123" spans="1:18" outlineLevel="1" x14ac:dyDescent="0.2">
      <c r="A123" s="3" t="s">
        <v>3936</v>
      </c>
      <c r="B123" s="14">
        <f>+'KY_Res by Plant Acct P16(REG)'!B121</f>
        <v>-298177.63999999996</v>
      </c>
      <c r="C123" s="13"/>
      <c r="D123" s="14">
        <f>+'KY_Res by Plant Acct P16(REG)'!D121</f>
        <v>-38277.360000000001</v>
      </c>
      <c r="E123" s="13"/>
      <c r="F123" s="14">
        <f>+'KY_Res by Plant Acct P16(REG)'!F121</f>
        <v>0</v>
      </c>
      <c r="G123" s="13"/>
      <c r="H123" s="14">
        <f>+'KY_Res by Plant Acct P16(REG)'!H121</f>
        <v>0</v>
      </c>
      <c r="I123" s="13"/>
      <c r="J123" s="14">
        <f>+'KY_Res by Plant Acct P16(REG)'!J121</f>
        <v>0</v>
      </c>
      <c r="K123" s="13"/>
      <c r="L123" s="14">
        <f>+'KY_Res by Plant Acct P16(REG)'!L121</f>
        <v>0</v>
      </c>
      <c r="M123" s="13"/>
      <c r="N123" s="14">
        <f>+'KY_Res by Plant Acct P16(REG)'!N121</f>
        <v>0</v>
      </c>
      <c r="O123" s="13"/>
      <c r="P123" s="14">
        <f>+'KY_Res by Plant Acct P16(REG)'!P121</f>
        <v>0</v>
      </c>
      <c r="Q123" s="13"/>
      <c r="R123" s="14">
        <f t="shared" si="5"/>
        <v>-336454.99999999994</v>
      </c>
    </row>
    <row r="124" spans="1:18" outlineLevel="1" x14ac:dyDescent="0.2">
      <c r="A124" s="3" t="s">
        <v>3937</v>
      </c>
      <c r="B124" s="14">
        <f>+'KY_Res by Plant Acct P16(REG)'!B122</f>
        <v>-197072.33999999997</v>
      </c>
      <c r="C124" s="13"/>
      <c r="D124" s="14">
        <f>+'KY_Res by Plant Acct P16(REG)'!D122</f>
        <v>-60935.64</v>
      </c>
      <c r="E124" s="13"/>
      <c r="F124" s="14">
        <f>+'KY_Res by Plant Acct P16(REG)'!F122</f>
        <v>0</v>
      </c>
      <c r="G124" s="13"/>
      <c r="H124" s="14">
        <f>+'KY_Res by Plant Acct P16(REG)'!H122</f>
        <v>0</v>
      </c>
      <c r="I124" s="13"/>
      <c r="J124" s="14">
        <f>+'KY_Res by Plant Acct P16(REG)'!J122</f>
        <v>0</v>
      </c>
      <c r="K124" s="13"/>
      <c r="L124" s="14">
        <f>+'KY_Res by Plant Acct P16(REG)'!L122</f>
        <v>0</v>
      </c>
      <c r="M124" s="13"/>
      <c r="N124" s="14">
        <f>+'KY_Res by Plant Acct P16(REG)'!N122</f>
        <v>0</v>
      </c>
      <c r="O124" s="13"/>
      <c r="P124" s="14">
        <f>+'KY_Res by Plant Acct P16(REG)'!P122</f>
        <v>0</v>
      </c>
      <c r="Q124" s="13"/>
      <c r="R124" s="14">
        <f t="shared" si="5"/>
        <v>-258007.97999999998</v>
      </c>
    </row>
    <row r="125" spans="1:18" outlineLevel="1" x14ac:dyDescent="0.2">
      <c r="A125" s="3" t="s">
        <v>3938</v>
      </c>
      <c r="B125" s="14">
        <f>+'KY_Res by Plant Acct P16(REG)'!B123</f>
        <v>-194513.86000000002</v>
      </c>
      <c r="C125" s="13"/>
      <c r="D125" s="14">
        <f>+'KY_Res by Plant Acct P16(REG)'!D123</f>
        <v>-61377.78</v>
      </c>
      <c r="E125" s="13"/>
      <c r="F125" s="14">
        <f>+'KY_Res by Plant Acct P16(REG)'!F123</f>
        <v>0</v>
      </c>
      <c r="G125" s="13"/>
      <c r="H125" s="14">
        <f>+'KY_Res by Plant Acct P16(REG)'!H123</f>
        <v>0</v>
      </c>
      <c r="I125" s="13"/>
      <c r="J125" s="14">
        <f>+'KY_Res by Plant Acct P16(REG)'!J123</f>
        <v>0</v>
      </c>
      <c r="K125" s="13"/>
      <c r="L125" s="14">
        <f>+'KY_Res by Plant Acct P16(REG)'!L123</f>
        <v>0</v>
      </c>
      <c r="M125" s="13"/>
      <c r="N125" s="14">
        <f>+'KY_Res by Plant Acct P16(REG)'!N123</f>
        <v>0</v>
      </c>
      <c r="O125" s="13"/>
      <c r="P125" s="14">
        <f>+'KY_Res by Plant Acct P16(REG)'!P123</f>
        <v>0</v>
      </c>
      <c r="Q125" s="13"/>
      <c r="R125" s="14">
        <f t="shared" si="5"/>
        <v>-255891.64</v>
      </c>
    </row>
    <row r="126" spans="1:18" outlineLevel="1" x14ac:dyDescent="0.2">
      <c r="A126" s="3" t="s">
        <v>3939</v>
      </c>
      <c r="B126" s="14">
        <f>+'KY_Res by Plant Acct P16(REG)'!B124</f>
        <v>-138889.59</v>
      </c>
      <c r="C126" s="13"/>
      <c r="D126" s="14">
        <f>+'KY_Res by Plant Acct P16(REG)'!D124</f>
        <v>-17821.38</v>
      </c>
      <c r="E126" s="13"/>
      <c r="F126" s="14">
        <f>+'KY_Res by Plant Acct P16(REG)'!F124</f>
        <v>0</v>
      </c>
      <c r="G126" s="13"/>
      <c r="H126" s="14">
        <f>+'KY_Res by Plant Acct P16(REG)'!H124</f>
        <v>0</v>
      </c>
      <c r="I126" s="13"/>
      <c r="J126" s="14">
        <f>+'KY_Res by Plant Acct P16(REG)'!J124</f>
        <v>0</v>
      </c>
      <c r="K126" s="13"/>
      <c r="L126" s="14">
        <f>+'KY_Res by Plant Acct P16(REG)'!L124</f>
        <v>0</v>
      </c>
      <c r="M126" s="13"/>
      <c r="N126" s="14">
        <f>+'KY_Res by Plant Acct P16(REG)'!N124</f>
        <v>0</v>
      </c>
      <c r="O126" s="13"/>
      <c r="P126" s="14">
        <f>+'KY_Res by Plant Acct P16(REG)'!P124</f>
        <v>0</v>
      </c>
      <c r="Q126" s="13"/>
      <c r="R126" s="14">
        <f t="shared" si="5"/>
        <v>-156710.97</v>
      </c>
    </row>
    <row r="127" spans="1:18" outlineLevel="1" x14ac:dyDescent="0.2">
      <c r="A127" s="3" t="s">
        <v>3940</v>
      </c>
      <c r="B127" s="14">
        <f>+'KY_Res by Plant Acct P16(REG)'!B125</f>
        <v>-1305219.5000000002</v>
      </c>
      <c r="C127" s="13"/>
      <c r="D127" s="14">
        <f>+'KY_Res by Plant Acct P16(REG)'!D125</f>
        <v>-123367.02</v>
      </c>
      <c r="E127" s="13"/>
      <c r="F127" s="14">
        <f>+'KY_Res by Plant Acct P16(REG)'!F125</f>
        <v>0</v>
      </c>
      <c r="G127" s="13"/>
      <c r="H127" s="14">
        <f>+'KY_Res by Plant Acct P16(REG)'!H125</f>
        <v>0</v>
      </c>
      <c r="I127" s="13"/>
      <c r="J127" s="14">
        <f>+'KY_Res by Plant Acct P16(REG)'!J125</f>
        <v>0</v>
      </c>
      <c r="K127" s="13"/>
      <c r="L127" s="14">
        <f>+'KY_Res by Plant Acct P16(REG)'!L125</f>
        <v>0</v>
      </c>
      <c r="M127" s="13"/>
      <c r="N127" s="14">
        <f>+'KY_Res by Plant Acct P16(REG)'!N125</f>
        <v>0</v>
      </c>
      <c r="O127" s="13"/>
      <c r="P127" s="14">
        <f>+'KY_Res by Plant Acct P16(REG)'!P125</f>
        <v>0</v>
      </c>
      <c r="Q127" s="13"/>
      <c r="R127" s="14">
        <f t="shared" si="5"/>
        <v>-1428586.5200000003</v>
      </c>
    </row>
    <row r="128" spans="1:18" outlineLevel="1" x14ac:dyDescent="0.2">
      <c r="A128" s="3" t="s">
        <v>3941</v>
      </c>
      <c r="B128" s="14">
        <f>+'KY_Res by Plant Acct P16(REG)'!B126</f>
        <v>-5477535.1900000013</v>
      </c>
      <c r="C128" s="13"/>
      <c r="D128" s="14">
        <f>+'KY_Res by Plant Acct P16(REG)'!D126</f>
        <v>-239178.68</v>
      </c>
      <c r="E128" s="13"/>
      <c r="F128" s="14">
        <f>+'KY_Res by Plant Acct P16(REG)'!F126</f>
        <v>0</v>
      </c>
      <c r="G128" s="13"/>
      <c r="H128" s="14">
        <f>+'KY_Res by Plant Acct P16(REG)'!H126</f>
        <v>0</v>
      </c>
      <c r="I128" s="13"/>
      <c r="J128" s="14">
        <f>+'KY_Res by Plant Acct P16(REG)'!J126</f>
        <v>0</v>
      </c>
      <c r="K128" s="13"/>
      <c r="L128" s="14">
        <f>+'KY_Res by Plant Acct P16(REG)'!L126</f>
        <v>0</v>
      </c>
      <c r="M128" s="13"/>
      <c r="N128" s="14">
        <f>+'KY_Res by Plant Acct P16(REG)'!N126</f>
        <v>0</v>
      </c>
      <c r="O128" s="13"/>
      <c r="P128" s="14">
        <f>+'KY_Res by Plant Acct P16(REG)'!P126</f>
        <v>0</v>
      </c>
      <c r="Q128" s="13"/>
      <c r="R128" s="14">
        <f t="shared" si="5"/>
        <v>-5716713.870000001</v>
      </c>
    </row>
    <row r="129" spans="1:18" outlineLevel="1" x14ac:dyDescent="0.2">
      <c r="A129" s="3" t="s">
        <v>4376</v>
      </c>
      <c r="B129" s="14">
        <f>+'KY_Res by Plant Acct P16(REG)'!B127</f>
        <v>-240710.12000000002</v>
      </c>
      <c r="C129" s="13"/>
      <c r="D129" s="14">
        <f>+'KY_Res by Plant Acct P16(REG)'!D127</f>
        <v>-61375.32</v>
      </c>
      <c r="E129" s="13"/>
      <c r="F129" s="14">
        <f>+'KY_Res by Plant Acct P16(REG)'!F127</f>
        <v>0</v>
      </c>
      <c r="G129" s="13"/>
      <c r="H129" s="14">
        <f>+'KY_Res by Plant Acct P16(REG)'!H127</f>
        <v>0</v>
      </c>
      <c r="I129" s="13"/>
      <c r="J129" s="14">
        <f>+'KY_Res by Plant Acct P16(REG)'!J127</f>
        <v>0</v>
      </c>
      <c r="K129" s="13"/>
      <c r="L129" s="14">
        <f>+'KY_Res by Plant Acct P16(REG)'!L127</f>
        <v>0</v>
      </c>
      <c r="M129" s="13"/>
      <c r="N129" s="14">
        <f>+'KY_Res by Plant Acct P16(REG)'!N127</f>
        <v>0</v>
      </c>
      <c r="O129" s="13"/>
      <c r="P129" s="14">
        <f>+'KY_Res by Plant Acct P16(REG)'!P127</f>
        <v>0</v>
      </c>
      <c r="Q129" s="13"/>
      <c r="R129" s="14">
        <f t="shared" si="5"/>
        <v>-302085.44</v>
      </c>
    </row>
    <row r="130" spans="1:18" outlineLevel="1" x14ac:dyDescent="0.2">
      <c r="A130" s="3" t="s">
        <v>3943</v>
      </c>
      <c r="B130" s="14">
        <f>+'KY_Res by Plant Acct P16(REG)'!B128</f>
        <v>0</v>
      </c>
      <c r="C130" s="13"/>
      <c r="D130" s="14">
        <f>+'KY_Res by Plant Acct P16(REG)'!D128</f>
        <v>-176159.66</v>
      </c>
      <c r="E130" s="13"/>
      <c r="F130" s="14">
        <f>+'KY_Res by Plant Acct P16(REG)'!F128</f>
        <v>0</v>
      </c>
      <c r="G130" s="13"/>
      <c r="H130" s="14">
        <f>+'KY_Res by Plant Acct P16(REG)'!H128</f>
        <v>-86415.29</v>
      </c>
      <c r="I130" s="13"/>
      <c r="J130" s="14">
        <f>+'KY_Res by Plant Acct P16(REG)'!J128</f>
        <v>0</v>
      </c>
      <c r="K130" s="13"/>
      <c r="L130" s="14">
        <f>+'KY_Res by Plant Acct P16(REG)'!L128</f>
        <v>0</v>
      </c>
      <c r="M130" s="13"/>
      <c r="N130" s="14">
        <f>+'KY_Res by Plant Acct P16(REG)'!N128</f>
        <v>0</v>
      </c>
      <c r="O130" s="13"/>
      <c r="P130" s="14">
        <f>+'KY_Res by Plant Acct P16(REG)'!P128</f>
        <v>0</v>
      </c>
      <c r="Q130" s="13"/>
      <c r="R130" s="14">
        <f t="shared" si="5"/>
        <v>-262574.95</v>
      </c>
    </row>
    <row r="131" spans="1:18" outlineLevel="1" x14ac:dyDescent="0.2">
      <c r="A131" s="3" t="s">
        <v>3944</v>
      </c>
      <c r="B131" s="14">
        <f>+'KY_Res by Plant Acct P16(REG)'!B129</f>
        <v>-1078224.6900000002</v>
      </c>
      <c r="C131" s="13"/>
      <c r="D131" s="14">
        <f>+'KY_Res by Plant Acct P16(REG)'!D129</f>
        <v>-105547.1</v>
      </c>
      <c r="E131" s="13"/>
      <c r="F131" s="14">
        <f>+'KY_Res by Plant Acct P16(REG)'!F129</f>
        <v>19123.07</v>
      </c>
      <c r="G131" s="13"/>
      <c r="H131" s="14">
        <f>+'KY_Res by Plant Acct P16(REG)'!H129</f>
        <v>86415.29</v>
      </c>
      <c r="I131" s="13"/>
      <c r="J131" s="14">
        <f>+'KY_Res by Plant Acct P16(REG)'!J129</f>
        <v>0</v>
      </c>
      <c r="K131" s="13"/>
      <c r="L131" s="14">
        <f>+'KY_Res by Plant Acct P16(REG)'!L129</f>
        <v>13600.15</v>
      </c>
      <c r="M131" s="13"/>
      <c r="N131" s="14">
        <f>+'KY_Res by Plant Acct P16(REG)'!N129</f>
        <v>0</v>
      </c>
      <c r="O131" s="13"/>
      <c r="P131" s="14">
        <f>+'KY_Res by Plant Acct P16(REG)'!P129</f>
        <v>0</v>
      </c>
      <c r="Q131" s="13"/>
      <c r="R131" s="14">
        <f t="shared" si="5"/>
        <v>-1064633.2800000003</v>
      </c>
    </row>
    <row r="132" spans="1:18" outlineLevel="1" x14ac:dyDescent="0.2">
      <c r="A132" s="3" t="s">
        <v>3945</v>
      </c>
      <c r="B132" s="14">
        <f>+'KY_Res by Plant Acct P16(REG)'!B130</f>
        <v>-269375.76</v>
      </c>
      <c r="C132" s="13"/>
      <c r="D132" s="14">
        <f>+'KY_Res by Plant Acct P16(REG)'!D130</f>
        <v>-23357.759999999998</v>
      </c>
      <c r="E132" s="13"/>
      <c r="F132" s="14">
        <f>+'KY_Res by Plant Acct P16(REG)'!F130</f>
        <v>0</v>
      </c>
      <c r="G132" s="13"/>
      <c r="H132" s="14">
        <f>+'KY_Res by Plant Acct P16(REG)'!H130</f>
        <v>0</v>
      </c>
      <c r="I132" s="13"/>
      <c r="J132" s="14">
        <f>+'KY_Res by Plant Acct P16(REG)'!J130</f>
        <v>0</v>
      </c>
      <c r="K132" s="13"/>
      <c r="L132" s="14">
        <f>+'KY_Res by Plant Acct P16(REG)'!L130</f>
        <v>0</v>
      </c>
      <c r="M132" s="13"/>
      <c r="N132" s="14">
        <f>+'KY_Res by Plant Acct P16(REG)'!N130</f>
        <v>0</v>
      </c>
      <c r="O132" s="13"/>
      <c r="P132" s="14">
        <f>+'KY_Res by Plant Acct P16(REG)'!P130</f>
        <v>0</v>
      </c>
      <c r="Q132" s="13"/>
      <c r="R132" s="14">
        <f t="shared" si="5"/>
        <v>-292733.52</v>
      </c>
    </row>
    <row r="133" spans="1:18" outlineLevel="1" x14ac:dyDescent="0.2">
      <c r="A133" s="3" t="s">
        <v>3946</v>
      </c>
      <c r="B133" s="14">
        <f>+'KY_Res by Plant Acct P16(REG)'!B131</f>
        <v>-118942.83</v>
      </c>
      <c r="C133" s="13"/>
      <c r="D133" s="14">
        <f>+'KY_Res by Plant Acct P16(REG)'!D131</f>
        <v>-9068.2800000000007</v>
      </c>
      <c r="E133" s="13"/>
      <c r="F133" s="14">
        <f>+'KY_Res by Plant Acct P16(REG)'!F131</f>
        <v>0</v>
      </c>
      <c r="G133" s="13"/>
      <c r="H133" s="14">
        <f>+'KY_Res by Plant Acct P16(REG)'!H131</f>
        <v>0</v>
      </c>
      <c r="I133" s="13"/>
      <c r="J133" s="14">
        <f>+'KY_Res by Plant Acct P16(REG)'!J131</f>
        <v>0</v>
      </c>
      <c r="K133" s="13"/>
      <c r="L133" s="14">
        <f>+'KY_Res by Plant Acct P16(REG)'!L131</f>
        <v>0</v>
      </c>
      <c r="M133" s="13"/>
      <c r="N133" s="14">
        <f>+'KY_Res by Plant Acct P16(REG)'!N131</f>
        <v>0</v>
      </c>
      <c r="O133" s="13"/>
      <c r="P133" s="14">
        <f>+'KY_Res by Plant Acct P16(REG)'!P131</f>
        <v>0</v>
      </c>
      <c r="Q133" s="13"/>
      <c r="R133" s="14">
        <f t="shared" si="5"/>
        <v>-128011.11</v>
      </c>
    </row>
    <row r="134" spans="1:18" outlineLevel="1" x14ac:dyDescent="0.2">
      <c r="A134" s="3" t="s">
        <v>3947</v>
      </c>
      <c r="B134" s="14">
        <f>+'KY_Res by Plant Acct P16(REG)'!B132</f>
        <v>-118786.69999999998</v>
      </c>
      <c r="C134" s="13"/>
      <c r="D134" s="14">
        <f>+'KY_Res by Plant Acct P16(REG)'!D132</f>
        <v>-9055.44</v>
      </c>
      <c r="E134" s="13"/>
      <c r="F134" s="14">
        <f>+'KY_Res by Plant Acct P16(REG)'!F132</f>
        <v>0</v>
      </c>
      <c r="G134" s="13"/>
      <c r="H134" s="14">
        <f>+'KY_Res by Plant Acct P16(REG)'!H132</f>
        <v>0</v>
      </c>
      <c r="I134" s="13"/>
      <c r="J134" s="14">
        <f>+'KY_Res by Plant Acct P16(REG)'!J132</f>
        <v>0</v>
      </c>
      <c r="K134" s="13"/>
      <c r="L134" s="14">
        <f>+'KY_Res by Plant Acct P16(REG)'!L132</f>
        <v>0</v>
      </c>
      <c r="M134" s="13"/>
      <c r="N134" s="14">
        <f>+'KY_Res by Plant Acct P16(REG)'!N132</f>
        <v>0</v>
      </c>
      <c r="O134" s="13"/>
      <c r="P134" s="14">
        <f>+'KY_Res by Plant Acct P16(REG)'!P132</f>
        <v>0</v>
      </c>
      <c r="Q134" s="13"/>
      <c r="R134" s="14">
        <f t="shared" si="5"/>
        <v>-127842.13999999998</v>
      </c>
    </row>
    <row r="135" spans="1:18" outlineLevel="1" x14ac:dyDescent="0.2">
      <c r="A135" s="3" t="s">
        <v>3948</v>
      </c>
      <c r="B135" s="14">
        <f>+'KY_Res by Plant Acct P16(REG)'!B133</f>
        <v>-252836.06</v>
      </c>
      <c r="C135" s="13"/>
      <c r="D135" s="14">
        <f>+'KY_Res by Plant Acct P16(REG)'!D133</f>
        <v>-21503.82</v>
      </c>
      <c r="E135" s="13"/>
      <c r="F135" s="14">
        <f>+'KY_Res by Plant Acct P16(REG)'!F133</f>
        <v>0</v>
      </c>
      <c r="G135" s="13"/>
      <c r="H135" s="14">
        <f>+'KY_Res by Plant Acct P16(REG)'!H133</f>
        <v>0</v>
      </c>
      <c r="I135" s="13"/>
      <c r="J135" s="14">
        <f>+'KY_Res by Plant Acct P16(REG)'!J133</f>
        <v>0</v>
      </c>
      <c r="K135" s="13"/>
      <c r="L135" s="14">
        <f>+'KY_Res by Plant Acct P16(REG)'!L133</f>
        <v>0</v>
      </c>
      <c r="M135" s="13"/>
      <c r="N135" s="14">
        <f>+'KY_Res by Plant Acct P16(REG)'!N133</f>
        <v>0</v>
      </c>
      <c r="O135" s="13"/>
      <c r="P135" s="14">
        <f>+'KY_Res by Plant Acct P16(REG)'!P133</f>
        <v>0</v>
      </c>
      <c r="Q135" s="13"/>
      <c r="R135" s="14">
        <f t="shared" si="5"/>
        <v>-274339.88</v>
      </c>
    </row>
    <row r="136" spans="1:18" outlineLevel="1" x14ac:dyDescent="0.2">
      <c r="A136" s="3" t="s">
        <v>3949</v>
      </c>
      <c r="B136" s="14">
        <f>+'KY_Res by Plant Acct P16(REG)'!B134</f>
        <v>-252104.10999999996</v>
      </c>
      <c r="C136" s="13"/>
      <c r="D136" s="14">
        <f>+'KY_Res by Plant Acct P16(REG)'!D134</f>
        <v>-21441.599999999999</v>
      </c>
      <c r="E136" s="13"/>
      <c r="F136" s="14">
        <f>+'KY_Res by Plant Acct P16(REG)'!F134</f>
        <v>0</v>
      </c>
      <c r="G136" s="13"/>
      <c r="H136" s="14">
        <f>+'KY_Res by Plant Acct P16(REG)'!H134</f>
        <v>0</v>
      </c>
      <c r="I136" s="13"/>
      <c r="J136" s="14">
        <f>+'KY_Res by Plant Acct P16(REG)'!J134</f>
        <v>0</v>
      </c>
      <c r="K136" s="13"/>
      <c r="L136" s="14">
        <f>+'KY_Res by Plant Acct P16(REG)'!L134</f>
        <v>0</v>
      </c>
      <c r="M136" s="13"/>
      <c r="N136" s="14">
        <f>+'KY_Res by Plant Acct P16(REG)'!N134</f>
        <v>0</v>
      </c>
      <c r="O136" s="13"/>
      <c r="P136" s="14">
        <f>+'KY_Res by Plant Acct P16(REG)'!P134</f>
        <v>0</v>
      </c>
      <c r="Q136" s="13"/>
      <c r="R136" s="14">
        <f t="shared" si="5"/>
        <v>-273545.70999999996</v>
      </c>
    </row>
    <row r="137" spans="1:18" outlineLevel="1" x14ac:dyDescent="0.2">
      <c r="A137" s="3" t="s">
        <v>3950</v>
      </c>
      <c r="B137" s="14">
        <f>+'KY_Res by Plant Acct P16(REG)'!B135</f>
        <v>-258492.40999999997</v>
      </c>
      <c r="C137" s="13"/>
      <c r="D137" s="14">
        <f>+'KY_Res by Plant Acct P16(REG)'!D135</f>
        <v>-22177.919999999998</v>
      </c>
      <c r="E137" s="13"/>
      <c r="F137" s="14">
        <f>+'KY_Res by Plant Acct P16(REG)'!F135</f>
        <v>0</v>
      </c>
      <c r="G137" s="13"/>
      <c r="H137" s="14">
        <f>+'KY_Res by Plant Acct P16(REG)'!H135</f>
        <v>0</v>
      </c>
      <c r="I137" s="13"/>
      <c r="J137" s="14">
        <f>+'KY_Res by Plant Acct P16(REG)'!J135</f>
        <v>0</v>
      </c>
      <c r="K137" s="13"/>
      <c r="L137" s="14">
        <f>+'KY_Res by Plant Acct P16(REG)'!L135</f>
        <v>0</v>
      </c>
      <c r="M137" s="13"/>
      <c r="N137" s="14">
        <f>+'KY_Res by Plant Acct P16(REG)'!N135</f>
        <v>0</v>
      </c>
      <c r="O137" s="13"/>
      <c r="P137" s="14">
        <f>+'KY_Res by Plant Acct P16(REG)'!P135</f>
        <v>0</v>
      </c>
      <c r="Q137" s="13"/>
      <c r="R137" s="14">
        <f t="shared" si="5"/>
        <v>-280670.32999999996</v>
      </c>
    </row>
    <row r="138" spans="1:18" outlineLevel="1" x14ac:dyDescent="0.2">
      <c r="A138" s="3" t="s">
        <v>3951</v>
      </c>
      <c r="B138" s="14">
        <f>+'KY_Res by Plant Acct P16(REG)'!B136</f>
        <v>-2378233.7199999997</v>
      </c>
      <c r="C138" s="13"/>
      <c r="D138" s="14">
        <f>+'KY_Res by Plant Acct P16(REG)'!D136</f>
        <v>-181433.44</v>
      </c>
      <c r="E138" s="13"/>
      <c r="F138" s="14">
        <f>+'KY_Res by Plant Acct P16(REG)'!F136</f>
        <v>0</v>
      </c>
      <c r="G138" s="13"/>
      <c r="H138" s="14">
        <f>+'KY_Res by Plant Acct P16(REG)'!H136</f>
        <v>0</v>
      </c>
      <c r="I138" s="13"/>
      <c r="J138" s="14">
        <f>+'KY_Res by Plant Acct P16(REG)'!J136</f>
        <v>0</v>
      </c>
      <c r="K138" s="13"/>
      <c r="L138" s="14">
        <f>+'KY_Res by Plant Acct P16(REG)'!L136</f>
        <v>0</v>
      </c>
      <c r="M138" s="13"/>
      <c r="N138" s="14">
        <f>+'KY_Res by Plant Acct P16(REG)'!N136</f>
        <v>0</v>
      </c>
      <c r="O138" s="13"/>
      <c r="P138" s="14">
        <f>+'KY_Res by Plant Acct P16(REG)'!P136</f>
        <v>0</v>
      </c>
      <c r="Q138" s="13"/>
      <c r="R138" s="14">
        <f t="shared" si="5"/>
        <v>-2559667.1599999997</v>
      </c>
    </row>
    <row r="139" spans="1:18" x14ac:dyDescent="0.2">
      <c r="A139" s="3" t="s">
        <v>3952</v>
      </c>
      <c r="B139" s="14">
        <f>SUM(B119:B138)</f>
        <v>-17131687.779999997</v>
      </c>
      <c r="C139" s="13"/>
      <c r="D139" s="14">
        <f>SUM(D119:D138)</f>
        <v>-2073674.98</v>
      </c>
      <c r="E139" s="13"/>
      <c r="F139" s="14">
        <f>SUM(F119:F138)</f>
        <v>19123.07</v>
      </c>
      <c r="G139" s="13"/>
      <c r="H139" s="14">
        <f>SUM(H119:H138)</f>
        <v>0</v>
      </c>
      <c r="I139" s="13"/>
      <c r="J139" s="14">
        <f>SUM(J119:J138)</f>
        <v>0</v>
      </c>
      <c r="K139" s="13"/>
      <c r="L139" s="14">
        <f>SUM(L119:L138)</f>
        <v>13600.15</v>
      </c>
      <c r="M139" s="13"/>
      <c r="N139" s="14">
        <f>SUM(N119:N138)</f>
        <v>0</v>
      </c>
      <c r="O139" s="13"/>
      <c r="P139" s="14">
        <f>SUM(P119:P138)</f>
        <v>0</v>
      </c>
      <c r="Q139" s="13"/>
      <c r="R139" s="14">
        <f>SUM(R119:R138)</f>
        <v>-19172639.539999995</v>
      </c>
    </row>
    <row r="140" spans="1:18" x14ac:dyDescent="0.2">
      <c r="A140" s="3" t="s">
        <v>3953</v>
      </c>
      <c r="B140" s="14">
        <f>+'KY_Res by Plant Acct P16(REG)'!B138</f>
        <v>2.9103830456733704E-11</v>
      </c>
      <c r="C140" s="13"/>
      <c r="D140" s="14">
        <f>+'KY_Res by Plant Acct P16(REG)'!D138</f>
        <v>0</v>
      </c>
      <c r="E140" s="13"/>
      <c r="F140" s="14">
        <f>+'KY_Res by Plant Acct P16(REG)'!F138</f>
        <v>0</v>
      </c>
      <c r="G140" s="13"/>
      <c r="H140" s="14">
        <f>+'KY_Res by Plant Acct P16(REG)'!H138</f>
        <v>0</v>
      </c>
      <c r="I140" s="13"/>
      <c r="J140" s="14">
        <f>+'KY_Res by Plant Acct P16(REG)'!J138</f>
        <v>0</v>
      </c>
      <c r="K140" s="13"/>
      <c r="L140" s="14">
        <f>+'KY_Res by Plant Acct P16(REG)'!L138</f>
        <v>0</v>
      </c>
      <c r="M140" s="13"/>
      <c r="N140" s="14">
        <f>+'KY_Res by Plant Acct P16(REG)'!N138</f>
        <v>0</v>
      </c>
      <c r="O140" s="13"/>
      <c r="P140" s="14">
        <f>+'KY_Res by Plant Acct P16(REG)'!P138</f>
        <v>0</v>
      </c>
      <c r="Q140" s="13"/>
      <c r="R140" s="14">
        <f t="shared" ref="R140:R155" si="6">SUM(B140:P140)</f>
        <v>2.9103830456733704E-11</v>
      </c>
    </row>
    <row r="141" spans="1:18" outlineLevel="1" x14ac:dyDescent="0.2">
      <c r="A141" s="3" t="s">
        <v>3954</v>
      </c>
      <c r="B141" s="14">
        <f>+'KY_Res by Plant Acct P16(REG)'!B139</f>
        <v>-5977328.9400000004</v>
      </c>
      <c r="C141" s="13"/>
      <c r="D141" s="14">
        <f>+'KY_Res by Plant Acct P16(REG)'!D139</f>
        <v>-8121279.9900000002</v>
      </c>
      <c r="E141" s="13"/>
      <c r="F141" s="14">
        <f>+'KY_Res by Plant Acct P16(REG)'!F139</f>
        <v>194956.51</v>
      </c>
      <c r="G141" s="13"/>
      <c r="H141" s="14">
        <f>+'KY_Res by Plant Acct P16(REG)'!H139</f>
        <v>0</v>
      </c>
      <c r="I141" s="13"/>
      <c r="J141" s="14">
        <f>+'KY_Res by Plant Acct P16(REG)'!J139</f>
        <v>0</v>
      </c>
      <c r="K141" s="13"/>
      <c r="L141" s="14">
        <f>+'KY_Res by Plant Acct P16(REG)'!L139</f>
        <v>28836.19</v>
      </c>
      <c r="M141" s="13"/>
      <c r="N141" s="14">
        <f>+'KY_Res by Plant Acct P16(REG)'!N139</f>
        <v>0</v>
      </c>
      <c r="O141" s="13"/>
      <c r="P141" s="14">
        <f>+'KY_Res by Plant Acct P16(REG)'!P139</f>
        <v>0</v>
      </c>
      <c r="Q141" s="13"/>
      <c r="R141" s="14">
        <f>SUM(B141:P141)</f>
        <v>-13874816.23</v>
      </c>
    </row>
    <row r="142" spans="1:18" outlineLevel="1" x14ac:dyDescent="0.2">
      <c r="A142" s="3" t="s">
        <v>3955</v>
      </c>
      <c r="B142" s="14">
        <f>+'KY_Res by Plant Acct P16(REG)'!B140</f>
        <v>-10695542.149999997</v>
      </c>
      <c r="C142" s="13"/>
      <c r="D142" s="14">
        <f>+'KY_Res by Plant Acct P16(REG)'!D140</f>
        <v>-1068323.9099999999</v>
      </c>
      <c r="E142" s="13"/>
      <c r="F142" s="14">
        <f>+'KY_Res by Plant Acct P16(REG)'!F140</f>
        <v>4847.7299999999996</v>
      </c>
      <c r="G142" s="13"/>
      <c r="H142" s="14">
        <f>+'KY_Res by Plant Acct P16(REG)'!H140</f>
        <v>0</v>
      </c>
      <c r="I142" s="13"/>
      <c r="J142" s="14">
        <f>+'KY_Res by Plant Acct P16(REG)'!J140</f>
        <v>0</v>
      </c>
      <c r="K142" s="13"/>
      <c r="L142" s="14">
        <f>+'KY_Res by Plant Acct P16(REG)'!L140</f>
        <v>0</v>
      </c>
      <c r="M142" s="13"/>
      <c r="N142" s="14">
        <f>+'KY_Res by Plant Acct P16(REG)'!N140</f>
        <v>0</v>
      </c>
      <c r="O142" s="13"/>
      <c r="P142" s="14">
        <f>+'KY_Res by Plant Acct P16(REG)'!P140</f>
        <v>0</v>
      </c>
      <c r="Q142" s="13"/>
      <c r="R142" s="14">
        <f t="shared" si="6"/>
        <v>-11759018.329999996</v>
      </c>
    </row>
    <row r="143" spans="1:18" outlineLevel="1" x14ac:dyDescent="0.2">
      <c r="A143" s="3" t="s">
        <v>3956</v>
      </c>
      <c r="B143" s="14">
        <f>+'KY_Res by Plant Acct P16(REG)'!B141</f>
        <v>-22548694.699999999</v>
      </c>
      <c r="C143" s="13"/>
      <c r="D143" s="14">
        <f>+'KY_Res by Plant Acct P16(REG)'!D141</f>
        <v>-1616677.73</v>
      </c>
      <c r="E143" s="13"/>
      <c r="F143" s="14">
        <f>+'KY_Res by Plant Acct P16(REG)'!F141</f>
        <v>11953.55</v>
      </c>
      <c r="G143" s="13"/>
      <c r="H143" s="14">
        <f>+'KY_Res by Plant Acct P16(REG)'!H141</f>
        <v>0</v>
      </c>
      <c r="I143" s="13"/>
      <c r="J143" s="14">
        <f>+'KY_Res by Plant Acct P16(REG)'!J141</f>
        <v>0</v>
      </c>
      <c r="K143" s="13"/>
      <c r="L143" s="14">
        <f>+'KY_Res by Plant Acct P16(REG)'!L141</f>
        <v>0</v>
      </c>
      <c r="M143" s="13"/>
      <c r="N143" s="14">
        <f>+'KY_Res by Plant Acct P16(REG)'!N141</f>
        <v>0</v>
      </c>
      <c r="O143" s="13"/>
      <c r="P143" s="14">
        <f>+'KY_Res by Plant Acct P16(REG)'!P141</f>
        <v>0</v>
      </c>
      <c r="Q143" s="13"/>
      <c r="R143" s="14">
        <f t="shared" si="6"/>
        <v>-24153418.879999999</v>
      </c>
    </row>
    <row r="144" spans="1:18" outlineLevel="1" x14ac:dyDescent="0.2">
      <c r="A144" s="3" t="s">
        <v>3957</v>
      </c>
      <c r="B144" s="14">
        <f>+'KY_Res by Plant Acct P16(REG)'!B142</f>
        <v>-7389767.5199999996</v>
      </c>
      <c r="C144" s="13"/>
      <c r="D144" s="14">
        <f>+'KY_Res by Plant Acct P16(REG)'!D142</f>
        <v>-637243.97</v>
      </c>
      <c r="E144" s="13"/>
      <c r="F144" s="14">
        <f>+'KY_Res by Plant Acct P16(REG)'!F142</f>
        <v>6260.62</v>
      </c>
      <c r="G144" s="13"/>
      <c r="H144" s="14">
        <f>+'KY_Res by Plant Acct P16(REG)'!H142</f>
        <v>0</v>
      </c>
      <c r="I144" s="13"/>
      <c r="J144" s="14">
        <f>+'KY_Res by Plant Acct P16(REG)'!J142</f>
        <v>0</v>
      </c>
      <c r="K144" s="13"/>
      <c r="L144" s="14">
        <f>+'KY_Res by Plant Acct P16(REG)'!L142</f>
        <v>0</v>
      </c>
      <c r="M144" s="13"/>
      <c r="N144" s="14">
        <f>+'KY_Res by Plant Acct P16(REG)'!N142</f>
        <v>0</v>
      </c>
      <c r="O144" s="13"/>
      <c r="P144" s="14">
        <f>+'KY_Res by Plant Acct P16(REG)'!P142</f>
        <v>0</v>
      </c>
      <c r="Q144" s="13"/>
      <c r="R144" s="14">
        <f t="shared" si="6"/>
        <v>-8020750.8699999992</v>
      </c>
    </row>
    <row r="145" spans="1:18" outlineLevel="1" x14ac:dyDescent="0.2">
      <c r="A145" s="3" t="s">
        <v>3958</v>
      </c>
      <c r="B145" s="14">
        <f>+'KY_Res by Plant Acct P16(REG)'!B143</f>
        <v>-15935840.900000002</v>
      </c>
      <c r="C145" s="13"/>
      <c r="D145" s="14">
        <f>+'KY_Res by Plant Acct P16(REG)'!D143</f>
        <v>-1815638.91</v>
      </c>
      <c r="E145" s="13"/>
      <c r="F145" s="14">
        <f>+'KY_Res by Plant Acct P16(REG)'!F143</f>
        <v>6260.62</v>
      </c>
      <c r="G145" s="13"/>
      <c r="H145" s="14">
        <f>+'KY_Res by Plant Acct P16(REG)'!H143</f>
        <v>0</v>
      </c>
      <c r="I145" s="13"/>
      <c r="J145" s="14">
        <f>+'KY_Res by Plant Acct P16(REG)'!J143</f>
        <v>0</v>
      </c>
      <c r="K145" s="13"/>
      <c r="L145" s="14">
        <f>+'KY_Res by Plant Acct P16(REG)'!L143</f>
        <v>0</v>
      </c>
      <c r="M145" s="13"/>
      <c r="N145" s="14">
        <f>+'KY_Res by Plant Acct P16(REG)'!N143</f>
        <v>0</v>
      </c>
      <c r="O145" s="13"/>
      <c r="P145" s="14">
        <f>+'KY_Res by Plant Acct P16(REG)'!P143</f>
        <v>0</v>
      </c>
      <c r="Q145" s="13"/>
      <c r="R145" s="14">
        <f t="shared" si="6"/>
        <v>-17745219.190000001</v>
      </c>
    </row>
    <row r="146" spans="1:18" outlineLevel="1" x14ac:dyDescent="0.2">
      <c r="A146" s="3" t="s">
        <v>3959</v>
      </c>
      <c r="B146" s="14">
        <f>+'KY_Res by Plant Acct P16(REG)'!B144</f>
        <v>-15170895.98</v>
      </c>
      <c r="C146" s="13"/>
      <c r="D146" s="14">
        <f>+'KY_Res by Plant Acct P16(REG)'!D144</f>
        <v>-1643946.74</v>
      </c>
      <c r="E146" s="13"/>
      <c r="F146" s="14">
        <f>+'KY_Res by Plant Acct P16(REG)'!F144</f>
        <v>6260.62</v>
      </c>
      <c r="G146" s="13"/>
      <c r="H146" s="14">
        <f>+'KY_Res by Plant Acct P16(REG)'!H144</f>
        <v>0</v>
      </c>
      <c r="I146" s="13"/>
      <c r="J146" s="14">
        <f>+'KY_Res by Plant Acct P16(REG)'!J144</f>
        <v>0</v>
      </c>
      <c r="K146" s="13"/>
      <c r="L146" s="14">
        <f>+'KY_Res by Plant Acct P16(REG)'!L144</f>
        <v>0</v>
      </c>
      <c r="M146" s="13"/>
      <c r="N146" s="14">
        <f>+'KY_Res by Plant Acct P16(REG)'!N144</f>
        <v>0</v>
      </c>
      <c r="O146" s="13"/>
      <c r="P146" s="14">
        <f>+'KY_Res by Plant Acct P16(REG)'!P144</f>
        <v>0</v>
      </c>
      <c r="Q146" s="13"/>
      <c r="R146" s="14">
        <f t="shared" si="6"/>
        <v>-16808582.099999998</v>
      </c>
    </row>
    <row r="147" spans="1:18" outlineLevel="1" x14ac:dyDescent="0.2">
      <c r="A147" s="3" t="s">
        <v>3960</v>
      </c>
      <c r="B147" s="14">
        <f>+'KY_Res by Plant Acct P16(REG)'!B145</f>
        <v>-16248205.390000004</v>
      </c>
      <c r="C147" s="13"/>
      <c r="D147" s="14">
        <f>+'KY_Res by Plant Acct P16(REG)'!D145</f>
        <v>-1468889.98</v>
      </c>
      <c r="E147" s="13"/>
      <c r="F147" s="14">
        <f>+'KY_Res by Plant Acct P16(REG)'!F145</f>
        <v>4847.7299999999996</v>
      </c>
      <c r="G147" s="13"/>
      <c r="H147" s="14">
        <f>+'KY_Res by Plant Acct P16(REG)'!H145</f>
        <v>0</v>
      </c>
      <c r="I147" s="13"/>
      <c r="J147" s="14">
        <f>+'KY_Res by Plant Acct P16(REG)'!J145</f>
        <v>0</v>
      </c>
      <c r="K147" s="13"/>
      <c r="L147" s="14">
        <f>+'KY_Res by Plant Acct P16(REG)'!L145</f>
        <v>0</v>
      </c>
      <c r="M147" s="13"/>
      <c r="N147" s="14">
        <f>+'KY_Res by Plant Acct P16(REG)'!N145</f>
        <v>0</v>
      </c>
      <c r="O147" s="13"/>
      <c r="P147" s="14">
        <f>+'KY_Res by Plant Acct P16(REG)'!P145</f>
        <v>0</v>
      </c>
      <c r="Q147" s="13"/>
      <c r="R147" s="14">
        <f t="shared" si="6"/>
        <v>-17712247.640000004</v>
      </c>
    </row>
    <row r="148" spans="1:18" outlineLevel="1" x14ac:dyDescent="0.2">
      <c r="A148" s="3" t="s">
        <v>3961</v>
      </c>
      <c r="B148" s="14">
        <f>+'KY_Res by Plant Acct P16(REG)'!B146</f>
        <v>-13085098.43</v>
      </c>
      <c r="C148" s="13"/>
      <c r="D148" s="14">
        <f>+'KY_Res by Plant Acct P16(REG)'!D146</f>
        <v>-1154428.9099999999</v>
      </c>
      <c r="E148" s="13"/>
      <c r="F148" s="14">
        <f>+'KY_Res by Plant Acct P16(REG)'!F146</f>
        <v>334140.19</v>
      </c>
      <c r="G148" s="13"/>
      <c r="H148" s="14">
        <f>+'KY_Res by Plant Acct P16(REG)'!H146</f>
        <v>0</v>
      </c>
      <c r="I148" s="13"/>
      <c r="J148" s="14">
        <f>+'KY_Res by Plant Acct P16(REG)'!J146</f>
        <v>0</v>
      </c>
      <c r="K148" s="13"/>
      <c r="L148" s="14">
        <f>+'KY_Res by Plant Acct P16(REG)'!L146</f>
        <v>2181.64</v>
      </c>
      <c r="M148" s="13"/>
      <c r="N148" s="14">
        <f>+'KY_Res by Plant Acct P16(REG)'!N146</f>
        <v>0</v>
      </c>
      <c r="O148" s="13"/>
      <c r="P148" s="14">
        <f>+'KY_Res by Plant Acct P16(REG)'!P146</f>
        <v>0</v>
      </c>
      <c r="Q148" s="13"/>
      <c r="R148" s="14">
        <f t="shared" si="6"/>
        <v>-13903205.51</v>
      </c>
    </row>
    <row r="149" spans="1:18" outlineLevel="1" x14ac:dyDescent="0.2">
      <c r="A149" s="3" t="s">
        <v>3962</v>
      </c>
      <c r="B149" s="14">
        <f>+'KY_Res by Plant Acct P16(REG)'!B147</f>
        <v>-6502643.0700000003</v>
      </c>
      <c r="C149" s="13"/>
      <c r="D149" s="14">
        <f>+'KY_Res by Plant Acct P16(REG)'!D147</f>
        <v>-966208.5</v>
      </c>
      <c r="E149" s="13"/>
      <c r="F149" s="14">
        <f>+'KY_Res by Plant Acct P16(REG)'!F147</f>
        <v>0</v>
      </c>
      <c r="G149" s="13"/>
      <c r="H149" s="14">
        <f>+'KY_Res by Plant Acct P16(REG)'!H147</f>
        <v>0</v>
      </c>
      <c r="I149" s="13"/>
      <c r="J149" s="14">
        <f>+'KY_Res by Plant Acct P16(REG)'!J147</f>
        <v>0</v>
      </c>
      <c r="K149" s="13"/>
      <c r="L149" s="14">
        <f>+'KY_Res by Plant Acct P16(REG)'!L147</f>
        <v>0</v>
      </c>
      <c r="M149" s="13"/>
      <c r="N149" s="14">
        <f>+'KY_Res by Plant Acct P16(REG)'!N147</f>
        <v>0</v>
      </c>
      <c r="O149" s="13"/>
      <c r="P149" s="14">
        <f>+'KY_Res by Plant Acct P16(REG)'!P147</f>
        <v>0</v>
      </c>
      <c r="Q149" s="13"/>
      <c r="R149" s="14">
        <f t="shared" si="6"/>
        <v>-7468851.5700000003</v>
      </c>
    </row>
    <row r="150" spans="1:18" outlineLevel="1" x14ac:dyDescent="0.2">
      <c r="A150" s="3" t="s">
        <v>3963</v>
      </c>
      <c r="B150" s="14">
        <f>+'KY_Res by Plant Acct P16(REG)'!B148</f>
        <v>-9263866.2999999989</v>
      </c>
      <c r="C150" s="13"/>
      <c r="D150" s="14">
        <f>+'KY_Res by Plant Acct P16(REG)'!D148</f>
        <v>-1048364.37</v>
      </c>
      <c r="E150" s="13"/>
      <c r="F150" s="14">
        <f>+'KY_Res by Plant Acct P16(REG)'!F148</f>
        <v>25268.42</v>
      </c>
      <c r="G150" s="13"/>
      <c r="H150" s="14">
        <f>+'KY_Res by Plant Acct P16(REG)'!H148</f>
        <v>0</v>
      </c>
      <c r="I150" s="13"/>
      <c r="J150" s="14">
        <f>+'KY_Res by Plant Acct P16(REG)'!J148</f>
        <v>0</v>
      </c>
      <c r="K150" s="13"/>
      <c r="L150" s="14">
        <f>+'KY_Res by Plant Acct P16(REG)'!L148</f>
        <v>0</v>
      </c>
      <c r="M150" s="13"/>
      <c r="N150" s="14">
        <f>+'KY_Res by Plant Acct P16(REG)'!N148</f>
        <v>0</v>
      </c>
      <c r="O150" s="13"/>
      <c r="P150" s="14">
        <f>+'KY_Res by Plant Acct P16(REG)'!P148</f>
        <v>0</v>
      </c>
      <c r="Q150" s="13"/>
      <c r="R150" s="14">
        <f t="shared" si="6"/>
        <v>-10286962.249999998</v>
      </c>
    </row>
    <row r="151" spans="1:18" outlineLevel="1" x14ac:dyDescent="0.2">
      <c r="A151" s="3" t="s">
        <v>3964</v>
      </c>
      <c r="B151" s="14">
        <f>+'KY_Res by Plant Acct P16(REG)'!B149</f>
        <v>-14486704.189999999</v>
      </c>
      <c r="C151" s="13"/>
      <c r="D151" s="14">
        <f>+'KY_Res by Plant Acct P16(REG)'!D149</f>
        <v>-1471398.65</v>
      </c>
      <c r="E151" s="13"/>
      <c r="F151" s="14">
        <f>+'KY_Res by Plant Acct P16(REG)'!F149</f>
        <v>807166.86</v>
      </c>
      <c r="G151" s="13"/>
      <c r="H151" s="14">
        <f>+'KY_Res by Plant Acct P16(REG)'!H149</f>
        <v>0</v>
      </c>
      <c r="I151" s="13"/>
      <c r="J151" s="14">
        <f>+'KY_Res by Plant Acct P16(REG)'!J149</f>
        <v>0</v>
      </c>
      <c r="K151" s="13"/>
      <c r="L151" s="14">
        <f>+'KY_Res by Plant Acct P16(REG)'!L149</f>
        <v>0</v>
      </c>
      <c r="M151" s="13"/>
      <c r="N151" s="14">
        <f>+'KY_Res by Plant Acct P16(REG)'!N149</f>
        <v>0</v>
      </c>
      <c r="O151" s="13"/>
      <c r="P151" s="14">
        <f>+'KY_Res by Plant Acct P16(REG)'!P149</f>
        <v>0</v>
      </c>
      <c r="Q151" s="13"/>
      <c r="R151" s="14">
        <f t="shared" si="6"/>
        <v>-15150935.98</v>
      </c>
    </row>
    <row r="152" spans="1:18" outlineLevel="1" x14ac:dyDescent="0.2">
      <c r="A152" s="3" t="s">
        <v>3965</v>
      </c>
      <c r="B152" s="14">
        <f>+'KY_Res by Plant Acct P16(REG)'!B150</f>
        <v>-14956571.410000004</v>
      </c>
      <c r="C152" s="13"/>
      <c r="D152" s="14">
        <f>+'KY_Res by Plant Acct P16(REG)'!D150</f>
        <v>-1491138.8</v>
      </c>
      <c r="E152" s="13"/>
      <c r="F152" s="14">
        <f>+'KY_Res by Plant Acct P16(REG)'!F150</f>
        <v>1156116.99</v>
      </c>
      <c r="G152" s="13"/>
      <c r="H152" s="14">
        <f>+'KY_Res by Plant Acct P16(REG)'!H150</f>
        <v>-147932.57</v>
      </c>
      <c r="I152" s="13"/>
      <c r="J152" s="14">
        <f>+'KY_Res by Plant Acct P16(REG)'!J150</f>
        <v>0</v>
      </c>
      <c r="K152" s="13"/>
      <c r="L152" s="14">
        <f>+'KY_Res by Plant Acct P16(REG)'!L150</f>
        <v>225954.14</v>
      </c>
      <c r="M152" s="13"/>
      <c r="N152" s="14">
        <f>+'KY_Res by Plant Acct P16(REG)'!N150</f>
        <v>0</v>
      </c>
      <c r="O152" s="13"/>
      <c r="P152" s="14">
        <f>+'KY_Res by Plant Acct P16(REG)'!P150</f>
        <v>0</v>
      </c>
      <c r="Q152" s="13"/>
      <c r="R152" s="14">
        <f t="shared" si="6"/>
        <v>-15213571.650000004</v>
      </c>
    </row>
    <row r="153" spans="1:18" outlineLevel="1" x14ac:dyDescent="0.2">
      <c r="A153" s="3" t="s">
        <v>3966</v>
      </c>
      <c r="B153" s="14">
        <f>+'KY_Res by Plant Acct P16(REG)'!B151</f>
        <v>-9670326.8199999984</v>
      </c>
      <c r="C153" s="13"/>
      <c r="D153" s="14">
        <f>+'KY_Res by Plant Acct P16(REG)'!D151</f>
        <v>-1103290.8</v>
      </c>
      <c r="E153" s="13"/>
      <c r="F153" s="14">
        <f>+'KY_Res by Plant Acct P16(REG)'!F151</f>
        <v>0</v>
      </c>
      <c r="G153" s="13"/>
      <c r="H153" s="14">
        <f>+'KY_Res by Plant Acct P16(REG)'!H151</f>
        <v>147932.57</v>
      </c>
      <c r="I153" s="13"/>
      <c r="J153" s="14">
        <f>+'KY_Res by Plant Acct P16(REG)'!J151</f>
        <v>0</v>
      </c>
      <c r="K153" s="13"/>
      <c r="L153" s="14">
        <f>+'KY_Res by Plant Acct P16(REG)'!L151</f>
        <v>0</v>
      </c>
      <c r="M153" s="13"/>
      <c r="N153" s="14">
        <f>+'KY_Res by Plant Acct P16(REG)'!N151</f>
        <v>0</v>
      </c>
      <c r="O153" s="13"/>
      <c r="P153" s="14">
        <f>+'KY_Res by Plant Acct P16(REG)'!P151</f>
        <v>0</v>
      </c>
      <c r="Q153" s="13"/>
      <c r="R153" s="14">
        <f t="shared" si="6"/>
        <v>-10625685.049999999</v>
      </c>
    </row>
    <row r="154" spans="1:18" outlineLevel="1" x14ac:dyDescent="0.2">
      <c r="A154" s="3" t="s">
        <v>3967</v>
      </c>
      <c r="B154" s="14">
        <f>+'KY_Res by Plant Acct P16(REG)'!B152</f>
        <v>-9077517.6799999997</v>
      </c>
      <c r="C154" s="13"/>
      <c r="D154" s="14">
        <f>+'KY_Res by Plant Acct P16(REG)'!D152</f>
        <v>-1064202.8400000001</v>
      </c>
      <c r="E154" s="13"/>
      <c r="F154" s="14">
        <f>+'KY_Res by Plant Acct P16(REG)'!F152</f>
        <v>0</v>
      </c>
      <c r="G154" s="13"/>
      <c r="H154" s="14">
        <f>+'KY_Res by Plant Acct P16(REG)'!H152</f>
        <v>0</v>
      </c>
      <c r="I154" s="13"/>
      <c r="J154" s="14">
        <f>+'KY_Res by Plant Acct P16(REG)'!J152</f>
        <v>0</v>
      </c>
      <c r="K154" s="13"/>
      <c r="L154" s="14">
        <f>+'KY_Res by Plant Acct P16(REG)'!L152</f>
        <v>0</v>
      </c>
      <c r="M154" s="13"/>
      <c r="N154" s="14">
        <f>+'KY_Res by Plant Acct P16(REG)'!N152</f>
        <v>0</v>
      </c>
      <c r="O154" s="13"/>
      <c r="P154" s="14">
        <f>+'KY_Res by Plant Acct P16(REG)'!P152</f>
        <v>0</v>
      </c>
      <c r="Q154" s="13"/>
      <c r="R154" s="14">
        <f t="shared" si="6"/>
        <v>-10141720.52</v>
      </c>
    </row>
    <row r="155" spans="1:18" outlineLevel="1" x14ac:dyDescent="0.2">
      <c r="A155" s="3" t="s">
        <v>3968</v>
      </c>
      <c r="B155" s="14">
        <f>+'KY_Res by Plant Acct P16(REG)'!B153</f>
        <v>-9392054.7100000009</v>
      </c>
      <c r="C155" s="13"/>
      <c r="D155" s="14">
        <f>+'KY_Res by Plant Acct P16(REG)'!D153</f>
        <v>-1047839.94</v>
      </c>
      <c r="E155" s="13"/>
      <c r="F155" s="14">
        <f>+'KY_Res by Plant Acct P16(REG)'!F153</f>
        <v>0</v>
      </c>
      <c r="G155" s="13"/>
      <c r="H155" s="14">
        <f>+'KY_Res by Plant Acct P16(REG)'!H153</f>
        <v>0</v>
      </c>
      <c r="I155" s="13"/>
      <c r="J155" s="14">
        <f>+'KY_Res by Plant Acct P16(REG)'!J153</f>
        <v>0</v>
      </c>
      <c r="K155" s="13"/>
      <c r="L155" s="14">
        <f>+'KY_Res by Plant Acct P16(REG)'!L153</f>
        <v>0</v>
      </c>
      <c r="M155" s="13"/>
      <c r="N155" s="14">
        <f>+'KY_Res by Plant Acct P16(REG)'!N153</f>
        <v>0</v>
      </c>
      <c r="O155" s="13"/>
      <c r="P155" s="14">
        <f>+'KY_Res by Plant Acct P16(REG)'!P153</f>
        <v>0</v>
      </c>
      <c r="Q155" s="13"/>
      <c r="R155" s="14">
        <f t="shared" si="6"/>
        <v>-10439894.65</v>
      </c>
    </row>
    <row r="156" spans="1:18" x14ac:dyDescent="0.2">
      <c r="A156" s="3" t="s">
        <v>3969</v>
      </c>
      <c r="B156" s="14">
        <f>SUM(B141:B155)</f>
        <v>-180401058.19</v>
      </c>
      <c r="C156" s="13"/>
      <c r="D156" s="14">
        <f>SUM(D141:D155)</f>
        <v>-25718874.040000003</v>
      </c>
      <c r="E156" s="13"/>
      <c r="F156" s="14">
        <f>SUM(F141:F155)</f>
        <v>2558079.84</v>
      </c>
      <c r="G156" s="13"/>
      <c r="H156" s="14">
        <f>SUM(H141:H155)</f>
        <v>0</v>
      </c>
      <c r="I156" s="13"/>
      <c r="J156" s="14">
        <f>SUM(J141:J155)</f>
        <v>0</v>
      </c>
      <c r="K156" s="13"/>
      <c r="L156" s="14">
        <f>SUM(L141:L155)</f>
        <v>256971.97</v>
      </c>
      <c r="M156" s="13"/>
      <c r="N156" s="14">
        <f>SUM(N141:N155)</f>
        <v>0</v>
      </c>
      <c r="O156" s="13"/>
      <c r="P156" s="14">
        <f>SUM(P141:P155)</f>
        <v>0</v>
      </c>
      <c r="Q156" s="13"/>
      <c r="R156" s="14">
        <f>SUM(R141:R155)</f>
        <v>-203304880.42000002</v>
      </c>
    </row>
    <row r="157" spans="1:18" outlineLevel="1" x14ac:dyDescent="0.2">
      <c r="A157" s="3" t="s">
        <v>3970</v>
      </c>
      <c r="B157" s="14">
        <f>+'KY_Res by Plant Acct P16(REG)'!B155</f>
        <v>-4638824.71</v>
      </c>
      <c r="C157" s="13"/>
      <c r="D157" s="14">
        <f>+'KY_Res by Plant Acct P16(REG)'!D155</f>
        <v>-1737312.6</v>
      </c>
      <c r="E157" s="13"/>
      <c r="F157" s="14">
        <f>+'KY_Res by Plant Acct P16(REG)'!F155</f>
        <v>0</v>
      </c>
      <c r="G157" s="13"/>
      <c r="H157" s="14">
        <f>+'KY_Res by Plant Acct P16(REG)'!H155</f>
        <v>0</v>
      </c>
      <c r="I157" s="13"/>
      <c r="J157" s="14">
        <f>+'KY_Res by Plant Acct P16(REG)'!J155</f>
        <v>0</v>
      </c>
      <c r="K157" s="13"/>
      <c r="L157" s="14">
        <f>+'KY_Res by Plant Acct P16(REG)'!L155</f>
        <v>0</v>
      </c>
      <c r="M157" s="13"/>
      <c r="N157" s="14">
        <f>+'KY_Res by Plant Acct P16(REG)'!N155</f>
        <v>0</v>
      </c>
      <c r="O157" s="13"/>
      <c r="P157" s="14">
        <f>+'KY_Res by Plant Acct P16(REG)'!P155</f>
        <v>0</v>
      </c>
      <c r="Q157" s="13"/>
      <c r="R157" s="14">
        <f>SUM(B157:P157)</f>
        <v>-6376137.3100000005</v>
      </c>
    </row>
    <row r="158" spans="1:18" outlineLevel="1" x14ac:dyDescent="0.2">
      <c r="A158" s="3" t="s">
        <v>3971</v>
      </c>
      <c r="B158" s="14">
        <f>+'KY_Res by Plant Acct P16(REG)'!B156</f>
        <v>-3255853.2300000004</v>
      </c>
      <c r="C158" s="13"/>
      <c r="D158" s="14">
        <f>+'KY_Res by Plant Acct P16(REG)'!D156</f>
        <v>-138702.42000000001</v>
      </c>
      <c r="E158" s="13"/>
      <c r="F158" s="14">
        <f>+'KY_Res by Plant Acct P16(REG)'!F156</f>
        <v>55656.82</v>
      </c>
      <c r="G158" s="13"/>
      <c r="H158" s="14">
        <f>+'KY_Res by Plant Acct P16(REG)'!H156</f>
        <v>0</v>
      </c>
      <c r="I158" s="13"/>
      <c r="J158" s="14">
        <f>+'KY_Res by Plant Acct P16(REG)'!J156</f>
        <v>0</v>
      </c>
      <c r="K158" s="13"/>
      <c r="L158" s="14">
        <f>+'KY_Res by Plant Acct P16(REG)'!L156</f>
        <v>4867.79</v>
      </c>
      <c r="M158" s="13"/>
      <c r="N158" s="14">
        <f>+'KY_Res by Plant Acct P16(REG)'!N156</f>
        <v>0</v>
      </c>
      <c r="O158" s="13"/>
      <c r="P158" s="14">
        <f>+'KY_Res by Plant Acct P16(REG)'!P156</f>
        <v>0</v>
      </c>
      <c r="Q158" s="13"/>
      <c r="R158" s="14">
        <f t="shared" ref="R158:R173" si="7">SUM(B158:P158)</f>
        <v>-3334031.0400000005</v>
      </c>
    </row>
    <row r="159" spans="1:18" outlineLevel="1" x14ac:dyDescent="0.2">
      <c r="A159" s="3" t="s">
        <v>3972</v>
      </c>
      <c r="B159" s="14">
        <f>+'KY_Res by Plant Acct P16(REG)'!B157</f>
        <v>-3045753.92</v>
      </c>
      <c r="C159" s="13"/>
      <c r="D159" s="14">
        <f>+'KY_Res by Plant Acct P16(REG)'!D157</f>
        <v>-261192.64</v>
      </c>
      <c r="E159" s="13"/>
      <c r="F159" s="14">
        <f>+'KY_Res by Plant Acct P16(REG)'!F157</f>
        <v>192604.16</v>
      </c>
      <c r="G159" s="13"/>
      <c r="H159" s="14">
        <f>+'KY_Res by Plant Acct P16(REG)'!H157</f>
        <v>0</v>
      </c>
      <c r="I159" s="13"/>
      <c r="J159" s="14">
        <f>+'KY_Res by Plant Acct P16(REG)'!J157</f>
        <v>0</v>
      </c>
      <c r="K159" s="13"/>
      <c r="L159" s="14">
        <f>+'KY_Res by Plant Acct P16(REG)'!L157</f>
        <v>4867.79</v>
      </c>
      <c r="M159" s="13"/>
      <c r="N159" s="14">
        <f>+'KY_Res by Plant Acct P16(REG)'!N157</f>
        <v>0</v>
      </c>
      <c r="O159" s="13"/>
      <c r="P159" s="14">
        <f>+'KY_Res by Plant Acct P16(REG)'!P157</f>
        <v>0</v>
      </c>
      <c r="Q159" s="13"/>
      <c r="R159" s="14">
        <f t="shared" si="7"/>
        <v>-3109474.61</v>
      </c>
    </row>
    <row r="160" spans="1:18" outlineLevel="1" x14ac:dyDescent="0.2">
      <c r="A160" s="3" t="s">
        <v>3973</v>
      </c>
      <c r="B160" s="14">
        <f>+'KY_Res by Plant Acct P16(REG)'!B158</f>
        <v>-1430018.2999999998</v>
      </c>
      <c r="C160" s="13"/>
      <c r="D160" s="14">
        <f>+'KY_Res by Plant Acct P16(REG)'!D158</f>
        <v>-108652.74</v>
      </c>
      <c r="E160" s="13"/>
      <c r="F160" s="14">
        <f>+'KY_Res by Plant Acct P16(REG)'!F158</f>
        <v>0</v>
      </c>
      <c r="G160" s="13"/>
      <c r="H160" s="14">
        <f>+'KY_Res by Plant Acct P16(REG)'!H158</f>
        <v>0</v>
      </c>
      <c r="I160" s="13"/>
      <c r="J160" s="14">
        <f>+'KY_Res by Plant Acct P16(REG)'!J158</f>
        <v>0</v>
      </c>
      <c r="K160" s="13"/>
      <c r="L160" s="14">
        <f>+'KY_Res by Plant Acct P16(REG)'!L158</f>
        <v>0</v>
      </c>
      <c r="M160" s="13"/>
      <c r="N160" s="14">
        <f>+'KY_Res by Plant Acct P16(REG)'!N158</f>
        <v>0</v>
      </c>
      <c r="O160" s="13"/>
      <c r="P160" s="14">
        <f>+'KY_Res by Plant Acct P16(REG)'!P158</f>
        <v>0</v>
      </c>
      <c r="Q160" s="13"/>
      <c r="R160" s="14">
        <f t="shared" si="7"/>
        <v>-1538671.0399999998</v>
      </c>
    </row>
    <row r="161" spans="1:18" outlineLevel="1" x14ac:dyDescent="0.2">
      <c r="A161" s="3" t="s">
        <v>3974</v>
      </c>
      <c r="B161" s="14">
        <f>+'KY_Res by Plant Acct P16(REG)'!B159</f>
        <v>-2126883.36</v>
      </c>
      <c r="C161" s="13"/>
      <c r="D161" s="14">
        <f>+'KY_Res by Plant Acct P16(REG)'!D159</f>
        <v>-141413.74</v>
      </c>
      <c r="E161" s="13"/>
      <c r="F161" s="14">
        <f>+'KY_Res by Plant Acct P16(REG)'!F159</f>
        <v>0</v>
      </c>
      <c r="G161" s="13"/>
      <c r="H161" s="14">
        <f>+'KY_Res by Plant Acct P16(REG)'!H159</f>
        <v>0</v>
      </c>
      <c r="I161" s="13"/>
      <c r="J161" s="14">
        <f>+'KY_Res by Plant Acct P16(REG)'!J159</f>
        <v>0</v>
      </c>
      <c r="K161" s="13"/>
      <c r="L161" s="14">
        <f>+'KY_Res by Plant Acct P16(REG)'!L159</f>
        <v>0</v>
      </c>
      <c r="M161" s="13"/>
      <c r="N161" s="14">
        <f>+'KY_Res by Plant Acct P16(REG)'!N159</f>
        <v>0</v>
      </c>
      <c r="O161" s="13"/>
      <c r="P161" s="14">
        <f>+'KY_Res by Plant Acct P16(REG)'!P159</f>
        <v>0</v>
      </c>
      <c r="Q161" s="13"/>
      <c r="R161" s="14">
        <f t="shared" si="7"/>
        <v>-2268297.0999999996</v>
      </c>
    </row>
    <row r="162" spans="1:18" outlineLevel="1" x14ac:dyDescent="0.2">
      <c r="A162" s="3" t="s">
        <v>3975</v>
      </c>
      <c r="B162" s="14">
        <f>+'KY_Res by Plant Acct P16(REG)'!B160</f>
        <v>-2106468.71</v>
      </c>
      <c r="C162" s="13"/>
      <c r="D162" s="14">
        <f>+'KY_Res by Plant Acct P16(REG)'!D160</f>
        <v>-143825.73000000001</v>
      </c>
      <c r="E162" s="13"/>
      <c r="F162" s="14">
        <f>+'KY_Res by Plant Acct P16(REG)'!F160</f>
        <v>0</v>
      </c>
      <c r="G162" s="13"/>
      <c r="H162" s="14">
        <f>+'KY_Res by Plant Acct P16(REG)'!H160</f>
        <v>0</v>
      </c>
      <c r="I162" s="13"/>
      <c r="J162" s="14">
        <f>+'KY_Res by Plant Acct P16(REG)'!J160</f>
        <v>0</v>
      </c>
      <c r="K162" s="13"/>
      <c r="L162" s="14">
        <f>+'KY_Res by Plant Acct P16(REG)'!L160</f>
        <v>0</v>
      </c>
      <c r="M162" s="13"/>
      <c r="N162" s="14">
        <f>+'KY_Res by Plant Acct P16(REG)'!N160</f>
        <v>0</v>
      </c>
      <c r="O162" s="13"/>
      <c r="P162" s="14">
        <f>+'KY_Res by Plant Acct P16(REG)'!P160</f>
        <v>0</v>
      </c>
      <c r="Q162" s="13"/>
      <c r="R162" s="14">
        <f t="shared" si="7"/>
        <v>-2250294.44</v>
      </c>
    </row>
    <row r="163" spans="1:18" outlineLevel="1" x14ac:dyDescent="0.2">
      <c r="A163" s="3" t="s">
        <v>3976</v>
      </c>
      <c r="B163" s="14">
        <f>+'KY_Res by Plant Acct P16(REG)'!B161</f>
        <v>-3605211.2299999995</v>
      </c>
      <c r="C163" s="13"/>
      <c r="D163" s="14">
        <f>+'KY_Res by Plant Acct P16(REG)'!D161</f>
        <v>-187510.13</v>
      </c>
      <c r="E163" s="13"/>
      <c r="F163" s="14">
        <f>+'KY_Res by Plant Acct P16(REG)'!F161</f>
        <v>55656.82</v>
      </c>
      <c r="G163" s="13"/>
      <c r="H163" s="14">
        <f>+'KY_Res by Plant Acct P16(REG)'!H161</f>
        <v>0</v>
      </c>
      <c r="I163" s="13"/>
      <c r="J163" s="14">
        <f>+'KY_Res by Plant Acct P16(REG)'!J161</f>
        <v>0</v>
      </c>
      <c r="K163" s="13"/>
      <c r="L163" s="14">
        <f>+'KY_Res by Plant Acct P16(REG)'!L161</f>
        <v>4867.79</v>
      </c>
      <c r="M163" s="13"/>
      <c r="N163" s="14">
        <f>+'KY_Res by Plant Acct P16(REG)'!N161</f>
        <v>0</v>
      </c>
      <c r="O163" s="13"/>
      <c r="P163" s="14">
        <f>+'KY_Res by Plant Acct P16(REG)'!P161</f>
        <v>0</v>
      </c>
      <c r="Q163" s="13"/>
      <c r="R163" s="14">
        <f t="shared" si="7"/>
        <v>-3732196.7499999995</v>
      </c>
    </row>
    <row r="164" spans="1:18" outlineLevel="1" x14ac:dyDescent="0.2">
      <c r="A164" s="3" t="s">
        <v>3977</v>
      </c>
      <c r="B164" s="14">
        <f>+'KY_Res by Plant Acct P16(REG)'!B162</f>
        <v>-3730373.6500000004</v>
      </c>
      <c r="C164" s="13"/>
      <c r="D164" s="14">
        <f>+'KY_Res by Plant Acct P16(REG)'!D162</f>
        <v>-143247.20000000001</v>
      </c>
      <c r="E164" s="13"/>
      <c r="F164" s="14">
        <f>+'KY_Res by Plant Acct P16(REG)'!F162</f>
        <v>55148.36</v>
      </c>
      <c r="G164" s="13"/>
      <c r="H164" s="14">
        <f>+'KY_Res by Plant Acct P16(REG)'!H162</f>
        <v>0</v>
      </c>
      <c r="I164" s="13"/>
      <c r="J164" s="14">
        <f>+'KY_Res by Plant Acct P16(REG)'!J162</f>
        <v>0</v>
      </c>
      <c r="K164" s="13"/>
      <c r="L164" s="14">
        <f>+'KY_Res by Plant Acct P16(REG)'!L162</f>
        <v>4867.79</v>
      </c>
      <c r="M164" s="13"/>
      <c r="N164" s="14">
        <f>+'KY_Res by Plant Acct P16(REG)'!N162</f>
        <v>0</v>
      </c>
      <c r="O164" s="13"/>
      <c r="P164" s="14">
        <f>+'KY_Res by Plant Acct P16(REG)'!P162</f>
        <v>0</v>
      </c>
      <c r="Q164" s="13"/>
      <c r="R164" s="14">
        <f t="shared" si="7"/>
        <v>-3813604.7000000007</v>
      </c>
    </row>
    <row r="165" spans="1:18" outlineLevel="1" x14ac:dyDescent="0.2">
      <c r="A165" s="3" t="s">
        <v>3978</v>
      </c>
      <c r="B165" s="14">
        <f>+'KY_Res by Plant Acct P16(REG)'!B163</f>
        <v>-327054.75</v>
      </c>
      <c r="C165" s="13"/>
      <c r="D165" s="14">
        <f>+'KY_Res by Plant Acct P16(REG)'!D163</f>
        <v>-620607.71</v>
      </c>
      <c r="E165" s="13"/>
      <c r="F165" s="14">
        <f>+'KY_Res by Plant Acct P16(REG)'!F163</f>
        <v>0</v>
      </c>
      <c r="G165" s="13"/>
      <c r="H165" s="14">
        <f>+'KY_Res by Plant Acct P16(REG)'!H163</f>
        <v>0</v>
      </c>
      <c r="I165" s="13"/>
      <c r="J165" s="14">
        <f>+'KY_Res by Plant Acct P16(REG)'!J163</f>
        <v>0</v>
      </c>
      <c r="K165" s="13"/>
      <c r="L165" s="14">
        <f>+'KY_Res by Plant Acct P16(REG)'!L163</f>
        <v>0</v>
      </c>
      <c r="M165" s="13"/>
      <c r="N165" s="14">
        <f>+'KY_Res by Plant Acct P16(REG)'!N163</f>
        <v>0</v>
      </c>
      <c r="O165" s="13"/>
      <c r="P165" s="14">
        <f>+'KY_Res by Plant Acct P16(REG)'!P163</f>
        <v>0</v>
      </c>
      <c r="Q165" s="13"/>
      <c r="R165" s="14">
        <f t="shared" si="7"/>
        <v>-947662.46</v>
      </c>
    </row>
    <row r="166" spans="1:18" outlineLevel="1" x14ac:dyDescent="0.2">
      <c r="A166" s="3" t="s">
        <v>3979</v>
      </c>
      <c r="B166" s="14">
        <f>+'KY_Res by Plant Acct P16(REG)'!B164</f>
        <v>-2392759.4499999997</v>
      </c>
      <c r="C166" s="13"/>
      <c r="D166" s="14">
        <f>+'KY_Res by Plant Acct P16(REG)'!D164</f>
        <v>-97629.78</v>
      </c>
      <c r="E166" s="13"/>
      <c r="F166" s="14">
        <f>+'KY_Res by Plant Acct P16(REG)'!F164</f>
        <v>0</v>
      </c>
      <c r="G166" s="13"/>
      <c r="H166" s="14">
        <f>+'KY_Res by Plant Acct P16(REG)'!H164</f>
        <v>0</v>
      </c>
      <c r="I166" s="13"/>
      <c r="J166" s="14">
        <f>+'KY_Res by Plant Acct P16(REG)'!J164</f>
        <v>0</v>
      </c>
      <c r="K166" s="13"/>
      <c r="L166" s="14">
        <f>+'KY_Res by Plant Acct P16(REG)'!L164</f>
        <v>0</v>
      </c>
      <c r="M166" s="13"/>
      <c r="N166" s="14">
        <f>+'KY_Res by Plant Acct P16(REG)'!N164</f>
        <v>0</v>
      </c>
      <c r="O166" s="13"/>
      <c r="P166" s="14">
        <f>+'KY_Res by Plant Acct P16(REG)'!P164</f>
        <v>0</v>
      </c>
      <c r="Q166" s="13"/>
      <c r="R166" s="14">
        <f t="shared" si="7"/>
        <v>-2490389.2299999995</v>
      </c>
    </row>
    <row r="167" spans="1:18" outlineLevel="1" x14ac:dyDescent="0.2">
      <c r="A167" s="3" t="s">
        <v>3980</v>
      </c>
      <c r="B167" s="14">
        <f>+'KY_Res by Plant Acct P16(REG)'!B165</f>
        <v>-2458859.7199999997</v>
      </c>
      <c r="C167" s="13"/>
      <c r="D167" s="14">
        <f>+'KY_Res by Plant Acct P16(REG)'!D165</f>
        <v>-209854.24</v>
      </c>
      <c r="E167" s="13"/>
      <c r="F167" s="14">
        <f>+'KY_Res by Plant Acct P16(REG)'!F165</f>
        <v>0</v>
      </c>
      <c r="G167" s="13"/>
      <c r="H167" s="14">
        <f>+'KY_Res by Plant Acct P16(REG)'!H165</f>
        <v>0</v>
      </c>
      <c r="I167" s="13"/>
      <c r="J167" s="14">
        <f>+'KY_Res by Plant Acct P16(REG)'!J165</f>
        <v>0</v>
      </c>
      <c r="K167" s="13"/>
      <c r="L167" s="14">
        <f>+'KY_Res by Plant Acct P16(REG)'!L165</f>
        <v>0</v>
      </c>
      <c r="M167" s="13"/>
      <c r="N167" s="14">
        <f>+'KY_Res by Plant Acct P16(REG)'!N165</f>
        <v>0</v>
      </c>
      <c r="O167" s="13"/>
      <c r="P167" s="14">
        <f>+'KY_Res by Plant Acct P16(REG)'!P165</f>
        <v>0</v>
      </c>
      <c r="Q167" s="13"/>
      <c r="R167" s="14">
        <f t="shared" si="7"/>
        <v>-2668713.96</v>
      </c>
    </row>
    <row r="168" spans="1:18" outlineLevel="1" x14ac:dyDescent="0.2">
      <c r="A168" s="3" t="s">
        <v>3981</v>
      </c>
      <c r="B168" s="14">
        <f>+'KY_Res by Plant Acct P16(REG)'!B166</f>
        <v>-1253036.6599999997</v>
      </c>
      <c r="C168" s="13"/>
      <c r="D168" s="14">
        <f>+'KY_Res by Plant Acct P16(REG)'!D166</f>
        <v>-108525.41</v>
      </c>
      <c r="E168" s="13"/>
      <c r="F168" s="14">
        <f>+'KY_Res by Plant Acct P16(REG)'!F166</f>
        <v>5987.03</v>
      </c>
      <c r="G168" s="13"/>
      <c r="H168" s="14">
        <f>+'KY_Res by Plant Acct P16(REG)'!H166</f>
        <v>0</v>
      </c>
      <c r="I168" s="13"/>
      <c r="J168" s="14">
        <f>+'KY_Res by Plant Acct P16(REG)'!J166</f>
        <v>0</v>
      </c>
      <c r="K168" s="13"/>
      <c r="L168" s="14">
        <f>+'KY_Res by Plant Acct P16(REG)'!L166</f>
        <v>0</v>
      </c>
      <c r="M168" s="13"/>
      <c r="N168" s="14">
        <f>+'KY_Res by Plant Acct P16(REG)'!N166</f>
        <v>0</v>
      </c>
      <c r="O168" s="13"/>
      <c r="P168" s="14">
        <f>+'KY_Res by Plant Acct P16(REG)'!P166</f>
        <v>0</v>
      </c>
      <c r="Q168" s="13"/>
      <c r="R168" s="14">
        <f t="shared" si="7"/>
        <v>-1355575.0399999996</v>
      </c>
    </row>
    <row r="169" spans="1:18" outlineLevel="1" x14ac:dyDescent="0.2">
      <c r="A169" s="3" t="s">
        <v>3982</v>
      </c>
      <c r="B169" s="14">
        <f>+'KY_Res by Plant Acct P16(REG)'!B167</f>
        <v>-1825765.2400000002</v>
      </c>
      <c r="C169" s="13"/>
      <c r="D169" s="14">
        <f>+'KY_Res by Plant Acct P16(REG)'!D167</f>
        <v>-146651.6</v>
      </c>
      <c r="E169" s="13"/>
      <c r="F169" s="14">
        <f>+'KY_Res by Plant Acct P16(REG)'!F167</f>
        <v>7291.86</v>
      </c>
      <c r="G169" s="13"/>
      <c r="H169" s="14">
        <f>+'KY_Res by Plant Acct P16(REG)'!H167</f>
        <v>0</v>
      </c>
      <c r="I169" s="13"/>
      <c r="J169" s="14">
        <f>+'KY_Res by Plant Acct P16(REG)'!J167</f>
        <v>0</v>
      </c>
      <c r="K169" s="13"/>
      <c r="L169" s="14">
        <f>+'KY_Res by Plant Acct P16(REG)'!L167</f>
        <v>0</v>
      </c>
      <c r="M169" s="13"/>
      <c r="N169" s="14">
        <f>+'KY_Res by Plant Acct P16(REG)'!N167</f>
        <v>0</v>
      </c>
      <c r="O169" s="13"/>
      <c r="P169" s="14">
        <f>+'KY_Res by Plant Acct P16(REG)'!P167</f>
        <v>0</v>
      </c>
      <c r="Q169" s="13"/>
      <c r="R169" s="14">
        <f t="shared" si="7"/>
        <v>-1965124.9800000002</v>
      </c>
    </row>
    <row r="170" spans="1:18" outlineLevel="1" x14ac:dyDescent="0.2">
      <c r="A170" s="3" t="s">
        <v>3983</v>
      </c>
      <c r="B170" s="14">
        <f>+'KY_Res by Plant Acct P16(REG)'!B168</f>
        <v>-1823124.9799999997</v>
      </c>
      <c r="C170" s="13"/>
      <c r="D170" s="14">
        <f>+'KY_Res by Plant Acct P16(REG)'!D168</f>
        <v>-142702.38</v>
      </c>
      <c r="E170" s="13"/>
      <c r="F170" s="14">
        <f>+'KY_Res by Plant Acct P16(REG)'!F168</f>
        <v>87742.05</v>
      </c>
      <c r="G170" s="13"/>
      <c r="H170" s="14">
        <f>+'KY_Res by Plant Acct P16(REG)'!H168</f>
        <v>0</v>
      </c>
      <c r="I170" s="13"/>
      <c r="J170" s="14">
        <f>+'KY_Res by Plant Acct P16(REG)'!J168</f>
        <v>0</v>
      </c>
      <c r="K170" s="13"/>
      <c r="L170" s="14">
        <f>+'KY_Res by Plant Acct P16(REG)'!L168</f>
        <v>0</v>
      </c>
      <c r="M170" s="13"/>
      <c r="N170" s="14">
        <f>+'KY_Res by Plant Acct P16(REG)'!N168</f>
        <v>0</v>
      </c>
      <c r="O170" s="13"/>
      <c r="P170" s="14">
        <f>+'KY_Res by Plant Acct P16(REG)'!P168</f>
        <v>0</v>
      </c>
      <c r="Q170" s="13"/>
      <c r="R170" s="14">
        <f t="shared" si="7"/>
        <v>-1878085.3099999998</v>
      </c>
    </row>
    <row r="171" spans="1:18" outlineLevel="1" x14ac:dyDescent="0.2">
      <c r="A171" s="3" t="s">
        <v>3984</v>
      </c>
      <c r="B171" s="14">
        <f>+'KY_Res by Plant Acct P16(REG)'!B169</f>
        <v>-1258476.0499999998</v>
      </c>
      <c r="C171" s="13"/>
      <c r="D171" s="14">
        <f>+'KY_Res by Plant Acct P16(REG)'!D169</f>
        <v>-108080.48</v>
      </c>
      <c r="E171" s="13"/>
      <c r="F171" s="14">
        <f>+'KY_Res by Plant Acct P16(REG)'!F169</f>
        <v>5248.1</v>
      </c>
      <c r="G171" s="13"/>
      <c r="H171" s="14">
        <f>+'KY_Res by Plant Acct P16(REG)'!H169</f>
        <v>0</v>
      </c>
      <c r="I171" s="13"/>
      <c r="J171" s="14">
        <f>+'KY_Res by Plant Acct P16(REG)'!J169</f>
        <v>0</v>
      </c>
      <c r="K171" s="13"/>
      <c r="L171" s="14">
        <f>+'KY_Res by Plant Acct P16(REG)'!L169</f>
        <v>0</v>
      </c>
      <c r="M171" s="13"/>
      <c r="N171" s="14">
        <f>+'KY_Res by Plant Acct P16(REG)'!N169</f>
        <v>0</v>
      </c>
      <c r="O171" s="13"/>
      <c r="P171" s="14">
        <f>+'KY_Res by Plant Acct P16(REG)'!P169</f>
        <v>0</v>
      </c>
      <c r="Q171" s="13"/>
      <c r="R171" s="14">
        <f t="shared" si="7"/>
        <v>-1361308.4299999997</v>
      </c>
    </row>
    <row r="172" spans="1:18" outlineLevel="1" x14ac:dyDescent="0.2">
      <c r="A172" s="3" t="s">
        <v>3985</v>
      </c>
      <c r="B172" s="14">
        <f>+'KY_Res by Plant Acct P16(REG)'!B170</f>
        <v>-1253224.6600000001</v>
      </c>
      <c r="C172" s="13"/>
      <c r="D172" s="14">
        <f>+'KY_Res by Plant Acct P16(REG)'!D170</f>
        <v>-107633.98</v>
      </c>
      <c r="E172" s="13"/>
      <c r="F172" s="14">
        <f>+'KY_Res by Plant Acct P16(REG)'!F170</f>
        <v>5220.6499999999996</v>
      </c>
      <c r="G172" s="13"/>
      <c r="H172" s="14">
        <f>+'KY_Res by Plant Acct P16(REG)'!H170</f>
        <v>0</v>
      </c>
      <c r="I172" s="13"/>
      <c r="J172" s="14">
        <f>+'KY_Res by Plant Acct P16(REG)'!J170</f>
        <v>0</v>
      </c>
      <c r="K172" s="13"/>
      <c r="L172" s="14">
        <f>+'KY_Res by Plant Acct P16(REG)'!L170</f>
        <v>0</v>
      </c>
      <c r="M172" s="13"/>
      <c r="N172" s="14">
        <f>+'KY_Res by Plant Acct P16(REG)'!N170</f>
        <v>0</v>
      </c>
      <c r="O172" s="13"/>
      <c r="P172" s="14">
        <f>+'KY_Res by Plant Acct P16(REG)'!P170</f>
        <v>0</v>
      </c>
      <c r="Q172" s="13"/>
      <c r="R172" s="14">
        <f t="shared" si="7"/>
        <v>-1355637.9900000002</v>
      </c>
    </row>
    <row r="173" spans="1:18" outlineLevel="1" x14ac:dyDescent="0.2">
      <c r="A173" s="3" t="s">
        <v>3986</v>
      </c>
      <c r="B173" s="14">
        <f>+'KY_Res by Plant Acct P16(REG)'!B171</f>
        <v>-830688.58999999985</v>
      </c>
      <c r="C173" s="13"/>
      <c r="D173" s="14">
        <f>+'KY_Res by Plant Acct P16(REG)'!D171</f>
        <v>-125768.81</v>
      </c>
      <c r="E173" s="13"/>
      <c r="F173" s="14">
        <f>+'KY_Res by Plant Acct P16(REG)'!F171</f>
        <v>5443.26</v>
      </c>
      <c r="G173" s="13"/>
      <c r="H173" s="14">
        <f>+'KY_Res by Plant Acct P16(REG)'!H171</f>
        <v>0</v>
      </c>
      <c r="I173" s="13"/>
      <c r="J173" s="14">
        <f>+'KY_Res by Plant Acct P16(REG)'!J171</f>
        <v>0</v>
      </c>
      <c r="K173" s="13"/>
      <c r="L173" s="14">
        <f>+'KY_Res by Plant Acct P16(REG)'!L171</f>
        <v>121215.17</v>
      </c>
      <c r="M173" s="13"/>
      <c r="N173" s="14">
        <f>+'KY_Res by Plant Acct P16(REG)'!N171</f>
        <v>0</v>
      </c>
      <c r="O173" s="13"/>
      <c r="P173" s="14">
        <f>+'KY_Res by Plant Acct P16(REG)'!P171</f>
        <v>0</v>
      </c>
      <c r="Q173" s="13"/>
      <c r="R173" s="14">
        <f t="shared" si="7"/>
        <v>-829798.96999999986</v>
      </c>
    </row>
    <row r="174" spans="1:18" x14ac:dyDescent="0.2">
      <c r="A174" s="3" t="s">
        <v>3987</v>
      </c>
      <c r="B174" s="14">
        <f>SUM(B157:B173)</f>
        <v>-37362377.209999993</v>
      </c>
      <c r="C174" s="13"/>
      <c r="D174" s="14">
        <f>SUM(D157:D173)</f>
        <v>-4529311.5900000008</v>
      </c>
      <c r="E174" s="13"/>
      <c r="F174" s="14">
        <f>SUM(F157:F173)</f>
        <v>475999.11</v>
      </c>
      <c r="G174" s="13"/>
      <c r="H174" s="14">
        <f>SUM(H157:H173)</f>
        <v>0</v>
      </c>
      <c r="I174" s="13"/>
      <c r="J174" s="14">
        <f>SUM(J157:J173)</f>
        <v>0</v>
      </c>
      <c r="K174" s="13"/>
      <c r="L174" s="14">
        <f>SUM(L157:L173)</f>
        <v>140686.32999999999</v>
      </c>
      <c r="M174" s="13"/>
      <c r="N174" s="14">
        <f>SUM(N157:N173)</f>
        <v>0</v>
      </c>
      <c r="O174" s="13"/>
      <c r="P174" s="14">
        <f>SUM(P157:P173)</f>
        <v>0</v>
      </c>
      <c r="Q174" s="13"/>
      <c r="R174" s="14">
        <f>SUM(R157:R173)</f>
        <v>-41275003.359999999</v>
      </c>
    </row>
    <row r="175" spans="1:18" outlineLevel="1" x14ac:dyDescent="0.2">
      <c r="A175" s="3" t="s">
        <v>3988</v>
      </c>
      <c r="B175" s="14">
        <f>+'KY_Res by Plant Acct P16(REG)'!B173</f>
        <v>-1091288.03</v>
      </c>
      <c r="C175" s="13"/>
      <c r="D175" s="14">
        <f>+'KY_Res by Plant Acct P16(REG)'!D173</f>
        <v>-548977.97</v>
      </c>
      <c r="E175" s="13"/>
      <c r="F175" s="14">
        <f>+'KY_Res by Plant Acct P16(REG)'!F173</f>
        <v>0</v>
      </c>
      <c r="G175" s="13"/>
      <c r="H175" s="14">
        <f>+'KY_Res by Plant Acct P16(REG)'!H173</f>
        <v>0</v>
      </c>
      <c r="I175" s="13"/>
      <c r="J175" s="14">
        <f>+'KY_Res by Plant Acct P16(REG)'!J173</f>
        <v>0</v>
      </c>
      <c r="K175" s="13"/>
      <c r="L175" s="14">
        <f>+'KY_Res by Plant Acct P16(REG)'!L173</f>
        <v>0</v>
      </c>
      <c r="M175" s="13"/>
      <c r="N175" s="14">
        <f>+'KY_Res by Plant Acct P16(REG)'!N173</f>
        <v>0</v>
      </c>
      <c r="O175" s="13"/>
      <c r="P175" s="14">
        <f>+'KY_Res by Plant Acct P16(REG)'!P173</f>
        <v>0</v>
      </c>
      <c r="Q175" s="13"/>
      <c r="R175" s="14">
        <f>SUM(B175:P175)</f>
        <v>-1640266</v>
      </c>
    </row>
    <row r="176" spans="1:18" outlineLevel="1" x14ac:dyDescent="0.2">
      <c r="A176" s="3" t="s">
        <v>3989</v>
      </c>
      <c r="B176" s="14">
        <f>+'KY_Res by Plant Acct P16(REG)'!B174</f>
        <v>-1757009.7300000002</v>
      </c>
      <c r="C176" s="13"/>
      <c r="D176" s="14">
        <f>+'KY_Res by Plant Acct P16(REG)'!D174</f>
        <v>-109873.44</v>
      </c>
      <c r="E176" s="13"/>
      <c r="F176" s="14">
        <f>+'KY_Res by Plant Acct P16(REG)'!F174</f>
        <v>0</v>
      </c>
      <c r="G176" s="13"/>
      <c r="H176" s="14">
        <f>+'KY_Res by Plant Acct P16(REG)'!H174</f>
        <v>0</v>
      </c>
      <c r="I176" s="13"/>
      <c r="J176" s="14">
        <f>+'KY_Res by Plant Acct P16(REG)'!J174</f>
        <v>0</v>
      </c>
      <c r="K176" s="13"/>
      <c r="L176" s="14">
        <f>+'KY_Res by Plant Acct P16(REG)'!L174</f>
        <v>0</v>
      </c>
      <c r="M176" s="13"/>
      <c r="N176" s="14">
        <f>+'KY_Res by Plant Acct P16(REG)'!N174</f>
        <v>0</v>
      </c>
      <c r="O176" s="13"/>
      <c r="P176" s="14">
        <f>+'KY_Res by Plant Acct P16(REG)'!P174</f>
        <v>0</v>
      </c>
      <c r="Q176" s="13"/>
      <c r="R176" s="14">
        <f t="shared" ref="R176:R191" si="8">SUM(B176:P176)</f>
        <v>-1866883.1700000002</v>
      </c>
    </row>
    <row r="177" spans="1:18" outlineLevel="1" x14ac:dyDescent="0.2">
      <c r="A177" s="3" t="s">
        <v>3990</v>
      </c>
      <c r="B177" s="14">
        <f>+'KY_Res by Plant Acct P16(REG)'!B175</f>
        <v>-1487507.5799999998</v>
      </c>
      <c r="C177" s="13"/>
      <c r="D177" s="14">
        <f>+'KY_Res by Plant Acct P16(REG)'!D175</f>
        <v>-113509.5</v>
      </c>
      <c r="E177" s="13"/>
      <c r="F177" s="14">
        <f>+'KY_Res by Plant Acct P16(REG)'!F175</f>
        <v>0</v>
      </c>
      <c r="G177" s="13"/>
      <c r="H177" s="14">
        <f>+'KY_Res by Plant Acct P16(REG)'!H175</f>
        <v>0</v>
      </c>
      <c r="I177" s="13"/>
      <c r="J177" s="14">
        <f>+'KY_Res by Plant Acct P16(REG)'!J175</f>
        <v>0</v>
      </c>
      <c r="K177" s="13"/>
      <c r="L177" s="14">
        <f>+'KY_Res by Plant Acct P16(REG)'!L175</f>
        <v>0</v>
      </c>
      <c r="M177" s="13"/>
      <c r="N177" s="14">
        <f>+'KY_Res by Plant Acct P16(REG)'!N175</f>
        <v>0</v>
      </c>
      <c r="O177" s="13"/>
      <c r="P177" s="14">
        <f>+'KY_Res by Plant Acct P16(REG)'!P175</f>
        <v>0</v>
      </c>
      <c r="Q177" s="13"/>
      <c r="R177" s="14">
        <f t="shared" si="8"/>
        <v>-1601017.0799999998</v>
      </c>
    </row>
    <row r="178" spans="1:18" outlineLevel="1" x14ac:dyDescent="0.2">
      <c r="A178" s="3" t="s">
        <v>3991</v>
      </c>
      <c r="B178" s="14">
        <f>+'KY_Res by Plant Acct P16(REG)'!B176</f>
        <v>-1093615.17</v>
      </c>
      <c r="C178" s="13"/>
      <c r="D178" s="14">
        <f>+'KY_Res by Plant Acct P16(REG)'!D176</f>
        <v>-93910.98</v>
      </c>
      <c r="E178" s="13"/>
      <c r="F178" s="14">
        <f>+'KY_Res by Plant Acct P16(REG)'!F176</f>
        <v>0</v>
      </c>
      <c r="G178" s="13"/>
      <c r="H178" s="14">
        <f>+'KY_Res by Plant Acct P16(REG)'!H176</f>
        <v>0</v>
      </c>
      <c r="I178" s="13"/>
      <c r="J178" s="14">
        <f>+'KY_Res by Plant Acct P16(REG)'!J176</f>
        <v>0</v>
      </c>
      <c r="K178" s="13"/>
      <c r="L178" s="14">
        <f>+'KY_Res by Plant Acct P16(REG)'!L176</f>
        <v>0</v>
      </c>
      <c r="M178" s="13"/>
      <c r="N178" s="14">
        <f>+'KY_Res by Plant Acct P16(REG)'!N176</f>
        <v>0</v>
      </c>
      <c r="O178" s="13"/>
      <c r="P178" s="14">
        <f>+'KY_Res by Plant Acct P16(REG)'!P176</f>
        <v>0</v>
      </c>
      <c r="Q178" s="13"/>
      <c r="R178" s="14">
        <f t="shared" si="8"/>
        <v>-1187526.1499999999</v>
      </c>
    </row>
    <row r="179" spans="1:18" outlineLevel="1" x14ac:dyDescent="0.2">
      <c r="A179" s="3" t="s">
        <v>3992</v>
      </c>
      <c r="B179" s="14">
        <f>+'KY_Res by Plant Acct P16(REG)'!B177</f>
        <v>-1068287.95</v>
      </c>
      <c r="C179" s="13"/>
      <c r="D179" s="14">
        <f>+'KY_Res by Plant Acct P16(REG)'!D177</f>
        <v>-85484.59</v>
      </c>
      <c r="E179" s="13"/>
      <c r="F179" s="14">
        <f>+'KY_Res by Plant Acct P16(REG)'!F177</f>
        <v>0</v>
      </c>
      <c r="G179" s="13"/>
      <c r="H179" s="14">
        <f>+'KY_Res by Plant Acct P16(REG)'!H177</f>
        <v>0</v>
      </c>
      <c r="I179" s="13"/>
      <c r="J179" s="14">
        <f>+'KY_Res by Plant Acct P16(REG)'!J177</f>
        <v>0</v>
      </c>
      <c r="K179" s="13"/>
      <c r="L179" s="14">
        <f>+'KY_Res by Plant Acct P16(REG)'!L177</f>
        <v>0</v>
      </c>
      <c r="M179" s="13"/>
      <c r="N179" s="14">
        <f>+'KY_Res by Plant Acct P16(REG)'!N177</f>
        <v>0</v>
      </c>
      <c r="O179" s="13"/>
      <c r="P179" s="14">
        <f>+'KY_Res by Plant Acct P16(REG)'!P177</f>
        <v>0</v>
      </c>
      <c r="Q179" s="13"/>
      <c r="R179" s="14">
        <f t="shared" si="8"/>
        <v>-1153772.54</v>
      </c>
    </row>
    <row r="180" spans="1:18" outlineLevel="1" x14ac:dyDescent="0.2">
      <c r="A180" s="3" t="s">
        <v>3993</v>
      </c>
      <c r="B180" s="14">
        <f>+'KY_Res by Plant Acct P16(REG)'!B178</f>
        <v>-1045488.6799999999</v>
      </c>
      <c r="C180" s="13"/>
      <c r="D180" s="14">
        <f>+'KY_Res by Plant Acct P16(REG)'!D178</f>
        <v>-83959.56</v>
      </c>
      <c r="E180" s="13"/>
      <c r="F180" s="14">
        <f>+'KY_Res by Plant Acct P16(REG)'!F178</f>
        <v>0</v>
      </c>
      <c r="G180" s="13"/>
      <c r="H180" s="14">
        <f>+'KY_Res by Plant Acct P16(REG)'!H178</f>
        <v>0</v>
      </c>
      <c r="I180" s="13"/>
      <c r="J180" s="14">
        <f>+'KY_Res by Plant Acct P16(REG)'!J178</f>
        <v>0</v>
      </c>
      <c r="K180" s="13"/>
      <c r="L180" s="14">
        <f>+'KY_Res by Plant Acct P16(REG)'!L178</f>
        <v>0</v>
      </c>
      <c r="M180" s="13"/>
      <c r="N180" s="14">
        <f>+'KY_Res by Plant Acct P16(REG)'!N178</f>
        <v>0</v>
      </c>
      <c r="O180" s="13"/>
      <c r="P180" s="14">
        <f>+'KY_Res by Plant Acct P16(REG)'!P178</f>
        <v>0</v>
      </c>
      <c r="Q180" s="13"/>
      <c r="R180" s="14">
        <f t="shared" si="8"/>
        <v>-1129448.24</v>
      </c>
    </row>
    <row r="181" spans="1:18" outlineLevel="1" x14ac:dyDescent="0.2">
      <c r="A181" s="3" t="s">
        <v>3994</v>
      </c>
      <c r="B181" s="14">
        <f>+'KY_Res by Plant Acct P16(REG)'!B179</f>
        <v>-1884820.1099999996</v>
      </c>
      <c r="C181" s="13"/>
      <c r="D181" s="14">
        <f>+'KY_Res by Plant Acct P16(REG)'!D179</f>
        <v>-164154.72</v>
      </c>
      <c r="E181" s="13"/>
      <c r="F181" s="14">
        <f>+'KY_Res by Plant Acct P16(REG)'!F179</f>
        <v>0</v>
      </c>
      <c r="G181" s="13"/>
      <c r="H181" s="14">
        <f>+'KY_Res by Plant Acct P16(REG)'!H179</f>
        <v>0</v>
      </c>
      <c r="I181" s="13"/>
      <c r="J181" s="14">
        <f>+'KY_Res by Plant Acct P16(REG)'!J179</f>
        <v>0</v>
      </c>
      <c r="K181" s="13"/>
      <c r="L181" s="14">
        <f>+'KY_Res by Plant Acct P16(REG)'!L179</f>
        <v>0</v>
      </c>
      <c r="M181" s="13"/>
      <c r="N181" s="14">
        <f>+'KY_Res by Plant Acct P16(REG)'!N179</f>
        <v>0</v>
      </c>
      <c r="O181" s="13"/>
      <c r="P181" s="14">
        <f>+'KY_Res by Plant Acct P16(REG)'!P179</f>
        <v>0</v>
      </c>
      <c r="Q181" s="13"/>
      <c r="R181" s="14">
        <f t="shared" si="8"/>
        <v>-2048974.8299999996</v>
      </c>
    </row>
    <row r="182" spans="1:18" outlineLevel="1" x14ac:dyDescent="0.2">
      <c r="A182" s="3" t="s">
        <v>3995</v>
      </c>
      <c r="B182" s="14">
        <f>+'KY_Res by Plant Acct P16(REG)'!B180</f>
        <v>-2636910.3000000003</v>
      </c>
      <c r="C182" s="13"/>
      <c r="D182" s="14">
        <f>+'KY_Res by Plant Acct P16(REG)'!D180</f>
        <v>-158648.19</v>
      </c>
      <c r="E182" s="13"/>
      <c r="F182" s="14">
        <f>+'KY_Res by Plant Acct P16(REG)'!F180</f>
        <v>0</v>
      </c>
      <c r="G182" s="13"/>
      <c r="H182" s="14">
        <f>+'KY_Res by Plant Acct P16(REG)'!H180</f>
        <v>0</v>
      </c>
      <c r="I182" s="13"/>
      <c r="J182" s="14">
        <f>+'KY_Res by Plant Acct P16(REG)'!J180</f>
        <v>0</v>
      </c>
      <c r="K182" s="13"/>
      <c r="L182" s="14">
        <f>+'KY_Res by Plant Acct P16(REG)'!L180</f>
        <v>0</v>
      </c>
      <c r="M182" s="13"/>
      <c r="N182" s="14">
        <f>+'KY_Res by Plant Acct P16(REG)'!N180</f>
        <v>0</v>
      </c>
      <c r="O182" s="13"/>
      <c r="P182" s="14">
        <f>+'KY_Res by Plant Acct P16(REG)'!P180</f>
        <v>0</v>
      </c>
      <c r="Q182" s="13"/>
      <c r="R182" s="14">
        <f t="shared" si="8"/>
        <v>-2795558.49</v>
      </c>
    </row>
    <row r="183" spans="1:18" outlineLevel="1" x14ac:dyDescent="0.2">
      <c r="A183" s="3" t="s">
        <v>3996</v>
      </c>
      <c r="B183" s="14">
        <f>+'KY_Res by Plant Acct P16(REG)'!B181</f>
        <v>-15968.27</v>
      </c>
      <c r="C183" s="13"/>
      <c r="D183" s="14">
        <f>+'KY_Res by Plant Acct P16(REG)'!D181</f>
        <v>-29884.55</v>
      </c>
      <c r="E183" s="13"/>
      <c r="F183" s="14">
        <f>+'KY_Res by Plant Acct P16(REG)'!F181</f>
        <v>0</v>
      </c>
      <c r="G183" s="13"/>
      <c r="H183" s="14">
        <f>+'KY_Res by Plant Acct P16(REG)'!H181</f>
        <v>0</v>
      </c>
      <c r="I183" s="13"/>
      <c r="J183" s="14">
        <f>+'KY_Res by Plant Acct P16(REG)'!J181</f>
        <v>0</v>
      </c>
      <c r="K183" s="13"/>
      <c r="L183" s="14">
        <f>+'KY_Res by Plant Acct P16(REG)'!L181</f>
        <v>0</v>
      </c>
      <c r="M183" s="13"/>
      <c r="N183" s="14">
        <f>+'KY_Res by Plant Acct P16(REG)'!N181</f>
        <v>0</v>
      </c>
      <c r="O183" s="13"/>
      <c r="P183" s="14">
        <f>+'KY_Res by Plant Acct P16(REG)'!P181</f>
        <v>0</v>
      </c>
      <c r="Q183" s="13"/>
      <c r="R183" s="14">
        <f t="shared" si="8"/>
        <v>-45852.82</v>
      </c>
    </row>
    <row r="184" spans="1:18" outlineLevel="1" x14ac:dyDescent="0.2">
      <c r="A184" s="3" t="s">
        <v>3997</v>
      </c>
      <c r="B184" s="14">
        <f>+'KY_Res by Plant Acct P16(REG)'!B182</f>
        <v>-168144.88000000003</v>
      </c>
      <c r="C184" s="13"/>
      <c r="D184" s="14">
        <f>+'KY_Res by Plant Acct P16(REG)'!D182</f>
        <v>-121704.84</v>
      </c>
      <c r="E184" s="13"/>
      <c r="F184" s="14">
        <f>+'KY_Res by Plant Acct P16(REG)'!F182</f>
        <v>0</v>
      </c>
      <c r="G184" s="13"/>
      <c r="H184" s="14">
        <f>+'KY_Res by Plant Acct P16(REG)'!H182</f>
        <v>0</v>
      </c>
      <c r="I184" s="13"/>
      <c r="J184" s="14">
        <f>+'KY_Res by Plant Acct P16(REG)'!J182</f>
        <v>0</v>
      </c>
      <c r="K184" s="13"/>
      <c r="L184" s="14">
        <f>+'KY_Res by Plant Acct P16(REG)'!L182</f>
        <v>0</v>
      </c>
      <c r="M184" s="13"/>
      <c r="N184" s="14">
        <f>+'KY_Res by Plant Acct P16(REG)'!N182</f>
        <v>0</v>
      </c>
      <c r="O184" s="13"/>
      <c r="P184" s="14">
        <f>+'KY_Res by Plant Acct P16(REG)'!P182</f>
        <v>0</v>
      </c>
      <c r="Q184" s="13"/>
      <c r="R184" s="14">
        <f t="shared" si="8"/>
        <v>-289849.72000000003</v>
      </c>
    </row>
    <row r="185" spans="1:18" outlineLevel="1" x14ac:dyDescent="0.2">
      <c r="A185" s="3" t="s">
        <v>3998</v>
      </c>
      <c r="B185" s="14">
        <f>+'KY_Res by Plant Acct P16(REG)'!B183</f>
        <v>-1231788.8700000001</v>
      </c>
      <c r="C185" s="13"/>
      <c r="D185" s="14">
        <f>+'KY_Res by Plant Acct P16(REG)'!D183</f>
        <v>-95361.66</v>
      </c>
      <c r="E185" s="13"/>
      <c r="F185" s="14">
        <f>+'KY_Res by Plant Acct P16(REG)'!F183</f>
        <v>0</v>
      </c>
      <c r="G185" s="13"/>
      <c r="H185" s="14">
        <f>+'KY_Res by Plant Acct P16(REG)'!H183</f>
        <v>0</v>
      </c>
      <c r="I185" s="13"/>
      <c r="J185" s="14">
        <f>+'KY_Res by Plant Acct P16(REG)'!J183</f>
        <v>0</v>
      </c>
      <c r="K185" s="13"/>
      <c r="L185" s="14">
        <f>+'KY_Res by Plant Acct P16(REG)'!L183</f>
        <v>0</v>
      </c>
      <c r="M185" s="13"/>
      <c r="N185" s="14">
        <f>+'KY_Res by Plant Acct P16(REG)'!N183</f>
        <v>0</v>
      </c>
      <c r="O185" s="13"/>
      <c r="P185" s="14">
        <f>+'KY_Res by Plant Acct P16(REG)'!P183</f>
        <v>0</v>
      </c>
      <c r="Q185" s="13"/>
      <c r="R185" s="14">
        <f t="shared" si="8"/>
        <v>-1327150.53</v>
      </c>
    </row>
    <row r="186" spans="1:18" outlineLevel="1" x14ac:dyDescent="0.2">
      <c r="A186" s="3" t="s">
        <v>4377</v>
      </c>
      <c r="B186" s="14">
        <f>+'KY_Res by Plant Acct P16(REG)'!B184</f>
        <v>-2796446.6600000006</v>
      </c>
      <c r="C186" s="13"/>
      <c r="D186" s="14">
        <f>+'KY_Res by Plant Acct P16(REG)'!D184</f>
        <v>-302573.96000000002</v>
      </c>
      <c r="E186" s="13"/>
      <c r="F186" s="14">
        <f>+'KY_Res by Plant Acct P16(REG)'!F184</f>
        <v>0</v>
      </c>
      <c r="G186" s="13"/>
      <c r="H186" s="14">
        <f>+'KY_Res by Plant Acct P16(REG)'!H184</f>
        <v>0</v>
      </c>
      <c r="I186" s="13"/>
      <c r="J186" s="14">
        <f>+'KY_Res by Plant Acct P16(REG)'!J184</f>
        <v>0</v>
      </c>
      <c r="K186" s="13"/>
      <c r="L186" s="14">
        <f>+'KY_Res by Plant Acct P16(REG)'!L184</f>
        <v>0</v>
      </c>
      <c r="M186" s="13"/>
      <c r="N186" s="14">
        <f>+'KY_Res by Plant Acct P16(REG)'!N184</f>
        <v>0</v>
      </c>
      <c r="O186" s="13"/>
      <c r="P186" s="14">
        <f>+'KY_Res by Plant Acct P16(REG)'!P184</f>
        <v>0</v>
      </c>
      <c r="Q186" s="13"/>
      <c r="R186" s="14">
        <f t="shared" si="8"/>
        <v>-3099020.6200000006</v>
      </c>
    </row>
    <row r="187" spans="1:18" outlineLevel="1" x14ac:dyDescent="0.2">
      <c r="A187" s="3" t="s">
        <v>4378</v>
      </c>
      <c r="B187" s="14">
        <f>+'KY_Res by Plant Acct P16(REG)'!B185</f>
        <v>-783762.95000000007</v>
      </c>
      <c r="C187" s="13"/>
      <c r="D187" s="14">
        <f>+'KY_Res by Plant Acct P16(REG)'!D185</f>
        <v>-70494.960000000006</v>
      </c>
      <c r="E187" s="13"/>
      <c r="F187" s="14">
        <f>+'KY_Res by Plant Acct P16(REG)'!F185</f>
        <v>0</v>
      </c>
      <c r="G187" s="13"/>
      <c r="H187" s="14">
        <f>+'KY_Res by Plant Acct P16(REG)'!H185</f>
        <v>0</v>
      </c>
      <c r="I187" s="13"/>
      <c r="J187" s="14">
        <f>+'KY_Res by Plant Acct P16(REG)'!J185</f>
        <v>0</v>
      </c>
      <c r="K187" s="13"/>
      <c r="L187" s="14">
        <f>+'KY_Res by Plant Acct P16(REG)'!L185</f>
        <v>0</v>
      </c>
      <c r="M187" s="13"/>
      <c r="N187" s="14">
        <f>+'KY_Res by Plant Acct P16(REG)'!N185</f>
        <v>0</v>
      </c>
      <c r="O187" s="13"/>
      <c r="P187" s="14">
        <f>+'KY_Res by Plant Acct P16(REG)'!P185</f>
        <v>0</v>
      </c>
      <c r="Q187" s="13"/>
      <c r="R187" s="14">
        <f t="shared" si="8"/>
        <v>-854257.91</v>
      </c>
    </row>
    <row r="188" spans="1:18" outlineLevel="1" x14ac:dyDescent="0.2">
      <c r="A188" s="3" t="s">
        <v>4379</v>
      </c>
      <c r="B188" s="14">
        <f>+'KY_Res by Plant Acct P16(REG)'!B186</f>
        <v>-1828998.74</v>
      </c>
      <c r="C188" s="13"/>
      <c r="D188" s="14">
        <f>+'KY_Res by Plant Acct P16(REG)'!D186</f>
        <v>-189251.7</v>
      </c>
      <c r="E188" s="13"/>
      <c r="F188" s="14">
        <f>+'KY_Res by Plant Acct P16(REG)'!F186</f>
        <v>0</v>
      </c>
      <c r="G188" s="13"/>
      <c r="H188" s="14">
        <f>+'KY_Res by Plant Acct P16(REG)'!H186</f>
        <v>0</v>
      </c>
      <c r="I188" s="13"/>
      <c r="J188" s="14">
        <f>+'KY_Res by Plant Acct P16(REG)'!J186</f>
        <v>0</v>
      </c>
      <c r="K188" s="13"/>
      <c r="L188" s="14">
        <f>+'KY_Res by Plant Acct P16(REG)'!L186</f>
        <v>0</v>
      </c>
      <c r="M188" s="13"/>
      <c r="N188" s="14">
        <f>+'KY_Res by Plant Acct P16(REG)'!N186</f>
        <v>0</v>
      </c>
      <c r="O188" s="13"/>
      <c r="P188" s="14">
        <f>+'KY_Res by Plant Acct P16(REG)'!P186</f>
        <v>0</v>
      </c>
      <c r="Q188" s="13"/>
      <c r="R188" s="14">
        <f t="shared" si="8"/>
        <v>-2018250.44</v>
      </c>
    </row>
    <row r="189" spans="1:18" outlineLevel="1" x14ac:dyDescent="0.2">
      <c r="A189" s="3" t="s">
        <v>4380</v>
      </c>
      <c r="B189" s="14">
        <f>+'KY_Res by Plant Acct P16(REG)'!B187</f>
        <v>-1351081.9500000002</v>
      </c>
      <c r="C189" s="13"/>
      <c r="D189" s="14">
        <f>+'KY_Res by Plant Acct P16(REG)'!D187</f>
        <v>-142665.35999999999</v>
      </c>
      <c r="E189" s="13"/>
      <c r="F189" s="14">
        <f>+'KY_Res by Plant Acct P16(REG)'!F187</f>
        <v>0</v>
      </c>
      <c r="G189" s="13"/>
      <c r="H189" s="14">
        <f>+'KY_Res by Plant Acct P16(REG)'!H187</f>
        <v>0</v>
      </c>
      <c r="I189" s="13"/>
      <c r="J189" s="14">
        <f>+'KY_Res by Plant Acct P16(REG)'!J187</f>
        <v>0</v>
      </c>
      <c r="K189" s="13"/>
      <c r="L189" s="14">
        <f>+'KY_Res by Plant Acct P16(REG)'!L187</f>
        <v>0</v>
      </c>
      <c r="M189" s="13"/>
      <c r="N189" s="14">
        <f>+'KY_Res by Plant Acct P16(REG)'!N187</f>
        <v>0</v>
      </c>
      <c r="O189" s="13"/>
      <c r="P189" s="14">
        <f>+'KY_Res by Plant Acct P16(REG)'!P187</f>
        <v>0</v>
      </c>
      <c r="Q189" s="13"/>
      <c r="R189" s="14">
        <f t="shared" si="8"/>
        <v>-1493747.31</v>
      </c>
    </row>
    <row r="190" spans="1:18" outlineLevel="1" x14ac:dyDescent="0.2">
      <c r="A190" s="3" t="s">
        <v>4381</v>
      </c>
      <c r="B190" s="14">
        <f>+'KY_Res by Plant Acct P16(REG)'!B188</f>
        <v>-1346498.9000000001</v>
      </c>
      <c r="C190" s="13"/>
      <c r="D190" s="14">
        <f>+'KY_Res by Plant Acct P16(REG)'!D188</f>
        <v>-122774.94</v>
      </c>
      <c r="E190" s="13"/>
      <c r="F190" s="14">
        <f>+'KY_Res by Plant Acct P16(REG)'!F188</f>
        <v>0</v>
      </c>
      <c r="G190" s="13"/>
      <c r="H190" s="14">
        <f>+'KY_Res by Plant Acct P16(REG)'!H188</f>
        <v>0</v>
      </c>
      <c r="I190" s="13"/>
      <c r="J190" s="14">
        <f>+'KY_Res by Plant Acct P16(REG)'!J188</f>
        <v>0</v>
      </c>
      <c r="K190" s="13"/>
      <c r="L190" s="14">
        <f>+'KY_Res by Plant Acct P16(REG)'!L188</f>
        <v>0</v>
      </c>
      <c r="M190" s="13"/>
      <c r="N190" s="14">
        <f>+'KY_Res by Plant Acct P16(REG)'!N188</f>
        <v>0</v>
      </c>
      <c r="O190" s="13"/>
      <c r="P190" s="14">
        <f>+'KY_Res by Plant Acct P16(REG)'!P188</f>
        <v>0</v>
      </c>
      <c r="Q190" s="13"/>
      <c r="R190" s="14">
        <f t="shared" si="8"/>
        <v>-1469273.84</v>
      </c>
    </row>
    <row r="191" spans="1:18" outlineLevel="1" x14ac:dyDescent="0.2">
      <c r="A191" s="3" t="s">
        <v>4382</v>
      </c>
      <c r="B191" s="14">
        <f>+'KY_Res by Plant Acct P16(REG)'!B189</f>
        <v>-1377834.9000000001</v>
      </c>
      <c r="C191" s="13"/>
      <c r="D191" s="14">
        <f>+'KY_Res by Plant Acct P16(REG)'!D189</f>
        <v>-122248.08</v>
      </c>
      <c r="E191" s="13"/>
      <c r="F191" s="14">
        <f>+'KY_Res by Plant Acct P16(REG)'!F189</f>
        <v>0</v>
      </c>
      <c r="G191" s="13"/>
      <c r="H191" s="14">
        <f>+'KY_Res by Plant Acct P16(REG)'!H189</f>
        <v>0</v>
      </c>
      <c r="I191" s="13"/>
      <c r="J191" s="14">
        <f>+'KY_Res by Plant Acct P16(REG)'!J189</f>
        <v>0</v>
      </c>
      <c r="K191" s="13"/>
      <c r="L191" s="14">
        <f>+'KY_Res by Plant Acct P16(REG)'!L189</f>
        <v>0</v>
      </c>
      <c r="M191" s="13"/>
      <c r="N191" s="14">
        <f>+'KY_Res by Plant Acct P16(REG)'!N189</f>
        <v>0</v>
      </c>
      <c r="O191" s="13"/>
      <c r="P191" s="14">
        <f>+'KY_Res by Plant Acct P16(REG)'!P189</f>
        <v>0</v>
      </c>
      <c r="Q191" s="13"/>
      <c r="R191" s="14">
        <f t="shared" si="8"/>
        <v>-1500082.9800000002</v>
      </c>
    </row>
    <row r="192" spans="1:18" x14ac:dyDescent="0.2">
      <c r="A192" s="3" t="s">
        <v>4005</v>
      </c>
      <c r="B192" s="14">
        <f>SUM(B175:B191)</f>
        <v>-22965453.669999994</v>
      </c>
      <c r="C192" s="13"/>
      <c r="D192" s="14">
        <f>SUM(D175:D191)</f>
        <v>-2555478.9999999995</v>
      </c>
      <c r="E192" s="13"/>
      <c r="F192" s="14">
        <f>SUM(F175:F191)</f>
        <v>0</v>
      </c>
      <c r="G192" s="13"/>
      <c r="H192" s="14">
        <f>SUM(H175:H191)</f>
        <v>0</v>
      </c>
      <c r="I192" s="13"/>
      <c r="J192" s="14">
        <f>SUM(J175:J191)</f>
        <v>0</v>
      </c>
      <c r="K192" s="13"/>
      <c r="L192" s="14">
        <f>SUM(L175:L191)</f>
        <v>0</v>
      </c>
      <c r="M192" s="13"/>
      <c r="N192" s="14">
        <f>SUM(N175:N191)</f>
        <v>0</v>
      </c>
      <c r="O192" s="13"/>
      <c r="P192" s="14">
        <f>SUM(P175:P191)</f>
        <v>0</v>
      </c>
      <c r="Q192" s="13"/>
      <c r="R192" s="14">
        <f>SUM(R175:R191)</f>
        <v>-25520932.670000002</v>
      </c>
    </row>
    <row r="193" spans="1:18" outlineLevel="1" x14ac:dyDescent="0.2">
      <c r="A193" s="3" t="s">
        <v>4383</v>
      </c>
      <c r="B193" s="14">
        <f>+'KY_Res by Plant Acct P16(REG)'!B191</f>
        <v>0</v>
      </c>
      <c r="C193" s="13"/>
      <c r="D193" s="14">
        <f>+'KY_Res by Plant Acct P16(REG)'!D191</f>
        <v>0</v>
      </c>
      <c r="E193" s="13"/>
      <c r="F193" s="14">
        <f>+'KY_Res by Plant Acct P16(REG)'!F191</f>
        <v>0</v>
      </c>
      <c r="G193" s="13"/>
      <c r="H193" s="14">
        <f>+'KY_Res by Plant Acct P16(REG)'!H191</f>
        <v>0</v>
      </c>
      <c r="I193" s="13"/>
      <c r="J193" s="14">
        <f>+'KY_Res by Plant Acct P16(REG)'!J191</f>
        <v>0</v>
      </c>
      <c r="K193" s="13"/>
      <c r="L193" s="14">
        <f>+'KY_Res by Plant Acct P16(REG)'!L191</f>
        <v>0</v>
      </c>
      <c r="M193" s="13"/>
      <c r="N193" s="14">
        <f>+'KY_Res by Plant Acct P16(REG)'!N191</f>
        <v>0</v>
      </c>
      <c r="O193" s="13"/>
      <c r="P193" s="14">
        <f>+'KY_Res by Plant Acct P16(REG)'!P191</f>
        <v>0</v>
      </c>
      <c r="Q193" s="13"/>
      <c r="R193" s="14">
        <f t="shared" ref="R193:R201" si="9">SUM(B193:P193)</f>
        <v>0</v>
      </c>
    </row>
    <row r="194" spans="1:18" outlineLevel="1" x14ac:dyDescent="0.2">
      <c r="A194" s="3" t="s">
        <v>4384</v>
      </c>
      <c r="B194" s="14">
        <f>+'KY_Res by Plant Acct P16(REG)'!B192</f>
        <v>0</v>
      </c>
      <c r="C194" s="13"/>
      <c r="D194" s="14">
        <f>+'KY_Res by Plant Acct P16(REG)'!D192</f>
        <v>0</v>
      </c>
      <c r="E194" s="13"/>
      <c r="F194" s="14">
        <f>+'KY_Res by Plant Acct P16(REG)'!F192</f>
        <v>0</v>
      </c>
      <c r="G194" s="13"/>
      <c r="H194" s="14">
        <f>+'KY_Res by Plant Acct P16(REG)'!H192</f>
        <v>0</v>
      </c>
      <c r="I194" s="13"/>
      <c r="J194" s="14">
        <f>+'KY_Res by Plant Acct P16(REG)'!J192</f>
        <v>0</v>
      </c>
      <c r="K194" s="13"/>
      <c r="L194" s="14">
        <f>+'KY_Res by Plant Acct P16(REG)'!L192</f>
        <v>0</v>
      </c>
      <c r="M194" s="13"/>
      <c r="N194" s="14">
        <f>+'KY_Res by Plant Acct P16(REG)'!N192</f>
        <v>0</v>
      </c>
      <c r="O194" s="13"/>
      <c r="P194" s="14">
        <f>+'KY_Res by Plant Acct P16(REG)'!P192</f>
        <v>0</v>
      </c>
      <c r="Q194" s="13"/>
      <c r="R194" s="14">
        <f t="shared" si="9"/>
        <v>0</v>
      </c>
    </row>
    <row r="195" spans="1:18" outlineLevel="1" x14ac:dyDescent="0.2">
      <c r="A195" s="3" t="s">
        <v>4385</v>
      </c>
      <c r="B195" s="14">
        <f>+'KY_Res by Plant Acct P16(REG)'!B193</f>
        <v>0</v>
      </c>
      <c r="C195" s="13"/>
      <c r="D195" s="14">
        <f>+'KY_Res by Plant Acct P16(REG)'!D193</f>
        <v>0</v>
      </c>
      <c r="E195" s="13"/>
      <c r="F195" s="14">
        <f>+'KY_Res by Plant Acct P16(REG)'!F193</f>
        <v>0</v>
      </c>
      <c r="G195" s="13"/>
      <c r="H195" s="14">
        <f>+'KY_Res by Plant Acct P16(REG)'!H193</f>
        <v>0</v>
      </c>
      <c r="I195" s="13"/>
      <c r="J195" s="14">
        <f>+'KY_Res by Plant Acct P16(REG)'!J193</f>
        <v>0</v>
      </c>
      <c r="K195" s="13"/>
      <c r="L195" s="14">
        <f>+'KY_Res by Plant Acct P16(REG)'!L193</f>
        <v>0</v>
      </c>
      <c r="M195" s="13"/>
      <c r="N195" s="14">
        <f>+'KY_Res by Plant Acct P16(REG)'!N193</f>
        <v>0</v>
      </c>
      <c r="O195" s="13"/>
      <c r="P195" s="14">
        <f>+'KY_Res by Plant Acct P16(REG)'!P193</f>
        <v>0</v>
      </c>
      <c r="Q195" s="13"/>
      <c r="R195" s="14">
        <f t="shared" si="9"/>
        <v>0</v>
      </c>
    </row>
    <row r="196" spans="1:18" outlineLevel="1" x14ac:dyDescent="0.2">
      <c r="A196" s="3" t="s">
        <v>4386</v>
      </c>
      <c r="B196" s="14">
        <f>+'KY_Res by Plant Acct P16(REG)'!B194</f>
        <v>0</v>
      </c>
      <c r="C196" s="13"/>
      <c r="D196" s="14">
        <f>+'KY_Res by Plant Acct P16(REG)'!D194</f>
        <v>0</v>
      </c>
      <c r="E196" s="13"/>
      <c r="F196" s="14">
        <f>+'KY_Res by Plant Acct P16(REG)'!F194</f>
        <v>0</v>
      </c>
      <c r="G196" s="13"/>
      <c r="H196" s="14">
        <f>+'KY_Res by Plant Acct P16(REG)'!H194</f>
        <v>0</v>
      </c>
      <c r="I196" s="13"/>
      <c r="J196" s="14">
        <f>+'KY_Res by Plant Acct P16(REG)'!J194</f>
        <v>0</v>
      </c>
      <c r="K196" s="13"/>
      <c r="L196" s="14">
        <f>+'KY_Res by Plant Acct P16(REG)'!L194</f>
        <v>0</v>
      </c>
      <c r="M196" s="13"/>
      <c r="N196" s="14">
        <f>+'KY_Res by Plant Acct P16(REG)'!N194</f>
        <v>0</v>
      </c>
      <c r="O196" s="13"/>
      <c r="P196" s="14">
        <f>+'KY_Res by Plant Acct P16(REG)'!P194</f>
        <v>0</v>
      </c>
      <c r="Q196" s="13"/>
      <c r="R196" s="14">
        <f t="shared" si="9"/>
        <v>0</v>
      </c>
    </row>
    <row r="197" spans="1:18" outlineLevel="1" x14ac:dyDescent="0.2">
      <c r="A197" s="3" t="s">
        <v>4387</v>
      </c>
      <c r="B197" s="14">
        <f>+'KY_Res by Plant Acct P16(REG)'!B195</f>
        <v>0</v>
      </c>
      <c r="C197" s="13"/>
      <c r="D197" s="14">
        <f>+'KY_Res by Plant Acct P16(REG)'!D195</f>
        <v>0</v>
      </c>
      <c r="E197" s="13"/>
      <c r="F197" s="14">
        <f>+'KY_Res by Plant Acct P16(REG)'!F195</f>
        <v>0</v>
      </c>
      <c r="G197" s="13"/>
      <c r="H197" s="14">
        <f>+'KY_Res by Plant Acct P16(REG)'!H195</f>
        <v>0</v>
      </c>
      <c r="I197" s="13"/>
      <c r="J197" s="14">
        <f>+'KY_Res by Plant Acct P16(REG)'!J195</f>
        <v>0</v>
      </c>
      <c r="K197" s="13"/>
      <c r="L197" s="14">
        <f>+'KY_Res by Plant Acct P16(REG)'!L195</f>
        <v>0</v>
      </c>
      <c r="M197" s="13"/>
      <c r="N197" s="14">
        <f>+'KY_Res by Plant Acct P16(REG)'!N195</f>
        <v>0</v>
      </c>
      <c r="O197" s="13"/>
      <c r="P197" s="14">
        <f>+'KY_Res by Plant Acct P16(REG)'!P195</f>
        <v>0</v>
      </c>
      <c r="Q197" s="13"/>
      <c r="R197" s="14">
        <f t="shared" si="9"/>
        <v>0</v>
      </c>
    </row>
    <row r="198" spans="1:18" outlineLevel="1" x14ac:dyDescent="0.2">
      <c r="A198" s="3" t="s">
        <v>4388</v>
      </c>
      <c r="B198" s="14">
        <f>+'KY_Res by Plant Acct P16(REG)'!B196</f>
        <v>0</v>
      </c>
      <c r="C198" s="13"/>
      <c r="D198" s="14">
        <f>+'KY_Res by Plant Acct P16(REG)'!D196</f>
        <v>0</v>
      </c>
      <c r="E198" s="13"/>
      <c r="F198" s="14">
        <f>+'KY_Res by Plant Acct P16(REG)'!F196</f>
        <v>0</v>
      </c>
      <c r="G198" s="13"/>
      <c r="H198" s="14">
        <f>+'KY_Res by Plant Acct P16(REG)'!H196</f>
        <v>0</v>
      </c>
      <c r="I198" s="13"/>
      <c r="J198" s="14">
        <f>+'KY_Res by Plant Acct P16(REG)'!J196</f>
        <v>0</v>
      </c>
      <c r="K198" s="13"/>
      <c r="L198" s="14">
        <f>+'KY_Res by Plant Acct P16(REG)'!L196</f>
        <v>0</v>
      </c>
      <c r="M198" s="13"/>
      <c r="N198" s="14">
        <f>+'KY_Res by Plant Acct P16(REG)'!N196</f>
        <v>0</v>
      </c>
      <c r="O198" s="13"/>
      <c r="P198" s="14">
        <f>+'KY_Res by Plant Acct P16(REG)'!P196</f>
        <v>0</v>
      </c>
      <c r="Q198" s="13"/>
      <c r="R198" s="14">
        <f t="shared" si="9"/>
        <v>0</v>
      </c>
    </row>
    <row r="199" spans="1:18" outlineLevel="1" x14ac:dyDescent="0.2">
      <c r="A199" s="3" t="s">
        <v>4389</v>
      </c>
      <c r="B199" s="14">
        <f>+'KY_Res by Plant Acct P16(REG)'!B197</f>
        <v>0</v>
      </c>
      <c r="C199" s="13"/>
      <c r="D199" s="14">
        <f>+'KY_Res by Plant Acct P16(REG)'!D197</f>
        <v>0</v>
      </c>
      <c r="E199" s="13"/>
      <c r="F199" s="14">
        <f>+'KY_Res by Plant Acct P16(REG)'!F197</f>
        <v>0</v>
      </c>
      <c r="G199" s="13"/>
      <c r="H199" s="14">
        <f>+'KY_Res by Plant Acct P16(REG)'!H197</f>
        <v>0</v>
      </c>
      <c r="I199" s="13"/>
      <c r="J199" s="14">
        <f>+'KY_Res by Plant Acct P16(REG)'!J197</f>
        <v>0</v>
      </c>
      <c r="K199" s="13"/>
      <c r="L199" s="14">
        <f>+'KY_Res by Plant Acct P16(REG)'!L197</f>
        <v>0</v>
      </c>
      <c r="M199" s="13"/>
      <c r="N199" s="14">
        <f>+'KY_Res by Plant Acct P16(REG)'!N197</f>
        <v>0</v>
      </c>
      <c r="O199" s="13"/>
      <c r="P199" s="14">
        <f>+'KY_Res by Plant Acct P16(REG)'!P197</f>
        <v>0</v>
      </c>
      <c r="Q199" s="13"/>
      <c r="R199" s="14">
        <f t="shared" si="9"/>
        <v>0</v>
      </c>
    </row>
    <row r="200" spans="1:18" outlineLevel="1" x14ac:dyDescent="0.2">
      <c r="A200" s="3" t="s">
        <v>4390</v>
      </c>
      <c r="B200" s="14">
        <f>+'KY_Res by Plant Acct P16(REG)'!B198</f>
        <v>0</v>
      </c>
      <c r="C200" s="13"/>
      <c r="D200" s="14">
        <f>+'KY_Res by Plant Acct P16(REG)'!D198</f>
        <v>0</v>
      </c>
      <c r="E200" s="13"/>
      <c r="F200" s="14">
        <f>+'KY_Res by Plant Acct P16(REG)'!F198</f>
        <v>0</v>
      </c>
      <c r="G200" s="13"/>
      <c r="H200" s="14">
        <f>+'KY_Res by Plant Acct P16(REG)'!H198</f>
        <v>0</v>
      </c>
      <c r="I200" s="13"/>
      <c r="J200" s="14">
        <f>+'KY_Res by Plant Acct P16(REG)'!J198</f>
        <v>0</v>
      </c>
      <c r="K200" s="13"/>
      <c r="L200" s="14">
        <f>+'KY_Res by Plant Acct P16(REG)'!L198</f>
        <v>0</v>
      </c>
      <c r="M200" s="13"/>
      <c r="N200" s="14">
        <f>+'KY_Res by Plant Acct P16(REG)'!N198</f>
        <v>0</v>
      </c>
      <c r="O200" s="13"/>
      <c r="P200" s="14">
        <f>+'KY_Res by Plant Acct P16(REG)'!P198</f>
        <v>0</v>
      </c>
      <c r="Q200" s="13"/>
      <c r="R200" s="14">
        <f t="shared" si="9"/>
        <v>0</v>
      </c>
    </row>
    <row r="201" spans="1:18" outlineLevel="1" x14ac:dyDescent="0.2">
      <c r="A201" s="3" t="s">
        <v>4391</v>
      </c>
      <c r="B201" s="14">
        <f>+'KY_Res by Plant Acct P16(REG)'!B199</f>
        <v>0</v>
      </c>
      <c r="C201" s="13"/>
      <c r="D201" s="14">
        <f>+'KY_Res by Plant Acct P16(REG)'!D199</f>
        <v>0</v>
      </c>
      <c r="E201" s="13"/>
      <c r="F201" s="14">
        <f>+'KY_Res by Plant Acct P16(REG)'!F199</f>
        <v>0</v>
      </c>
      <c r="G201" s="13"/>
      <c r="H201" s="14">
        <f>+'KY_Res by Plant Acct P16(REG)'!H199</f>
        <v>0</v>
      </c>
      <c r="I201" s="13"/>
      <c r="J201" s="14">
        <f>+'KY_Res by Plant Acct P16(REG)'!J199</f>
        <v>0</v>
      </c>
      <c r="K201" s="13"/>
      <c r="L201" s="14">
        <f>+'KY_Res by Plant Acct P16(REG)'!L199</f>
        <v>0</v>
      </c>
      <c r="M201" s="13"/>
      <c r="N201" s="14">
        <f>+'KY_Res by Plant Acct P16(REG)'!N199</f>
        <v>0</v>
      </c>
      <c r="O201" s="13"/>
      <c r="P201" s="14">
        <f>+'KY_Res by Plant Acct P16(REG)'!P199</f>
        <v>0</v>
      </c>
      <c r="Q201" s="13"/>
      <c r="R201" s="14">
        <f t="shared" si="9"/>
        <v>0</v>
      </c>
    </row>
    <row r="202" spans="1:18" x14ac:dyDescent="0.2">
      <c r="A202" s="3" t="s">
        <v>4392</v>
      </c>
      <c r="B202" s="14">
        <f>SUM(B193:B201)</f>
        <v>0</v>
      </c>
      <c r="D202" s="14">
        <f>SUM(D193:D201)</f>
        <v>0</v>
      </c>
      <c r="F202" s="14">
        <f>SUM(F193:F201)</f>
        <v>0</v>
      </c>
      <c r="H202" s="14">
        <f>SUM(H193:H201)</f>
        <v>0</v>
      </c>
      <c r="J202" s="14">
        <f>SUM(J193:J201)</f>
        <v>0</v>
      </c>
      <c r="L202" s="14">
        <f>SUM(L193:L201)</f>
        <v>0</v>
      </c>
      <c r="N202" s="14">
        <f>SUM(N193:N201)</f>
        <v>0</v>
      </c>
      <c r="P202" s="14">
        <f>SUM(P193:P201)</f>
        <v>0</v>
      </c>
      <c r="R202" s="14">
        <f>SUM(R193:R201)</f>
        <v>0</v>
      </c>
    </row>
    <row r="203" spans="1:18" outlineLevel="1" x14ac:dyDescent="0.2">
      <c r="A203" s="3" t="s">
        <v>4016</v>
      </c>
      <c r="B203" s="14">
        <f>+'KY_Res by Plant Acct P16(REG)'!B201</f>
        <v>-40040.050000000003</v>
      </c>
      <c r="C203" s="13"/>
      <c r="D203" s="14">
        <f>+'KY_Res by Plant Acct P16(REG)'!D201</f>
        <v>-94093.5</v>
      </c>
      <c r="E203" s="13"/>
      <c r="F203" s="14">
        <f>+'KY_Res by Plant Acct P16(REG)'!F201</f>
        <v>0</v>
      </c>
      <c r="G203" s="13"/>
      <c r="H203" s="14">
        <f>+'KY_Res by Plant Acct P16(REG)'!H201</f>
        <v>0</v>
      </c>
      <c r="I203" s="13"/>
      <c r="J203" s="14">
        <f>+'KY_Res by Plant Acct P16(REG)'!J201</f>
        <v>0</v>
      </c>
      <c r="K203" s="13"/>
      <c r="L203" s="14">
        <f>+'KY_Res by Plant Acct P16(REG)'!L201</f>
        <v>0</v>
      </c>
      <c r="M203" s="13"/>
      <c r="N203" s="14">
        <f>+'KY_Res by Plant Acct P16(REG)'!N201</f>
        <v>0</v>
      </c>
      <c r="O203" s="13"/>
      <c r="P203" s="14">
        <f>+'KY_Res by Plant Acct P16(REG)'!P201</f>
        <v>0</v>
      </c>
      <c r="Q203" s="13"/>
      <c r="R203" s="14">
        <f t="shared" ref="R203:R218" si="10">SUM(B203:P203)</f>
        <v>-134133.54999999999</v>
      </c>
    </row>
    <row r="204" spans="1:18" outlineLevel="1" x14ac:dyDescent="0.2">
      <c r="A204" s="3" t="s">
        <v>4393</v>
      </c>
      <c r="B204" s="14">
        <f>+'KY_Res by Plant Acct P16(REG)'!B202</f>
        <v>-142087.96000000002</v>
      </c>
      <c r="C204" s="13"/>
      <c r="D204" s="14">
        <f>+'KY_Res by Plant Acct P16(REG)'!D202</f>
        <v>-7676.94</v>
      </c>
      <c r="E204" s="13"/>
      <c r="F204" s="14">
        <f>+'KY_Res by Plant Acct P16(REG)'!F202</f>
        <v>0</v>
      </c>
      <c r="G204" s="13"/>
      <c r="H204" s="14">
        <f>+'KY_Res by Plant Acct P16(REG)'!H202</f>
        <v>0</v>
      </c>
      <c r="I204" s="13"/>
      <c r="J204" s="14">
        <f>+'KY_Res by Plant Acct P16(REG)'!J202</f>
        <v>0</v>
      </c>
      <c r="K204" s="13"/>
      <c r="L204" s="14">
        <f>+'KY_Res by Plant Acct P16(REG)'!L202</f>
        <v>0</v>
      </c>
      <c r="M204" s="13"/>
      <c r="N204" s="14">
        <f>+'KY_Res by Plant Acct P16(REG)'!N202</f>
        <v>0</v>
      </c>
      <c r="O204" s="13"/>
      <c r="P204" s="14">
        <f>+'KY_Res by Plant Acct P16(REG)'!P202</f>
        <v>0</v>
      </c>
      <c r="Q204" s="13"/>
      <c r="R204" s="14">
        <f t="shared" si="10"/>
        <v>-149764.90000000002</v>
      </c>
    </row>
    <row r="205" spans="1:18" outlineLevel="1" x14ac:dyDescent="0.2">
      <c r="A205" s="3" t="s">
        <v>4394</v>
      </c>
      <c r="B205" s="14">
        <f>+'KY_Res by Plant Acct P16(REG)'!B203</f>
        <v>-337223.43000000005</v>
      </c>
      <c r="C205" s="13"/>
      <c r="D205" s="14">
        <f>+'KY_Res by Plant Acct P16(REG)'!D203</f>
        <v>-28903.86</v>
      </c>
      <c r="E205" s="13"/>
      <c r="F205" s="14">
        <f>+'KY_Res by Plant Acct P16(REG)'!F203</f>
        <v>0</v>
      </c>
      <c r="G205" s="13"/>
      <c r="H205" s="14">
        <f>+'KY_Res by Plant Acct P16(REG)'!H203</f>
        <v>0</v>
      </c>
      <c r="I205" s="13"/>
      <c r="J205" s="14">
        <f>+'KY_Res by Plant Acct P16(REG)'!J203</f>
        <v>0</v>
      </c>
      <c r="K205" s="13"/>
      <c r="L205" s="14">
        <f>+'KY_Res by Plant Acct P16(REG)'!L203</f>
        <v>0</v>
      </c>
      <c r="M205" s="13"/>
      <c r="N205" s="14">
        <f>+'KY_Res by Plant Acct P16(REG)'!N203</f>
        <v>0</v>
      </c>
      <c r="O205" s="13"/>
      <c r="P205" s="14">
        <f>+'KY_Res by Plant Acct P16(REG)'!P203</f>
        <v>0</v>
      </c>
      <c r="Q205" s="13"/>
      <c r="R205" s="14">
        <f t="shared" si="10"/>
        <v>-366127.29000000004</v>
      </c>
    </row>
    <row r="206" spans="1:18" outlineLevel="1" x14ac:dyDescent="0.2">
      <c r="A206" s="3" t="s">
        <v>4019</v>
      </c>
      <c r="B206" s="14">
        <f>+'KY_Res by Plant Acct P16(REG)'!B204</f>
        <v>-1150236.3599999999</v>
      </c>
      <c r="C206" s="13"/>
      <c r="D206" s="14">
        <f>+'KY_Res by Plant Acct P16(REG)'!D204</f>
        <v>-83742.44</v>
      </c>
      <c r="E206" s="13"/>
      <c r="F206" s="14">
        <f>+'KY_Res by Plant Acct P16(REG)'!F204</f>
        <v>20882.060000000001</v>
      </c>
      <c r="G206" s="13"/>
      <c r="H206" s="14">
        <f>+'KY_Res by Plant Acct P16(REG)'!H204</f>
        <v>0</v>
      </c>
      <c r="I206" s="13"/>
      <c r="J206" s="14">
        <f>+'KY_Res by Plant Acct P16(REG)'!J204</f>
        <v>0</v>
      </c>
      <c r="K206" s="13"/>
      <c r="L206" s="14">
        <f>+'KY_Res by Plant Acct P16(REG)'!L204</f>
        <v>0</v>
      </c>
      <c r="M206" s="13"/>
      <c r="N206" s="14">
        <f>+'KY_Res by Plant Acct P16(REG)'!N204</f>
        <v>0</v>
      </c>
      <c r="O206" s="13"/>
      <c r="P206" s="14">
        <f>+'KY_Res by Plant Acct P16(REG)'!P204</f>
        <v>0</v>
      </c>
      <c r="Q206" s="13"/>
      <c r="R206" s="14">
        <f t="shared" si="10"/>
        <v>-1213096.7399999998</v>
      </c>
    </row>
    <row r="207" spans="1:18" outlineLevel="1" x14ac:dyDescent="0.2">
      <c r="A207" s="3" t="s">
        <v>4020</v>
      </c>
      <c r="B207" s="14">
        <f>+'KY_Res by Plant Acct P16(REG)'!B205</f>
        <v>-31213.940000000002</v>
      </c>
      <c r="C207" s="13"/>
      <c r="D207" s="14">
        <f>+'KY_Res by Plant Acct P16(REG)'!D205</f>
        <v>-5316.3</v>
      </c>
      <c r="E207" s="13"/>
      <c r="F207" s="14">
        <f>+'KY_Res by Plant Acct P16(REG)'!F205</f>
        <v>0</v>
      </c>
      <c r="G207" s="13"/>
      <c r="H207" s="14">
        <f>+'KY_Res by Plant Acct P16(REG)'!H205</f>
        <v>0</v>
      </c>
      <c r="I207" s="13"/>
      <c r="J207" s="14">
        <f>+'KY_Res by Plant Acct P16(REG)'!J205</f>
        <v>0</v>
      </c>
      <c r="K207" s="13"/>
      <c r="L207" s="14">
        <f>+'KY_Res by Plant Acct P16(REG)'!L205</f>
        <v>0</v>
      </c>
      <c r="M207" s="13"/>
      <c r="N207" s="14">
        <f>+'KY_Res by Plant Acct P16(REG)'!N205</f>
        <v>0</v>
      </c>
      <c r="O207" s="13"/>
      <c r="P207" s="14">
        <f>+'KY_Res by Plant Acct P16(REG)'!P205</f>
        <v>0</v>
      </c>
      <c r="Q207" s="13"/>
      <c r="R207" s="14">
        <f t="shared" si="10"/>
        <v>-36530.240000000005</v>
      </c>
    </row>
    <row r="208" spans="1:18" outlineLevel="1" x14ac:dyDescent="0.2">
      <c r="A208" s="3" t="s">
        <v>4021</v>
      </c>
      <c r="B208" s="14">
        <f>+'KY_Res by Plant Acct P16(REG)'!B206</f>
        <v>-25117.98</v>
      </c>
      <c r="C208" s="13"/>
      <c r="D208" s="14">
        <f>+'KY_Res by Plant Acct P16(REG)'!D206</f>
        <v>-4282.8</v>
      </c>
      <c r="E208" s="13"/>
      <c r="F208" s="14">
        <f>+'KY_Res by Plant Acct P16(REG)'!F206</f>
        <v>0</v>
      </c>
      <c r="G208" s="13"/>
      <c r="H208" s="14">
        <f>+'KY_Res by Plant Acct P16(REG)'!H206</f>
        <v>0</v>
      </c>
      <c r="I208" s="13"/>
      <c r="J208" s="14">
        <f>+'KY_Res by Plant Acct P16(REG)'!J206</f>
        <v>0</v>
      </c>
      <c r="K208" s="13"/>
      <c r="L208" s="14">
        <f>+'KY_Res by Plant Acct P16(REG)'!L206</f>
        <v>0</v>
      </c>
      <c r="M208" s="13"/>
      <c r="N208" s="14">
        <f>+'KY_Res by Plant Acct P16(REG)'!N206</f>
        <v>0</v>
      </c>
      <c r="O208" s="13"/>
      <c r="P208" s="14">
        <f>+'KY_Res by Plant Acct P16(REG)'!P206</f>
        <v>0</v>
      </c>
      <c r="Q208" s="13"/>
      <c r="R208" s="14">
        <f t="shared" si="10"/>
        <v>-29400.78</v>
      </c>
    </row>
    <row r="209" spans="1:18" outlineLevel="1" x14ac:dyDescent="0.2">
      <c r="A209" s="3" t="s">
        <v>4022</v>
      </c>
      <c r="B209" s="14">
        <f>+'KY_Res by Plant Acct P16(REG)'!B207</f>
        <v>-194030.3</v>
      </c>
      <c r="C209" s="13"/>
      <c r="D209" s="14">
        <f>+'KY_Res by Plant Acct P16(REG)'!D207</f>
        <v>-15814.92</v>
      </c>
      <c r="E209" s="13"/>
      <c r="F209" s="14">
        <f>+'KY_Res by Plant Acct P16(REG)'!F207</f>
        <v>0</v>
      </c>
      <c r="G209" s="13"/>
      <c r="H209" s="14">
        <f>+'KY_Res by Plant Acct P16(REG)'!H207</f>
        <v>0</v>
      </c>
      <c r="I209" s="13"/>
      <c r="J209" s="14">
        <f>+'KY_Res by Plant Acct P16(REG)'!J207</f>
        <v>0</v>
      </c>
      <c r="K209" s="13"/>
      <c r="L209" s="14">
        <f>+'KY_Res by Plant Acct P16(REG)'!L207</f>
        <v>0</v>
      </c>
      <c r="M209" s="13"/>
      <c r="N209" s="14">
        <f>+'KY_Res by Plant Acct P16(REG)'!N207</f>
        <v>0</v>
      </c>
      <c r="O209" s="13"/>
      <c r="P209" s="14">
        <f>+'KY_Res by Plant Acct P16(REG)'!P207</f>
        <v>0</v>
      </c>
      <c r="Q209" s="13"/>
      <c r="R209" s="14">
        <f t="shared" si="10"/>
        <v>-209845.22</v>
      </c>
    </row>
    <row r="210" spans="1:18" outlineLevel="1" x14ac:dyDescent="0.2">
      <c r="A210" s="3" t="s">
        <v>4023</v>
      </c>
      <c r="B210" s="14">
        <f>+'KY_Res by Plant Acct P16(REG)'!B208</f>
        <v>-485482.85999999987</v>
      </c>
      <c r="C210" s="13"/>
      <c r="D210" s="14">
        <f>+'KY_Res by Plant Acct P16(REG)'!D208</f>
        <v>-25711.32</v>
      </c>
      <c r="E210" s="13"/>
      <c r="F210" s="14">
        <f>+'KY_Res by Plant Acct P16(REG)'!F208</f>
        <v>0</v>
      </c>
      <c r="G210" s="13"/>
      <c r="H210" s="14">
        <f>+'KY_Res by Plant Acct P16(REG)'!H208</f>
        <v>0</v>
      </c>
      <c r="I210" s="13"/>
      <c r="J210" s="14">
        <f>+'KY_Res by Plant Acct P16(REG)'!J208</f>
        <v>0</v>
      </c>
      <c r="K210" s="13"/>
      <c r="L210" s="14">
        <f>+'KY_Res by Plant Acct P16(REG)'!L208</f>
        <v>0</v>
      </c>
      <c r="M210" s="13"/>
      <c r="N210" s="14">
        <f>+'KY_Res by Plant Acct P16(REG)'!N208</f>
        <v>0</v>
      </c>
      <c r="O210" s="13"/>
      <c r="P210" s="14">
        <f>+'KY_Res by Plant Acct P16(REG)'!P208</f>
        <v>0</v>
      </c>
      <c r="Q210" s="13"/>
      <c r="R210" s="14">
        <f t="shared" si="10"/>
        <v>-511194.17999999988</v>
      </c>
    </row>
    <row r="211" spans="1:18" outlineLevel="1" x14ac:dyDescent="0.2">
      <c r="A211" s="3" t="s">
        <v>4024</v>
      </c>
      <c r="B211" s="14">
        <f>+'KY_Res by Plant Acct P16(REG)'!B209</f>
        <v>-6862.08</v>
      </c>
      <c r="C211" s="13"/>
      <c r="D211" s="14">
        <f>+'KY_Res by Plant Acct P16(REG)'!D209</f>
        <v>-13246.75</v>
      </c>
      <c r="E211" s="13"/>
      <c r="F211" s="14">
        <f>+'KY_Res by Plant Acct P16(REG)'!F209</f>
        <v>0</v>
      </c>
      <c r="G211" s="13"/>
      <c r="H211" s="14">
        <f>+'KY_Res by Plant Acct P16(REG)'!H209</f>
        <v>0</v>
      </c>
      <c r="I211" s="13"/>
      <c r="J211" s="14">
        <f>+'KY_Res by Plant Acct P16(REG)'!J209</f>
        <v>0</v>
      </c>
      <c r="K211" s="13"/>
      <c r="L211" s="14">
        <f>+'KY_Res by Plant Acct P16(REG)'!L209</f>
        <v>0</v>
      </c>
      <c r="M211" s="13"/>
      <c r="N211" s="14">
        <f>+'KY_Res by Plant Acct P16(REG)'!N209</f>
        <v>0</v>
      </c>
      <c r="O211" s="13"/>
      <c r="P211" s="14">
        <f>+'KY_Res by Plant Acct P16(REG)'!P209</f>
        <v>0</v>
      </c>
      <c r="Q211" s="13"/>
      <c r="R211" s="14">
        <f t="shared" si="10"/>
        <v>-20108.830000000002</v>
      </c>
    </row>
    <row r="212" spans="1:18" outlineLevel="1" x14ac:dyDescent="0.2">
      <c r="A212" s="3" t="s">
        <v>4025</v>
      </c>
      <c r="B212" s="14">
        <f>+'KY_Res by Plant Acct P16(REG)'!B210</f>
        <v>-36724.740000000005</v>
      </c>
      <c r="C212" s="13"/>
      <c r="D212" s="14">
        <f>+'KY_Res by Plant Acct P16(REG)'!D210</f>
        <v>-9911.16</v>
      </c>
      <c r="E212" s="13"/>
      <c r="F212" s="14">
        <f>+'KY_Res by Plant Acct P16(REG)'!F210</f>
        <v>0</v>
      </c>
      <c r="G212" s="13"/>
      <c r="H212" s="14">
        <f>+'KY_Res by Plant Acct P16(REG)'!H210</f>
        <v>0</v>
      </c>
      <c r="I212" s="13"/>
      <c r="J212" s="14">
        <f>+'KY_Res by Plant Acct P16(REG)'!J210</f>
        <v>0</v>
      </c>
      <c r="K212" s="13"/>
      <c r="L212" s="14">
        <f>+'KY_Res by Plant Acct P16(REG)'!L210</f>
        <v>0</v>
      </c>
      <c r="M212" s="13"/>
      <c r="N212" s="14">
        <f>+'KY_Res by Plant Acct P16(REG)'!N210</f>
        <v>0</v>
      </c>
      <c r="O212" s="13"/>
      <c r="P212" s="14">
        <f>+'KY_Res by Plant Acct P16(REG)'!P210</f>
        <v>0</v>
      </c>
      <c r="Q212" s="13"/>
      <c r="R212" s="14">
        <f t="shared" si="10"/>
        <v>-46635.900000000009</v>
      </c>
    </row>
    <row r="213" spans="1:18" outlineLevel="1" x14ac:dyDescent="0.2">
      <c r="A213" s="3" t="s">
        <v>4026</v>
      </c>
      <c r="B213" s="14">
        <f>+'KY_Res by Plant Acct P16(REG)'!B211</f>
        <v>-588534.74</v>
      </c>
      <c r="C213" s="13"/>
      <c r="D213" s="14">
        <f>+'KY_Res by Plant Acct P16(REG)'!D211</f>
        <v>-42817.01</v>
      </c>
      <c r="E213" s="13"/>
      <c r="F213" s="14">
        <f>+'KY_Res by Plant Acct P16(REG)'!F211</f>
        <v>6710.88</v>
      </c>
      <c r="G213" s="13"/>
      <c r="H213" s="14">
        <f>+'KY_Res by Plant Acct P16(REG)'!H211</f>
        <v>0</v>
      </c>
      <c r="I213" s="13"/>
      <c r="J213" s="14">
        <f>+'KY_Res by Plant Acct P16(REG)'!J211</f>
        <v>0</v>
      </c>
      <c r="K213" s="13"/>
      <c r="L213" s="14">
        <f>+'KY_Res by Plant Acct P16(REG)'!L211</f>
        <v>0</v>
      </c>
      <c r="M213" s="13"/>
      <c r="N213" s="14">
        <f>+'KY_Res by Plant Acct P16(REG)'!N211</f>
        <v>0</v>
      </c>
      <c r="O213" s="13"/>
      <c r="P213" s="14">
        <f>+'KY_Res by Plant Acct P16(REG)'!P211</f>
        <v>0</v>
      </c>
      <c r="Q213" s="13"/>
      <c r="R213" s="14">
        <f t="shared" si="10"/>
        <v>-624640.87</v>
      </c>
    </row>
    <row r="214" spans="1:18" outlineLevel="1" x14ac:dyDescent="0.2">
      <c r="A214" s="3" t="s">
        <v>4027</v>
      </c>
      <c r="B214" s="14">
        <f>+'KY_Res by Plant Acct P16(REG)'!B212</f>
        <v>-13154.679999999997</v>
      </c>
      <c r="C214" s="13"/>
      <c r="D214" s="14">
        <f>+'KY_Res by Plant Acct P16(REG)'!D212</f>
        <v>-1907.16</v>
      </c>
      <c r="E214" s="13"/>
      <c r="F214" s="14">
        <f>+'KY_Res by Plant Acct P16(REG)'!F212</f>
        <v>0</v>
      </c>
      <c r="G214" s="13"/>
      <c r="H214" s="14">
        <f>+'KY_Res by Plant Acct P16(REG)'!H212</f>
        <v>0</v>
      </c>
      <c r="I214" s="13"/>
      <c r="J214" s="14">
        <f>+'KY_Res by Plant Acct P16(REG)'!J212</f>
        <v>0</v>
      </c>
      <c r="K214" s="13"/>
      <c r="L214" s="14">
        <f>+'KY_Res by Plant Acct P16(REG)'!L212</f>
        <v>0</v>
      </c>
      <c r="M214" s="13"/>
      <c r="N214" s="14">
        <f>+'KY_Res by Plant Acct P16(REG)'!N212</f>
        <v>0</v>
      </c>
      <c r="O214" s="13"/>
      <c r="P214" s="14">
        <f>+'KY_Res by Plant Acct P16(REG)'!P212</f>
        <v>0</v>
      </c>
      <c r="Q214" s="13"/>
      <c r="R214" s="14">
        <f t="shared" si="10"/>
        <v>-15061.839999999997</v>
      </c>
    </row>
    <row r="215" spans="1:18" outlineLevel="1" x14ac:dyDescent="0.2">
      <c r="A215" s="3" t="s">
        <v>4028</v>
      </c>
      <c r="B215" s="14">
        <f>+'KY_Res by Plant Acct P16(REG)'!B213</f>
        <v>-14021.18</v>
      </c>
      <c r="C215" s="13"/>
      <c r="D215" s="14">
        <f>+'KY_Res by Plant Acct P16(REG)'!D213</f>
        <v>-1155.6600000000001</v>
      </c>
      <c r="E215" s="13"/>
      <c r="F215" s="14">
        <f>+'KY_Res by Plant Acct P16(REG)'!F213</f>
        <v>0</v>
      </c>
      <c r="G215" s="13"/>
      <c r="H215" s="14">
        <f>+'KY_Res by Plant Acct P16(REG)'!H213</f>
        <v>0</v>
      </c>
      <c r="I215" s="13"/>
      <c r="J215" s="14">
        <f>+'KY_Res by Plant Acct P16(REG)'!J213</f>
        <v>0</v>
      </c>
      <c r="K215" s="13"/>
      <c r="L215" s="14">
        <f>+'KY_Res by Plant Acct P16(REG)'!L213</f>
        <v>0</v>
      </c>
      <c r="M215" s="13"/>
      <c r="N215" s="14">
        <f>+'KY_Res by Plant Acct P16(REG)'!N213</f>
        <v>0</v>
      </c>
      <c r="O215" s="13"/>
      <c r="P215" s="14">
        <f>+'KY_Res by Plant Acct P16(REG)'!P213</f>
        <v>0</v>
      </c>
      <c r="Q215" s="13"/>
      <c r="R215" s="14">
        <f t="shared" si="10"/>
        <v>-15176.84</v>
      </c>
    </row>
    <row r="216" spans="1:18" outlineLevel="1" x14ac:dyDescent="0.2">
      <c r="A216" s="3" t="s">
        <v>4029</v>
      </c>
      <c r="B216" s="14">
        <f>+'KY_Res by Plant Acct P16(REG)'!B214</f>
        <v>-4004.6400000000003</v>
      </c>
      <c r="C216" s="13"/>
      <c r="D216" s="14">
        <f>+'KY_Res by Plant Acct P16(REG)'!D214</f>
        <v>-344.82</v>
      </c>
      <c r="E216" s="13"/>
      <c r="F216" s="14">
        <f>+'KY_Res by Plant Acct P16(REG)'!F214</f>
        <v>0</v>
      </c>
      <c r="G216" s="13"/>
      <c r="H216" s="14">
        <f>+'KY_Res by Plant Acct P16(REG)'!H214</f>
        <v>0</v>
      </c>
      <c r="I216" s="13"/>
      <c r="J216" s="14">
        <f>+'KY_Res by Plant Acct P16(REG)'!J214</f>
        <v>0</v>
      </c>
      <c r="K216" s="13"/>
      <c r="L216" s="14">
        <f>+'KY_Res by Plant Acct P16(REG)'!L214</f>
        <v>0</v>
      </c>
      <c r="M216" s="13"/>
      <c r="N216" s="14">
        <f>+'KY_Res by Plant Acct P16(REG)'!N214</f>
        <v>0</v>
      </c>
      <c r="O216" s="13"/>
      <c r="P216" s="14">
        <f>+'KY_Res by Plant Acct P16(REG)'!P214</f>
        <v>0</v>
      </c>
      <c r="Q216" s="13"/>
      <c r="R216" s="14">
        <f t="shared" si="10"/>
        <v>-4349.46</v>
      </c>
    </row>
    <row r="217" spans="1:18" outlineLevel="1" x14ac:dyDescent="0.2">
      <c r="A217" s="3" t="s">
        <v>4030</v>
      </c>
      <c r="B217" s="14">
        <f>+'KY_Res by Plant Acct P16(REG)'!B215</f>
        <v>-3991.6500000000005</v>
      </c>
      <c r="C217" s="13"/>
      <c r="D217" s="14">
        <f>+'KY_Res by Plant Acct P16(REG)'!D215</f>
        <v>-343.8</v>
      </c>
      <c r="E217" s="13"/>
      <c r="F217" s="14">
        <f>+'KY_Res by Plant Acct P16(REG)'!F215</f>
        <v>0</v>
      </c>
      <c r="G217" s="13"/>
      <c r="H217" s="14">
        <f>+'KY_Res by Plant Acct P16(REG)'!H215</f>
        <v>0</v>
      </c>
      <c r="I217" s="13"/>
      <c r="J217" s="14">
        <f>+'KY_Res by Plant Acct P16(REG)'!J215</f>
        <v>0</v>
      </c>
      <c r="K217" s="13"/>
      <c r="L217" s="14">
        <f>+'KY_Res by Plant Acct P16(REG)'!L215</f>
        <v>0</v>
      </c>
      <c r="M217" s="13"/>
      <c r="N217" s="14">
        <f>+'KY_Res by Plant Acct P16(REG)'!N215</f>
        <v>0</v>
      </c>
      <c r="O217" s="13"/>
      <c r="P217" s="14">
        <f>+'KY_Res by Plant Acct P16(REG)'!P215</f>
        <v>0</v>
      </c>
      <c r="Q217" s="13"/>
      <c r="R217" s="14">
        <f t="shared" si="10"/>
        <v>-4335.4500000000007</v>
      </c>
    </row>
    <row r="218" spans="1:18" outlineLevel="1" x14ac:dyDescent="0.2">
      <c r="A218" s="3" t="s">
        <v>4031</v>
      </c>
      <c r="B218" s="14">
        <f>+'KY_Res by Plant Acct P16(REG)'!B216</f>
        <v>-4083.54</v>
      </c>
      <c r="C218" s="13"/>
      <c r="D218" s="14">
        <f>+'KY_Res by Plant Acct P16(REG)'!D216</f>
        <v>-354.96</v>
      </c>
      <c r="E218" s="13"/>
      <c r="F218" s="14">
        <f>+'KY_Res by Plant Acct P16(REG)'!F216</f>
        <v>0</v>
      </c>
      <c r="G218" s="13"/>
      <c r="H218" s="14">
        <f>+'KY_Res by Plant Acct P16(REG)'!H216</f>
        <v>0</v>
      </c>
      <c r="I218" s="13"/>
      <c r="J218" s="14">
        <f>+'KY_Res by Plant Acct P16(REG)'!J216</f>
        <v>0</v>
      </c>
      <c r="K218" s="13"/>
      <c r="L218" s="14">
        <f>+'KY_Res by Plant Acct P16(REG)'!L216</f>
        <v>0</v>
      </c>
      <c r="M218" s="13"/>
      <c r="N218" s="14">
        <f>+'KY_Res by Plant Acct P16(REG)'!N216</f>
        <v>0</v>
      </c>
      <c r="O218" s="13"/>
      <c r="P218" s="14">
        <f>+'KY_Res by Plant Acct P16(REG)'!P216</f>
        <v>0</v>
      </c>
      <c r="Q218" s="13"/>
      <c r="R218" s="14">
        <f t="shared" si="10"/>
        <v>-4438.5</v>
      </c>
    </row>
    <row r="219" spans="1:18" x14ac:dyDescent="0.2">
      <c r="A219" s="3" t="s">
        <v>4032</v>
      </c>
      <c r="B219" s="14">
        <f>SUM(B203:B218)</f>
        <v>-3076810.1300000008</v>
      </c>
      <c r="C219" s="13"/>
      <c r="D219" s="14">
        <f>SUM(D203:D218)</f>
        <v>-335623.39999999991</v>
      </c>
      <c r="E219" s="13"/>
      <c r="F219" s="14">
        <f>SUM(F203:F218)</f>
        <v>27592.940000000002</v>
      </c>
      <c r="G219" s="13"/>
      <c r="H219" s="14">
        <f>SUM(H203:H218)</f>
        <v>0</v>
      </c>
      <c r="I219" s="13"/>
      <c r="J219" s="14">
        <f>SUM(J203:J218)</f>
        <v>0</v>
      </c>
      <c r="K219" s="13"/>
      <c r="L219" s="14">
        <f>SUM(L203:L218)</f>
        <v>0</v>
      </c>
      <c r="M219" s="13"/>
      <c r="N219" s="14">
        <f>SUM(N203:N218)</f>
        <v>0</v>
      </c>
      <c r="O219" s="13"/>
      <c r="P219" s="14">
        <f>SUM(P203:P218)</f>
        <v>0</v>
      </c>
      <c r="Q219" s="13"/>
      <c r="R219" s="14">
        <f>SUM(R203:R218)</f>
        <v>-3384840.5899999994</v>
      </c>
    </row>
    <row r="220" spans="1:18" x14ac:dyDescent="0.2">
      <c r="A220" s="3" t="s">
        <v>4033</v>
      </c>
      <c r="B220" s="16">
        <f>+'KY_Res by Plant Acct P16(REG)'!B218</f>
        <v>-32972.980000000003</v>
      </c>
      <c r="C220" s="13"/>
      <c r="D220" s="16">
        <f>+'KY_Res by Plant Acct P16(REG)'!D218</f>
        <v>-20404.599999999999</v>
      </c>
      <c r="E220" s="13"/>
      <c r="F220" s="16">
        <f>+'KY_Res by Plant Acct P16(REG)'!F218</f>
        <v>0</v>
      </c>
      <c r="G220" s="13"/>
      <c r="H220" s="16">
        <f>+'KY_Res by Plant Acct P16(REG)'!H218</f>
        <v>0</v>
      </c>
      <c r="I220" s="13"/>
      <c r="J220" s="16">
        <f>+'KY_Res by Plant Acct P16(REG)'!J218</f>
        <v>0</v>
      </c>
      <c r="K220" s="13"/>
      <c r="L220" s="16">
        <f>+'KY_Res by Plant Acct P16(REG)'!L218</f>
        <v>0</v>
      </c>
      <c r="M220" s="13"/>
      <c r="N220" s="16">
        <f>+'KY_Res by Plant Acct P16(REG)'!N218</f>
        <v>0</v>
      </c>
      <c r="O220" s="13"/>
      <c r="P220" s="16">
        <f>+'KY_Res by Plant Acct P16(REG)'!P218</f>
        <v>0</v>
      </c>
      <c r="Q220" s="13"/>
      <c r="R220" s="16">
        <f>SUM(B220:P220)</f>
        <v>-53377.58</v>
      </c>
    </row>
    <row r="221" spans="1:18" x14ac:dyDescent="0.2">
      <c r="A221" s="3" t="s">
        <v>4034</v>
      </c>
      <c r="B221" s="17">
        <f>B220+B219+B192+B174+B156+B140+B139+B118+B100+B98+B97+B202</f>
        <v>-282040618.33999997</v>
      </c>
      <c r="C221" s="13"/>
      <c r="D221" s="17">
        <f>D220+D219+D192+D174+D156+D140+D139+D118+D100+D98+D97+D202</f>
        <v>-37977685.729999997</v>
      </c>
      <c r="E221" s="13"/>
      <c r="F221" s="17">
        <f>F220+F219+F192+F174+F156+F140+F139+F118+F100+F98+F97+F202</f>
        <v>3080794.9599999995</v>
      </c>
      <c r="G221" s="13"/>
      <c r="H221" s="17">
        <f>H220+H219+H192+H174+H156+H140+H139+H118+H100+H98+H97+H202</f>
        <v>0</v>
      </c>
      <c r="I221" s="13"/>
      <c r="J221" s="17">
        <f>J220+J219+J192+J174+J156+J140+J139+J118+J100+J98+J97+J202</f>
        <v>0</v>
      </c>
      <c r="K221" s="13"/>
      <c r="L221" s="17">
        <f>L220+L219+L192+L174+L156+L140+L139+L118+L100+L98+L97+L202</f>
        <v>411258.45</v>
      </c>
      <c r="M221" s="13"/>
      <c r="N221" s="17">
        <f>N220+N219+N192+N174+N156+N140+N139+N118+N100+N98+N97+N202</f>
        <v>0</v>
      </c>
      <c r="O221" s="13"/>
      <c r="P221" s="17">
        <f>P220+P219+P192+P174+P156+P140+P139+P118+P100+P98+P97+P202</f>
        <v>0</v>
      </c>
      <c r="Q221" s="13"/>
      <c r="R221" s="17">
        <f>R220+R219+R192+R174+R156+R140+R139+R118+R100+R98+R97+R202</f>
        <v>-316526250.66000003</v>
      </c>
    </row>
    <row r="222" spans="1:18" x14ac:dyDescent="0.2">
      <c r="C222" s="13"/>
      <c r="E222" s="13"/>
      <c r="G222" s="13"/>
      <c r="I222" s="13"/>
      <c r="K222" s="13"/>
      <c r="M222" s="13"/>
      <c r="O222" s="13"/>
      <c r="Q222" s="13"/>
    </row>
    <row r="223" spans="1:18" x14ac:dyDescent="0.2">
      <c r="A223" s="12" t="s">
        <v>17</v>
      </c>
      <c r="C223" s="13"/>
      <c r="E223" s="13"/>
      <c r="G223" s="13"/>
      <c r="I223" s="13"/>
      <c r="K223" s="13"/>
      <c r="M223" s="13"/>
      <c r="O223" s="13"/>
      <c r="Q223" s="13"/>
    </row>
    <row r="224" spans="1:18" outlineLevel="1" x14ac:dyDescent="0.2">
      <c r="A224" s="3" t="s">
        <v>4035</v>
      </c>
      <c r="B224" s="14">
        <f>+'KY_Res by Plant Acct P16(REG)'!B222</f>
        <v>0</v>
      </c>
      <c r="C224" s="13"/>
      <c r="D224" s="14">
        <f>+'KY_Res by Plant Acct P16(REG)'!D222</f>
        <v>0</v>
      </c>
      <c r="E224" s="13"/>
      <c r="F224" s="14">
        <f>+'KY_Res by Plant Acct P16(REG)'!F222</f>
        <v>0</v>
      </c>
      <c r="G224" s="13"/>
      <c r="H224" s="14">
        <f>+'KY_Res by Plant Acct P16(REG)'!H222</f>
        <v>0</v>
      </c>
      <c r="I224" s="13"/>
      <c r="J224" s="14">
        <f>+'KY_Res by Plant Acct P16(REG)'!J222</f>
        <v>0</v>
      </c>
      <c r="K224" s="13"/>
      <c r="L224" s="14">
        <f>+'KY_Res by Plant Acct P16(REG)'!L222</f>
        <v>0</v>
      </c>
      <c r="M224" s="13"/>
      <c r="N224" s="14">
        <f>+'KY_Res by Plant Acct P16(REG)'!N222</f>
        <v>0</v>
      </c>
      <c r="O224" s="13"/>
      <c r="P224" s="14">
        <f>+'KY_Res by Plant Acct P16(REG)'!P222</f>
        <v>0</v>
      </c>
      <c r="Q224" s="13"/>
      <c r="R224" s="14">
        <f t="shared" ref="R224:R231" si="11">SUM(B224:P224)</f>
        <v>0</v>
      </c>
    </row>
    <row r="225" spans="1:20" outlineLevel="1" x14ac:dyDescent="0.2">
      <c r="A225" s="3" t="s">
        <v>4036</v>
      </c>
      <c r="B225" s="14">
        <f>+'KY_Res by Plant Acct P16(REG)'!B223</f>
        <v>0</v>
      </c>
      <c r="C225" s="13"/>
      <c r="D225" s="14">
        <f>+'KY_Res by Plant Acct P16(REG)'!D223</f>
        <v>0</v>
      </c>
      <c r="E225" s="13"/>
      <c r="F225" s="14">
        <f>+'KY_Res by Plant Acct P16(REG)'!F223</f>
        <v>0</v>
      </c>
      <c r="G225" s="13"/>
      <c r="H225" s="14">
        <f>+'KY_Res by Plant Acct P16(REG)'!H223</f>
        <v>0</v>
      </c>
      <c r="I225" s="13"/>
      <c r="J225" s="14">
        <f>+'KY_Res by Plant Acct P16(REG)'!J223</f>
        <v>0</v>
      </c>
      <c r="K225" s="13"/>
      <c r="L225" s="14">
        <f>+'KY_Res by Plant Acct P16(REG)'!L223</f>
        <v>0</v>
      </c>
      <c r="M225" s="13"/>
      <c r="N225" s="14">
        <f>+'KY_Res by Plant Acct P16(REG)'!N223</f>
        <v>0</v>
      </c>
      <c r="O225" s="13"/>
      <c r="P225" s="14">
        <f>+'KY_Res by Plant Acct P16(REG)'!P223</f>
        <v>0</v>
      </c>
      <c r="Q225" s="13"/>
      <c r="R225" s="14">
        <f t="shared" si="11"/>
        <v>0</v>
      </c>
    </row>
    <row r="226" spans="1:20" outlineLevel="1" x14ac:dyDescent="0.2">
      <c r="A226" s="3" t="s">
        <v>4037</v>
      </c>
      <c r="B226" s="14">
        <f>+'KY_Res by Plant Acct P16(REG)'!B224</f>
        <v>0</v>
      </c>
      <c r="C226" s="13"/>
      <c r="D226" s="14">
        <f>+'KY_Res by Plant Acct P16(REG)'!D224</f>
        <v>0</v>
      </c>
      <c r="E226" s="13"/>
      <c r="F226" s="14">
        <f>+'KY_Res by Plant Acct P16(REG)'!F224</f>
        <v>0</v>
      </c>
      <c r="G226" s="13"/>
      <c r="H226" s="14">
        <f>+'KY_Res by Plant Acct P16(REG)'!H224</f>
        <v>0</v>
      </c>
      <c r="I226" s="13"/>
      <c r="J226" s="14">
        <f>+'KY_Res by Plant Acct P16(REG)'!J224</f>
        <v>0</v>
      </c>
      <c r="K226" s="13"/>
      <c r="L226" s="14">
        <f>+'KY_Res by Plant Acct P16(REG)'!L224</f>
        <v>0</v>
      </c>
      <c r="M226" s="13"/>
      <c r="N226" s="14">
        <f>+'KY_Res by Plant Acct P16(REG)'!N224</f>
        <v>0</v>
      </c>
      <c r="O226" s="13"/>
      <c r="P226" s="14">
        <f>+'KY_Res by Plant Acct P16(REG)'!P224</f>
        <v>0</v>
      </c>
      <c r="Q226" s="13"/>
      <c r="R226" s="14">
        <f t="shared" si="11"/>
        <v>0</v>
      </c>
    </row>
    <row r="227" spans="1:20" outlineLevel="1" x14ac:dyDescent="0.2">
      <c r="A227" s="43" t="s">
        <v>4038</v>
      </c>
      <c r="B227" s="14">
        <f>+'KY_Res by Plant Acct P16(REG)'!B225</f>
        <v>0</v>
      </c>
      <c r="C227" s="13"/>
      <c r="D227" s="14">
        <f>+'KY_Res by Plant Acct P16(REG)'!D225</f>
        <v>0</v>
      </c>
      <c r="E227" s="13"/>
      <c r="F227" s="14">
        <f>+'KY_Res by Plant Acct P16(REG)'!F225</f>
        <v>0</v>
      </c>
      <c r="G227" s="13"/>
      <c r="H227" s="14">
        <f>+'KY_Res by Plant Acct P16(REG)'!H225</f>
        <v>0</v>
      </c>
      <c r="I227" s="13"/>
      <c r="J227" s="14">
        <f>+'KY_Res by Plant Acct P16(REG)'!J225</f>
        <v>0</v>
      </c>
      <c r="K227" s="13"/>
      <c r="L227" s="14">
        <f>+'KY_Res by Plant Acct P16(REG)'!L225</f>
        <v>0</v>
      </c>
      <c r="M227" s="13"/>
      <c r="N227" s="14">
        <f>+'KY_Res by Plant Acct P16(REG)'!N225</f>
        <v>0</v>
      </c>
      <c r="O227" s="13"/>
      <c r="P227" s="14">
        <f>+'KY_Res by Plant Acct P16(REG)'!P225</f>
        <v>0</v>
      </c>
      <c r="Q227" s="13"/>
      <c r="R227" s="14">
        <f>SUM(B227:P227)</f>
        <v>0</v>
      </c>
    </row>
    <row r="228" spans="1:20" outlineLevel="1" x14ac:dyDescent="0.2">
      <c r="A228" s="3" t="s">
        <v>4039</v>
      </c>
      <c r="B228" s="14">
        <f>+'KY_Res by Plant Acct P16(REG)'!B226</f>
        <v>0</v>
      </c>
      <c r="C228" s="13"/>
      <c r="D228" s="14">
        <f>+'KY_Res by Plant Acct P16(REG)'!D226</f>
        <v>0</v>
      </c>
      <c r="E228" s="13"/>
      <c r="F228" s="14">
        <f>+'KY_Res by Plant Acct P16(REG)'!F226</f>
        <v>0</v>
      </c>
      <c r="G228" s="13"/>
      <c r="H228" s="14">
        <f>+'KY_Res by Plant Acct P16(REG)'!H226</f>
        <v>0</v>
      </c>
      <c r="I228" s="13"/>
      <c r="J228" s="14">
        <f>+'KY_Res by Plant Acct P16(REG)'!J226</f>
        <v>0</v>
      </c>
      <c r="K228" s="13"/>
      <c r="L228" s="14">
        <f>+'KY_Res by Plant Acct P16(REG)'!L226</f>
        <v>0</v>
      </c>
      <c r="M228" s="13"/>
      <c r="N228" s="14">
        <f>+'KY_Res by Plant Acct P16(REG)'!N226</f>
        <v>0</v>
      </c>
      <c r="O228" s="13"/>
      <c r="P228" s="14">
        <f>+'KY_Res by Plant Acct P16(REG)'!P226</f>
        <v>0</v>
      </c>
      <c r="Q228" s="13"/>
      <c r="R228" s="14">
        <f t="shared" si="11"/>
        <v>0</v>
      </c>
    </row>
    <row r="229" spans="1:20" outlineLevel="1" x14ac:dyDescent="0.2">
      <c r="A229" s="3" t="s">
        <v>4040</v>
      </c>
      <c r="B229" s="14">
        <f>+'KY_Res by Plant Acct P16(REG)'!B227</f>
        <v>0</v>
      </c>
      <c r="C229" s="13"/>
      <c r="D229" s="14">
        <f>+'KY_Res by Plant Acct P16(REG)'!D227</f>
        <v>0</v>
      </c>
      <c r="E229" s="13"/>
      <c r="F229" s="14">
        <f>+'KY_Res by Plant Acct P16(REG)'!F227</f>
        <v>0</v>
      </c>
      <c r="G229" s="13"/>
      <c r="H229" s="14">
        <f>+'KY_Res by Plant Acct P16(REG)'!H227</f>
        <v>0</v>
      </c>
      <c r="I229" s="13"/>
      <c r="J229" s="14">
        <f>+'KY_Res by Plant Acct P16(REG)'!J227</f>
        <v>0</v>
      </c>
      <c r="K229" s="13"/>
      <c r="L229" s="14">
        <f>+'KY_Res by Plant Acct P16(REG)'!L227</f>
        <v>0</v>
      </c>
      <c r="M229" s="13"/>
      <c r="N229" s="14">
        <f>+'KY_Res by Plant Acct P16(REG)'!N227</f>
        <v>0</v>
      </c>
      <c r="O229" s="13"/>
      <c r="P229" s="14">
        <f>+'KY_Res by Plant Acct P16(REG)'!P227</f>
        <v>0</v>
      </c>
      <c r="Q229" s="13"/>
      <c r="R229" s="14">
        <f t="shared" si="11"/>
        <v>0</v>
      </c>
    </row>
    <row r="230" spans="1:20" outlineLevel="1" x14ac:dyDescent="0.2">
      <c r="A230" s="3" t="s">
        <v>4041</v>
      </c>
      <c r="B230" s="14">
        <f>+'KY_Res by Plant Acct P16(REG)'!B228</f>
        <v>0</v>
      </c>
      <c r="C230" s="13"/>
      <c r="D230" s="14">
        <f>+'KY_Res by Plant Acct P16(REG)'!D228</f>
        <v>0</v>
      </c>
      <c r="E230" s="13"/>
      <c r="F230" s="14">
        <f>+'KY_Res by Plant Acct P16(REG)'!F228</f>
        <v>0</v>
      </c>
      <c r="G230" s="13"/>
      <c r="H230" s="14">
        <f>+'KY_Res by Plant Acct P16(REG)'!H228</f>
        <v>0</v>
      </c>
      <c r="I230" s="13"/>
      <c r="J230" s="14">
        <f>+'KY_Res by Plant Acct P16(REG)'!J228</f>
        <v>0</v>
      </c>
      <c r="K230" s="13"/>
      <c r="L230" s="14">
        <f>+'KY_Res by Plant Acct P16(REG)'!L228</f>
        <v>0</v>
      </c>
      <c r="M230" s="13"/>
      <c r="N230" s="14">
        <f>+'KY_Res by Plant Acct P16(REG)'!N228</f>
        <v>0</v>
      </c>
      <c r="O230" s="13"/>
      <c r="P230" s="14">
        <f>+'KY_Res by Plant Acct P16(REG)'!P228</f>
        <v>0</v>
      </c>
      <c r="Q230" s="13"/>
      <c r="R230" s="14">
        <f t="shared" si="11"/>
        <v>0</v>
      </c>
    </row>
    <row r="231" spans="1:20" outlineLevel="1" x14ac:dyDescent="0.2">
      <c r="A231" s="3" t="s">
        <v>4043</v>
      </c>
      <c r="B231" s="14">
        <f>+'KY_Res by Plant Acct P16(REG)'!B230</f>
        <v>0</v>
      </c>
      <c r="C231" s="13"/>
      <c r="D231" s="14">
        <f>+'KY_Res by Plant Acct P16(REG)'!D230</f>
        <v>0</v>
      </c>
      <c r="E231" s="13"/>
      <c r="F231" s="14">
        <f>+'KY_Res by Plant Acct P16(REG)'!F230</f>
        <v>0</v>
      </c>
      <c r="G231" s="13"/>
      <c r="H231" s="14">
        <f>+'KY_Res by Plant Acct P16(REG)'!H230</f>
        <v>0</v>
      </c>
      <c r="I231" s="13"/>
      <c r="J231" s="14">
        <f>+'KY_Res by Plant Acct P16(REG)'!J230</f>
        <v>0</v>
      </c>
      <c r="K231" s="13"/>
      <c r="L231" s="14">
        <f>+'KY_Res by Plant Acct P16(REG)'!L230</f>
        <v>0</v>
      </c>
      <c r="M231" s="13"/>
      <c r="N231" s="14">
        <f>+'KY_Res by Plant Acct P16(REG)'!N230</f>
        <v>0</v>
      </c>
      <c r="O231" s="13"/>
      <c r="P231" s="14">
        <f>+'KY_Res by Plant Acct P16(REG)'!P230</f>
        <v>0</v>
      </c>
      <c r="Q231" s="13"/>
      <c r="R231" s="14">
        <f t="shared" si="11"/>
        <v>0</v>
      </c>
    </row>
    <row r="232" spans="1:20" x14ac:dyDescent="0.2">
      <c r="A232" s="3" t="s">
        <v>4044</v>
      </c>
      <c r="B232" s="14">
        <f>SUM(B224:B231)</f>
        <v>0</v>
      </c>
      <c r="C232" s="13"/>
      <c r="D232" s="14">
        <f>SUM(D224:D231)</f>
        <v>0</v>
      </c>
      <c r="E232" s="13"/>
      <c r="F232" s="14">
        <f>SUM(F224:F231)</f>
        <v>0</v>
      </c>
      <c r="G232" s="13"/>
      <c r="H232" s="14">
        <f>SUM(H224:H231)</f>
        <v>0</v>
      </c>
      <c r="I232" s="13"/>
      <c r="J232" s="14">
        <f>SUM(J224:J231)</f>
        <v>0</v>
      </c>
      <c r="K232" s="13"/>
      <c r="L232" s="14">
        <f>SUM(L224:L231)</f>
        <v>0</v>
      </c>
      <c r="M232" s="13"/>
      <c r="N232" s="14">
        <f>SUM(N224:N231)</f>
        <v>0</v>
      </c>
      <c r="O232" s="13"/>
      <c r="P232" s="14">
        <f>SUM(P224:P231)</f>
        <v>0</v>
      </c>
      <c r="Q232" s="13"/>
      <c r="R232" s="14">
        <f>SUM(R224:R231)</f>
        <v>0</v>
      </c>
      <c r="T232" s="13"/>
    </row>
    <row r="233" spans="1:20" outlineLevel="1" x14ac:dyDescent="0.2">
      <c r="A233" s="3" t="s">
        <v>4045</v>
      </c>
      <c r="B233" s="14">
        <f>+'KY_Res by Plant Acct P16(REG)'!B232</f>
        <v>-4847707.379999999</v>
      </c>
      <c r="C233" s="13"/>
      <c r="D233" s="14">
        <f>+'KY_Res by Plant Acct P16(REG)'!D232</f>
        <v>-2104.6799999999998</v>
      </c>
      <c r="E233" s="13"/>
      <c r="F233" s="14">
        <f>+'KY_Res by Plant Acct P16(REG)'!F232</f>
        <v>0</v>
      </c>
      <c r="G233" s="13"/>
      <c r="H233" s="14">
        <f>+'KY_Res by Plant Acct P16(REG)'!H232</f>
        <v>0</v>
      </c>
      <c r="I233" s="13"/>
      <c r="J233" s="14">
        <f>+'KY_Res by Plant Acct P16(REG)'!J232</f>
        <v>0</v>
      </c>
      <c r="K233" s="13"/>
      <c r="L233" s="14">
        <f>+'KY_Res by Plant Acct P16(REG)'!L232</f>
        <v>0</v>
      </c>
      <c r="M233" s="13"/>
      <c r="N233" s="14">
        <f>+'KY_Res by Plant Acct P16(REG)'!N232</f>
        <v>0</v>
      </c>
      <c r="O233" s="13"/>
      <c r="P233" s="14">
        <f>+'KY_Res by Plant Acct P16(REG)'!P232</f>
        <v>0</v>
      </c>
      <c r="Q233" s="13"/>
      <c r="R233" s="14">
        <f t="shared" ref="R233:R266" si="12">SUM(B233:P233)</f>
        <v>-4849812.0599999987</v>
      </c>
    </row>
    <row r="234" spans="1:20" outlineLevel="1" x14ac:dyDescent="0.2">
      <c r="A234" s="3" t="s">
        <v>4046</v>
      </c>
      <c r="B234" s="14">
        <f>+'KY_Res by Plant Acct P16(REG)'!B233</f>
        <v>-2022225.9800000002</v>
      </c>
      <c r="C234" s="13"/>
      <c r="D234" s="14">
        <f>+'KY_Res by Plant Acct P16(REG)'!D233</f>
        <v>-14551.32</v>
      </c>
      <c r="E234" s="13"/>
      <c r="F234" s="14">
        <f>+'KY_Res by Plant Acct P16(REG)'!F233</f>
        <v>0</v>
      </c>
      <c r="G234" s="13"/>
      <c r="H234" s="14">
        <f>+'KY_Res by Plant Acct P16(REG)'!H233</f>
        <v>0</v>
      </c>
      <c r="I234" s="13"/>
      <c r="J234" s="14">
        <f>+'KY_Res by Plant Acct P16(REG)'!J233</f>
        <v>0</v>
      </c>
      <c r="K234" s="13"/>
      <c r="L234" s="14">
        <f>+'KY_Res by Plant Acct P16(REG)'!L233</f>
        <v>0</v>
      </c>
      <c r="M234" s="13"/>
      <c r="N234" s="14">
        <f>+'KY_Res by Plant Acct P16(REG)'!N233</f>
        <v>0</v>
      </c>
      <c r="O234" s="13"/>
      <c r="P234" s="14">
        <f>+'KY_Res by Plant Acct P16(REG)'!P233</f>
        <v>0</v>
      </c>
      <c r="Q234" s="13"/>
      <c r="R234" s="14">
        <f t="shared" si="12"/>
        <v>-2036777.3000000003</v>
      </c>
    </row>
    <row r="235" spans="1:20" outlineLevel="1" x14ac:dyDescent="0.2">
      <c r="A235" s="3" t="s">
        <v>4047</v>
      </c>
      <c r="B235" s="14">
        <f>+'KY_Res by Plant Acct P16(REG)'!B234</f>
        <v>-14416507.200000001</v>
      </c>
      <c r="C235" s="13"/>
      <c r="D235" s="14">
        <f>+'KY_Res by Plant Acct P16(REG)'!D234</f>
        <v>-396498.06</v>
      </c>
      <c r="E235" s="13"/>
      <c r="F235" s="14">
        <f>+'KY_Res by Plant Acct P16(REG)'!F234</f>
        <v>32379.599999999999</v>
      </c>
      <c r="G235" s="13"/>
      <c r="H235" s="14">
        <f>+'KY_Res by Plant Acct P16(REG)'!H234</f>
        <v>0</v>
      </c>
      <c r="I235" s="13"/>
      <c r="J235" s="14">
        <f>+'KY_Res by Plant Acct P16(REG)'!J234</f>
        <v>0</v>
      </c>
      <c r="K235" s="13"/>
      <c r="L235" s="14">
        <f>+'KY_Res by Plant Acct P16(REG)'!L234</f>
        <v>6533.84</v>
      </c>
      <c r="M235" s="13"/>
      <c r="N235" s="14">
        <f>+'KY_Res by Plant Acct P16(REG)'!N234</f>
        <v>0</v>
      </c>
      <c r="O235" s="13"/>
      <c r="P235" s="14">
        <f>+'KY_Res by Plant Acct P16(REG)'!P234</f>
        <v>0</v>
      </c>
      <c r="Q235" s="13"/>
      <c r="R235" s="14">
        <f t="shared" si="12"/>
        <v>-14774091.820000002</v>
      </c>
    </row>
    <row r="236" spans="1:20" outlineLevel="1" x14ac:dyDescent="0.2">
      <c r="A236" s="3" t="s">
        <v>4048</v>
      </c>
      <c r="B236" s="14">
        <f>+'KY_Res by Plant Acct P16(REG)'!B235</f>
        <v>0</v>
      </c>
      <c r="C236" s="13"/>
      <c r="D236" s="14">
        <f>+'KY_Res by Plant Acct P16(REG)'!D235</f>
        <v>0</v>
      </c>
      <c r="E236" s="13"/>
      <c r="F236" s="14">
        <f>+'KY_Res by Plant Acct P16(REG)'!F235</f>
        <v>0</v>
      </c>
      <c r="G236" s="13"/>
      <c r="H236" s="14">
        <f>+'KY_Res by Plant Acct P16(REG)'!H235</f>
        <v>0</v>
      </c>
      <c r="I236" s="13"/>
      <c r="J236" s="14">
        <f>+'KY_Res by Plant Acct P16(REG)'!J235</f>
        <v>0</v>
      </c>
      <c r="K236" s="13"/>
      <c r="L236" s="14">
        <f>+'KY_Res by Plant Acct P16(REG)'!L235</f>
        <v>0</v>
      </c>
      <c r="M236" s="13"/>
      <c r="N236" s="14">
        <f>+'KY_Res by Plant Acct P16(REG)'!N235</f>
        <v>0</v>
      </c>
      <c r="O236" s="13"/>
      <c r="P236" s="14">
        <f>+'KY_Res by Plant Acct P16(REG)'!P235</f>
        <v>0</v>
      </c>
      <c r="Q236" s="13"/>
      <c r="R236" s="14">
        <f t="shared" si="12"/>
        <v>0</v>
      </c>
    </row>
    <row r="237" spans="1:20" outlineLevel="1" x14ac:dyDescent="0.2">
      <c r="A237" s="3" t="s">
        <v>4049</v>
      </c>
      <c r="B237" s="14">
        <f>+'KY_Res by Plant Acct P16(REG)'!B236</f>
        <v>-3097.1699999999996</v>
      </c>
      <c r="C237" s="13"/>
      <c r="D237" s="14">
        <f>+'KY_Res by Plant Acct P16(REG)'!D236</f>
        <v>-799.68</v>
      </c>
      <c r="E237" s="13"/>
      <c r="F237" s="14">
        <f>+'KY_Res by Plant Acct P16(REG)'!F236</f>
        <v>0</v>
      </c>
      <c r="G237" s="13"/>
      <c r="H237" s="14">
        <f>+'KY_Res by Plant Acct P16(REG)'!H236</f>
        <v>0</v>
      </c>
      <c r="I237" s="13"/>
      <c r="J237" s="14">
        <f>+'KY_Res by Plant Acct P16(REG)'!J236</f>
        <v>0</v>
      </c>
      <c r="K237" s="13"/>
      <c r="L237" s="14">
        <f>+'KY_Res by Plant Acct P16(REG)'!L236</f>
        <v>0</v>
      </c>
      <c r="M237" s="13"/>
      <c r="N237" s="14">
        <f>+'KY_Res by Plant Acct P16(REG)'!N236</f>
        <v>0</v>
      </c>
      <c r="O237" s="13"/>
      <c r="P237" s="14">
        <f>+'KY_Res by Plant Acct P16(REG)'!P236</f>
        <v>0</v>
      </c>
      <c r="Q237" s="13"/>
      <c r="R237" s="14">
        <f t="shared" si="12"/>
        <v>-3896.8499999999995</v>
      </c>
    </row>
    <row r="238" spans="1:20" outlineLevel="1" x14ac:dyDescent="0.2">
      <c r="A238" s="3" t="s">
        <v>4050</v>
      </c>
      <c r="B238" s="14">
        <f>+'KY_Res by Plant Acct P16(REG)'!B237</f>
        <v>0</v>
      </c>
      <c r="C238" s="13"/>
      <c r="D238" s="14">
        <f>+'KY_Res by Plant Acct P16(REG)'!D237</f>
        <v>-32284.57</v>
      </c>
      <c r="E238" s="13"/>
      <c r="F238" s="14">
        <f>+'KY_Res by Plant Acct P16(REG)'!F237</f>
        <v>0</v>
      </c>
      <c r="G238" s="13"/>
      <c r="H238" s="14">
        <f>+'KY_Res by Plant Acct P16(REG)'!H237</f>
        <v>0</v>
      </c>
      <c r="I238" s="13"/>
      <c r="J238" s="14">
        <f>+'KY_Res by Plant Acct P16(REG)'!J237</f>
        <v>0</v>
      </c>
      <c r="K238" s="13"/>
      <c r="L238" s="14">
        <f>+'KY_Res by Plant Acct P16(REG)'!L237</f>
        <v>0</v>
      </c>
      <c r="M238" s="13"/>
      <c r="N238" s="14">
        <f>+'KY_Res by Plant Acct P16(REG)'!N237</f>
        <v>0</v>
      </c>
      <c r="O238" s="13"/>
      <c r="P238" s="14">
        <f>+'KY_Res by Plant Acct P16(REG)'!P237</f>
        <v>0</v>
      </c>
      <c r="Q238" s="13"/>
      <c r="R238" s="14">
        <f t="shared" si="12"/>
        <v>-32284.57</v>
      </c>
    </row>
    <row r="239" spans="1:20" outlineLevel="1" x14ac:dyDescent="0.2">
      <c r="A239" s="3" t="s">
        <v>4051</v>
      </c>
      <c r="B239" s="14">
        <f>+'KY_Res by Plant Acct P16(REG)'!B238</f>
        <v>-10594283.159999998</v>
      </c>
      <c r="C239" s="13"/>
      <c r="D239" s="14">
        <f>+'KY_Res by Plant Acct P16(REG)'!D238</f>
        <v>-2067174.9</v>
      </c>
      <c r="E239" s="13"/>
      <c r="F239" s="14">
        <f>+'KY_Res by Plant Acct P16(REG)'!F238</f>
        <v>0</v>
      </c>
      <c r="G239" s="13"/>
      <c r="H239" s="14">
        <f>+'KY_Res by Plant Acct P16(REG)'!H238</f>
        <v>0</v>
      </c>
      <c r="I239" s="13"/>
      <c r="J239" s="14">
        <f>+'KY_Res by Plant Acct P16(REG)'!J238</f>
        <v>0</v>
      </c>
      <c r="K239" s="13"/>
      <c r="L239" s="14">
        <f>+'KY_Res by Plant Acct P16(REG)'!L238</f>
        <v>0</v>
      </c>
      <c r="M239" s="13"/>
      <c r="N239" s="14">
        <f>+'KY_Res by Plant Acct P16(REG)'!N238</f>
        <v>0</v>
      </c>
      <c r="O239" s="13"/>
      <c r="P239" s="14">
        <f>+'KY_Res by Plant Acct P16(REG)'!P238</f>
        <v>0</v>
      </c>
      <c r="Q239" s="13"/>
      <c r="R239" s="14">
        <f t="shared" si="12"/>
        <v>-12661458.059999999</v>
      </c>
    </row>
    <row r="240" spans="1:20" outlineLevel="1" x14ac:dyDescent="0.2">
      <c r="A240" s="3" t="s">
        <v>4052</v>
      </c>
      <c r="B240" s="14">
        <f>+'KY_Res by Plant Acct P16(REG)'!B239</f>
        <v>-4.6566128730773926E-10</v>
      </c>
      <c r="C240" s="13"/>
      <c r="D240" s="14">
        <f>+'KY_Res by Plant Acct P16(REG)'!D239</f>
        <v>0</v>
      </c>
      <c r="E240" s="13"/>
      <c r="F240" s="14">
        <f>+'KY_Res by Plant Acct P16(REG)'!F239</f>
        <v>0</v>
      </c>
      <c r="G240" s="13"/>
      <c r="H240" s="14">
        <f>+'KY_Res by Plant Acct P16(REG)'!H239</f>
        <v>0</v>
      </c>
      <c r="I240" s="13"/>
      <c r="J240" s="14">
        <f>+'KY_Res by Plant Acct P16(REG)'!J239</f>
        <v>0</v>
      </c>
      <c r="K240" s="13"/>
      <c r="L240" s="14">
        <f>+'KY_Res by Plant Acct P16(REG)'!L239</f>
        <v>0</v>
      </c>
      <c r="M240" s="13"/>
      <c r="N240" s="14">
        <f>+'KY_Res by Plant Acct P16(REG)'!N239</f>
        <v>0</v>
      </c>
      <c r="O240" s="13"/>
      <c r="P240" s="14">
        <f>+'KY_Res by Plant Acct P16(REG)'!P239</f>
        <v>0</v>
      </c>
      <c r="Q240" s="13"/>
      <c r="R240" s="14">
        <f t="shared" si="12"/>
        <v>-4.6566128730773926E-10</v>
      </c>
    </row>
    <row r="241" spans="1:18" outlineLevel="1" x14ac:dyDescent="0.2">
      <c r="A241" s="3" t="s">
        <v>4395</v>
      </c>
      <c r="B241" s="14">
        <f>+'KY_Res by Plant Acct P16(REG)'!B240</f>
        <v>-17487269.510000009</v>
      </c>
      <c r="C241" s="13"/>
      <c r="D241" s="14">
        <f>+'KY_Res by Plant Acct P16(REG)'!D240</f>
        <v>-62853.69</v>
      </c>
      <c r="E241" s="13"/>
      <c r="F241" s="14">
        <f>+'KY_Res by Plant Acct P16(REG)'!F240</f>
        <v>99881.48</v>
      </c>
      <c r="G241" s="13"/>
      <c r="H241" s="14">
        <f>+'KY_Res by Plant Acct P16(REG)'!H240</f>
        <v>0</v>
      </c>
      <c r="I241" s="13"/>
      <c r="J241" s="14">
        <f>+'KY_Res by Plant Acct P16(REG)'!J240</f>
        <v>0</v>
      </c>
      <c r="K241" s="13"/>
      <c r="L241" s="14">
        <f>+'KY_Res by Plant Acct P16(REG)'!L240</f>
        <v>249890.84</v>
      </c>
      <c r="M241" s="13"/>
      <c r="N241" s="14">
        <f>+'KY_Res by Plant Acct P16(REG)'!N240</f>
        <v>0</v>
      </c>
      <c r="O241" s="13"/>
      <c r="P241" s="14">
        <f>+'KY_Res by Plant Acct P16(REG)'!P240</f>
        <v>0</v>
      </c>
      <c r="Q241" s="13"/>
      <c r="R241" s="14">
        <f t="shared" si="12"/>
        <v>-17200350.88000001</v>
      </c>
    </row>
    <row r="242" spans="1:18" outlineLevel="1" x14ac:dyDescent="0.2">
      <c r="A242" s="3" t="s">
        <v>4054</v>
      </c>
      <c r="B242" s="14">
        <f>+'KY_Res by Plant Acct P16(REG)'!B241</f>
        <v>1.8189894035458565E-12</v>
      </c>
      <c r="C242" s="13"/>
      <c r="D242" s="14">
        <f>+'KY_Res by Plant Acct P16(REG)'!D241</f>
        <v>0</v>
      </c>
      <c r="E242" s="13"/>
      <c r="F242" s="14">
        <f>+'KY_Res by Plant Acct P16(REG)'!F241</f>
        <v>0</v>
      </c>
      <c r="G242" s="13"/>
      <c r="H242" s="14">
        <f>+'KY_Res by Plant Acct P16(REG)'!H241</f>
        <v>0</v>
      </c>
      <c r="I242" s="13"/>
      <c r="J242" s="14">
        <f>+'KY_Res by Plant Acct P16(REG)'!J241</f>
        <v>0</v>
      </c>
      <c r="K242" s="13"/>
      <c r="L242" s="14">
        <f>+'KY_Res by Plant Acct P16(REG)'!L241</f>
        <v>0</v>
      </c>
      <c r="M242" s="13"/>
      <c r="N242" s="14">
        <f>+'KY_Res by Plant Acct P16(REG)'!N241</f>
        <v>0</v>
      </c>
      <c r="O242" s="13"/>
      <c r="P242" s="14">
        <f>+'KY_Res by Plant Acct P16(REG)'!P241</f>
        <v>0</v>
      </c>
      <c r="Q242" s="13"/>
      <c r="R242" s="14">
        <f t="shared" si="12"/>
        <v>1.8189894035458565E-12</v>
      </c>
    </row>
    <row r="243" spans="1:18" outlineLevel="1" x14ac:dyDescent="0.2">
      <c r="A243" s="3" t="s">
        <v>4055</v>
      </c>
      <c r="B243" s="14">
        <f>+'KY_Res by Plant Acct P16(REG)'!B242</f>
        <v>-7417563.3500000006</v>
      </c>
      <c r="C243" s="13"/>
      <c r="D243" s="14">
        <f>+'KY_Res by Plant Acct P16(REG)'!D242</f>
        <v>-91949.28</v>
      </c>
      <c r="E243" s="13"/>
      <c r="F243" s="14">
        <f>+'KY_Res by Plant Acct P16(REG)'!F242</f>
        <v>0</v>
      </c>
      <c r="G243" s="13"/>
      <c r="H243" s="14">
        <f>+'KY_Res by Plant Acct P16(REG)'!H242</f>
        <v>0</v>
      </c>
      <c r="I243" s="13"/>
      <c r="J243" s="14">
        <f>+'KY_Res by Plant Acct P16(REG)'!J242</f>
        <v>0</v>
      </c>
      <c r="K243" s="13"/>
      <c r="L243" s="14">
        <f>+'KY_Res by Plant Acct P16(REG)'!L242</f>
        <v>0</v>
      </c>
      <c r="M243" s="13"/>
      <c r="N243" s="14">
        <f>+'KY_Res by Plant Acct P16(REG)'!N242</f>
        <v>0</v>
      </c>
      <c r="O243" s="13"/>
      <c r="P243" s="14">
        <f>+'KY_Res by Plant Acct P16(REG)'!P242</f>
        <v>0</v>
      </c>
      <c r="Q243" s="13"/>
      <c r="R243" s="14">
        <f t="shared" si="12"/>
        <v>-7509512.6300000008</v>
      </c>
    </row>
    <row r="244" spans="1:18" outlineLevel="1" x14ac:dyDescent="0.2">
      <c r="A244" s="3" t="s">
        <v>4056</v>
      </c>
      <c r="B244" s="14">
        <f>+'KY_Res by Plant Acct P16(REG)'!B243</f>
        <v>-14315444.359999998</v>
      </c>
      <c r="C244" s="13"/>
      <c r="D244" s="14">
        <f>+'KY_Res by Plant Acct P16(REG)'!D243</f>
        <v>-136304.97</v>
      </c>
      <c r="E244" s="13"/>
      <c r="F244" s="14">
        <f>+'KY_Res by Plant Acct P16(REG)'!F243</f>
        <v>0</v>
      </c>
      <c r="G244" s="13"/>
      <c r="H244" s="14">
        <f>+'KY_Res by Plant Acct P16(REG)'!H243</f>
        <v>0</v>
      </c>
      <c r="I244" s="13"/>
      <c r="J244" s="14">
        <f>+'KY_Res by Plant Acct P16(REG)'!J243</f>
        <v>0</v>
      </c>
      <c r="K244" s="13"/>
      <c r="L244" s="14">
        <f>+'KY_Res by Plant Acct P16(REG)'!L243</f>
        <v>0</v>
      </c>
      <c r="M244" s="13"/>
      <c r="N244" s="14">
        <f>+'KY_Res by Plant Acct P16(REG)'!N243</f>
        <v>0</v>
      </c>
      <c r="O244" s="13"/>
      <c r="P244" s="14">
        <f>+'KY_Res by Plant Acct P16(REG)'!P243</f>
        <v>0</v>
      </c>
      <c r="Q244" s="13"/>
      <c r="R244" s="14">
        <f t="shared" si="12"/>
        <v>-14451749.329999998</v>
      </c>
    </row>
    <row r="245" spans="1:18" outlineLevel="1" x14ac:dyDescent="0.2">
      <c r="A245" s="3" t="s">
        <v>4396</v>
      </c>
      <c r="B245" s="14">
        <f>+'KY_Res by Plant Acct P16(REG)'!B244</f>
        <v>-33433191.429999996</v>
      </c>
      <c r="C245" s="13"/>
      <c r="D245" s="14">
        <f>+'KY_Res by Plant Acct P16(REG)'!D244</f>
        <v>-583945</v>
      </c>
      <c r="E245" s="13"/>
      <c r="F245" s="14">
        <f>+'KY_Res by Plant Acct P16(REG)'!F244</f>
        <v>0</v>
      </c>
      <c r="G245" s="13"/>
      <c r="H245" s="14">
        <f>+'KY_Res by Plant Acct P16(REG)'!H244</f>
        <v>0</v>
      </c>
      <c r="I245" s="13"/>
      <c r="J245" s="14">
        <f>+'KY_Res by Plant Acct P16(REG)'!J244</f>
        <v>0</v>
      </c>
      <c r="K245" s="13"/>
      <c r="L245" s="14">
        <f>+'KY_Res by Plant Acct P16(REG)'!L244</f>
        <v>0</v>
      </c>
      <c r="M245" s="13"/>
      <c r="N245" s="14">
        <f>+'KY_Res by Plant Acct P16(REG)'!N244</f>
        <v>0</v>
      </c>
      <c r="O245" s="13"/>
      <c r="P245" s="14">
        <f>+'KY_Res by Plant Acct P16(REG)'!P244</f>
        <v>0</v>
      </c>
      <c r="Q245" s="13"/>
      <c r="R245" s="14">
        <f t="shared" si="12"/>
        <v>-34017136.429999992</v>
      </c>
    </row>
    <row r="246" spans="1:18" outlineLevel="1" x14ac:dyDescent="0.2">
      <c r="A246" s="3" t="s">
        <v>4058</v>
      </c>
      <c r="B246" s="14">
        <f>+'KY_Res by Plant Acct P16(REG)'!B245</f>
        <v>0</v>
      </c>
      <c r="C246" s="13"/>
      <c r="D246" s="14">
        <f>+'KY_Res by Plant Acct P16(REG)'!D245</f>
        <v>0</v>
      </c>
      <c r="E246" s="13"/>
      <c r="F246" s="14">
        <f>+'KY_Res by Plant Acct P16(REG)'!F245</f>
        <v>0</v>
      </c>
      <c r="G246" s="13"/>
      <c r="H246" s="14">
        <f>+'KY_Res by Plant Acct P16(REG)'!H245</f>
        <v>0</v>
      </c>
      <c r="I246" s="13"/>
      <c r="J246" s="14">
        <f>+'KY_Res by Plant Acct P16(REG)'!J245</f>
        <v>0</v>
      </c>
      <c r="K246" s="13"/>
      <c r="L246" s="14">
        <f>+'KY_Res by Plant Acct P16(REG)'!L245</f>
        <v>0</v>
      </c>
      <c r="M246" s="13"/>
      <c r="N246" s="14">
        <f>+'KY_Res by Plant Acct P16(REG)'!N245</f>
        <v>0</v>
      </c>
      <c r="O246" s="13"/>
      <c r="P246" s="14">
        <f>+'KY_Res by Plant Acct P16(REG)'!P245</f>
        <v>0</v>
      </c>
      <c r="Q246" s="13"/>
      <c r="R246" s="14">
        <f t="shared" si="12"/>
        <v>0</v>
      </c>
    </row>
    <row r="247" spans="1:18" outlineLevel="1" x14ac:dyDescent="0.2">
      <c r="A247" s="73" t="s">
        <v>4059</v>
      </c>
      <c r="B247" s="14">
        <f>+'KY_Res by Plant Acct P16(REG)'!B246</f>
        <v>-212107.02</v>
      </c>
      <c r="C247" s="13"/>
      <c r="D247" s="14">
        <f>+'KY_Res by Plant Acct P16(REG)'!D246</f>
        <v>-124647.3</v>
      </c>
      <c r="E247" s="13"/>
      <c r="F247" s="14">
        <f>+'KY_Res by Plant Acct P16(REG)'!F246</f>
        <v>0</v>
      </c>
      <c r="G247" s="13"/>
      <c r="H247" s="14">
        <f>+'KY_Res by Plant Acct P16(REG)'!H246</f>
        <v>0</v>
      </c>
      <c r="I247" s="13"/>
      <c r="J247" s="14">
        <f>+'KY_Res by Plant Acct P16(REG)'!J246</f>
        <v>0</v>
      </c>
      <c r="K247" s="13"/>
      <c r="L247" s="14">
        <f>+'KY_Res by Plant Acct P16(REG)'!L246</f>
        <v>0</v>
      </c>
      <c r="M247" s="13"/>
      <c r="N247" s="14">
        <f>+'KY_Res by Plant Acct P16(REG)'!N246</f>
        <v>0</v>
      </c>
      <c r="O247" s="13"/>
      <c r="P247" s="14">
        <f>+'KY_Res by Plant Acct P16(REG)'!P246</f>
        <v>0</v>
      </c>
      <c r="Q247" s="13"/>
      <c r="R247" s="14">
        <f t="shared" si="12"/>
        <v>-336754.32</v>
      </c>
    </row>
    <row r="248" spans="1:18" outlineLevel="1" x14ac:dyDescent="0.2">
      <c r="A248" s="3" t="s">
        <v>4060</v>
      </c>
      <c r="B248" s="14">
        <f>+'KY_Res by Plant Acct P16(REG)'!B247</f>
        <v>-16236191.859999998</v>
      </c>
      <c r="C248" s="13"/>
      <c r="D248" s="14">
        <f>+'KY_Res by Plant Acct P16(REG)'!D247</f>
        <v>-755498.77</v>
      </c>
      <c r="E248" s="13"/>
      <c r="F248" s="14">
        <f>+'KY_Res by Plant Acct P16(REG)'!F247</f>
        <v>331483.39</v>
      </c>
      <c r="G248" s="13"/>
      <c r="H248" s="14">
        <f>+'KY_Res by Plant Acct P16(REG)'!H247</f>
        <v>0</v>
      </c>
      <c r="I248" s="13"/>
      <c r="J248" s="14">
        <f>+'KY_Res by Plant Acct P16(REG)'!J247</f>
        <v>0</v>
      </c>
      <c r="K248" s="13"/>
      <c r="L248" s="14">
        <f>+'KY_Res by Plant Acct P16(REG)'!L247</f>
        <v>235028.12</v>
      </c>
      <c r="M248" s="13"/>
      <c r="N248" s="14">
        <f>+'KY_Res by Plant Acct P16(REG)'!N247</f>
        <v>0</v>
      </c>
      <c r="O248" s="13"/>
      <c r="P248" s="14">
        <f>+'KY_Res by Plant Acct P16(REG)'!P247</f>
        <v>0</v>
      </c>
      <c r="Q248" s="13"/>
      <c r="R248" s="14">
        <f t="shared" si="12"/>
        <v>-16425179.119999999</v>
      </c>
    </row>
    <row r="249" spans="1:18" outlineLevel="1" x14ac:dyDescent="0.2">
      <c r="A249" s="3" t="s">
        <v>4061</v>
      </c>
      <c r="B249" s="14">
        <f>+'KY_Res by Plant Acct P16(REG)'!B248</f>
        <v>0</v>
      </c>
      <c r="C249" s="13"/>
      <c r="D249" s="14">
        <f>+'KY_Res by Plant Acct P16(REG)'!D248</f>
        <v>0</v>
      </c>
      <c r="E249" s="13"/>
      <c r="F249" s="14">
        <f>+'KY_Res by Plant Acct P16(REG)'!F248</f>
        <v>0</v>
      </c>
      <c r="G249" s="13"/>
      <c r="H249" s="14">
        <f>+'KY_Res by Plant Acct P16(REG)'!H248</f>
        <v>0</v>
      </c>
      <c r="I249" s="13"/>
      <c r="J249" s="14">
        <f>+'KY_Res by Plant Acct P16(REG)'!J248</f>
        <v>0</v>
      </c>
      <c r="K249" s="13"/>
      <c r="L249" s="14">
        <f>+'KY_Res by Plant Acct P16(REG)'!L248</f>
        <v>0</v>
      </c>
      <c r="M249" s="13"/>
      <c r="N249" s="14">
        <f>+'KY_Res by Plant Acct P16(REG)'!N248</f>
        <v>0</v>
      </c>
      <c r="O249" s="13"/>
      <c r="P249" s="14">
        <f>+'KY_Res by Plant Acct P16(REG)'!P248</f>
        <v>0</v>
      </c>
      <c r="Q249" s="13"/>
      <c r="R249" s="14">
        <f t="shared" si="12"/>
        <v>0</v>
      </c>
    </row>
    <row r="250" spans="1:18" outlineLevel="1" x14ac:dyDescent="0.2">
      <c r="A250" s="3" t="s">
        <v>4062</v>
      </c>
      <c r="B250" s="14">
        <f>+'KY_Res by Plant Acct P16(REG)'!B249</f>
        <v>3.637978807091713E-12</v>
      </c>
      <c r="C250" s="13"/>
      <c r="D250" s="14">
        <f>+'KY_Res by Plant Acct P16(REG)'!D249</f>
        <v>0</v>
      </c>
      <c r="E250" s="13"/>
      <c r="F250" s="14">
        <f>+'KY_Res by Plant Acct P16(REG)'!F249</f>
        <v>0</v>
      </c>
      <c r="G250" s="13"/>
      <c r="H250" s="14">
        <f>+'KY_Res by Plant Acct P16(REG)'!H249</f>
        <v>0</v>
      </c>
      <c r="I250" s="13"/>
      <c r="J250" s="14">
        <f>+'KY_Res by Plant Acct P16(REG)'!J249</f>
        <v>0</v>
      </c>
      <c r="K250" s="13"/>
      <c r="L250" s="14">
        <f>+'KY_Res by Plant Acct P16(REG)'!L249</f>
        <v>0</v>
      </c>
      <c r="M250" s="13"/>
      <c r="N250" s="14">
        <f>+'KY_Res by Plant Acct P16(REG)'!N249</f>
        <v>0</v>
      </c>
      <c r="O250" s="13"/>
      <c r="P250" s="14">
        <f>+'KY_Res by Plant Acct P16(REG)'!P249</f>
        <v>0</v>
      </c>
      <c r="Q250" s="13"/>
      <c r="R250" s="14">
        <f t="shared" si="12"/>
        <v>3.637978807091713E-12</v>
      </c>
    </row>
    <row r="251" spans="1:18" outlineLevel="1" x14ac:dyDescent="0.2">
      <c r="A251" s="3" t="s">
        <v>4063</v>
      </c>
      <c r="B251" s="14">
        <f>+'KY_Res by Plant Acct P16(REG)'!B250</f>
        <v>-137754.90000000002</v>
      </c>
      <c r="C251" s="13"/>
      <c r="D251" s="14">
        <f>+'KY_Res by Plant Acct P16(REG)'!D250</f>
        <v>-97906.78</v>
      </c>
      <c r="E251" s="13"/>
      <c r="F251" s="14">
        <f>+'KY_Res by Plant Acct P16(REG)'!F250</f>
        <v>0</v>
      </c>
      <c r="G251" s="13"/>
      <c r="H251" s="14">
        <f>+'KY_Res by Plant Acct P16(REG)'!H250</f>
        <v>0</v>
      </c>
      <c r="I251" s="13"/>
      <c r="J251" s="14">
        <f>+'KY_Res by Plant Acct P16(REG)'!J250</f>
        <v>0</v>
      </c>
      <c r="K251" s="13"/>
      <c r="L251" s="14">
        <f>+'KY_Res by Plant Acct P16(REG)'!L250</f>
        <v>0</v>
      </c>
      <c r="M251" s="13"/>
      <c r="N251" s="14">
        <f>+'KY_Res by Plant Acct P16(REG)'!N250</f>
        <v>0</v>
      </c>
      <c r="O251" s="13"/>
      <c r="P251" s="14">
        <f>+'KY_Res by Plant Acct P16(REG)'!P250</f>
        <v>0</v>
      </c>
      <c r="Q251" s="13"/>
      <c r="R251" s="14">
        <f>SUM(B251:P251)</f>
        <v>-235661.68000000002</v>
      </c>
    </row>
    <row r="252" spans="1:18" outlineLevel="1" x14ac:dyDescent="0.2">
      <c r="A252" s="3" t="s">
        <v>4397</v>
      </c>
      <c r="B252" s="14">
        <f>+'KY_Res by Plant Acct P16(REG)'!B251</f>
        <v>-13906222.990000004</v>
      </c>
      <c r="C252" s="13"/>
      <c r="D252" s="14">
        <f>+'KY_Res by Plant Acct P16(REG)'!D251</f>
        <v>-178724.64</v>
      </c>
      <c r="E252" s="13"/>
      <c r="F252" s="14">
        <f>+'KY_Res by Plant Acct P16(REG)'!F251</f>
        <v>0</v>
      </c>
      <c r="G252" s="13"/>
      <c r="H252" s="14">
        <f>+'KY_Res by Plant Acct P16(REG)'!H251</f>
        <v>0</v>
      </c>
      <c r="I252" s="13"/>
      <c r="J252" s="14">
        <f>+'KY_Res by Plant Acct P16(REG)'!J251</f>
        <v>0</v>
      </c>
      <c r="K252" s="13"/>
      <c r="L252" s="14">
        <f>+'KY_Res by Plant Acct P16(REG)'!L251</f>
        <v>0</v>
      </c>
      <c r="M252" s="13"/>
      <c r="N252" s="14">
        <f>+'KY_Res by Plant Acct P16(REG)'!N251</f>
        <v>0</v>
      </c>
      <c r="O252" s="13"/>
      <c r="P252" s="14">
        <f>+'KY_Res by Plant Acct P16(REG)'!P251</f>
        <v>0</v>
      </c>
      <c r="Q252" s="13"/>
      <c r="R252" s="14">
        <f t="shared" si="12"/>
        <v>-14084947.630000005</v>
      </c>
    </row>
    <row r="253" spans="1:18" outlineLevel="1" x14ac:dyDescent="0.2">
      <c r="A253" s="3" t="s">
        <v>4065</v>
      </c>
      <c r="B253" s="14">
        <f>+'KY_Res by Plant Acct P16(REG)'!B252</f>
        <v>0</v>
      </c>
      <c r="C253" s="13"/>
      <c r="D253" s="14">
        <f>+'KY_Res by Plant Acct P16(REG)'!D252</f>
        <v>0</v>
      </c>
      <c r="E253" s="13"/>
      <c r="F253" s="14">
        <f>+'KY_Res by Plant Acct P16(REG)'!F252</f>
        <v>0</v>
      </c>
      <c r="G253" s="13"/>
      <c r="H253" s="14">
        <f>+'KY_Res by Plant Acct P16(REG)'!H252</f>
        <v>0</v>
      </c>
      <c r="I253" s="13"/>
      <c r="J253" s="14">
        <f>+'KY_Res by Plant Acct P16(REG)'!J252</f>
        <v>0</v>
      </c>
      <c r="K253" s="13"/>
      <c r="L253" s="14">
        <f>+'KY_Res by Plant Acct P16(REG)'!L252</f>
        <v>0</v>
      </c>
      <c r="M253" s="13"/>
      <c r="N253" s="14">
        <f>+'KY_Res by Plant Acct P16(REG)'!N252</f>
        <v>0</v>
      </c>
      <c r="O253" s="13"/>
      <c r="P253" s="14">
        <f>+'KY_Res by Plant Acct P16(REG)'!P252</f>
        <v>0</v>
      </c>
      <c r="Q253" s="13"/>
      <c r="R253" s="14">
        <f t="shared" si="12"/>
        <v>0</v>
      </c>
    </row>
    <row r="254" spans="1:18" outlineLevel="1" x14ac:dyDescent="0.2">
      <c r="A254" s="3" t="s">
        <v>4066</v>
      </c>
      <c r="B254" s="14">
        <f>+'KY_Res by Plant Acct P16(REG)'!B253</f>
        <v>0</v>
      </c>
      <c r="C254" s="13"/>
      <c r="D254" s="14">
        <f>+'KY_Res by Plant Acct P16(REG)'!D253</f>
        <v>0</v>
      </c>
      <c r="E254" s="13"/>
      <c r="F254" s="14">
        <f>+'KY_Res by Plant Acct P16(REG)'!F253</f>
        <v>0</v>
      </c>
      <c r="G254" s="13"/>
      <c r="H254" s="14">
        <f>+'KY_Res by Plant Acct P16(REG)'!H253</f>
        <v>0</v>
      </c>
      <c r="I254" s="13"/>
      <c r="J254" s="14">
        <f>+'KY_Res by Plant Acct P16(REG)'!J253</f>
        <v>0</v>
      </c>
      <c r="K254" s="13"/>
      <c r="L254" s="14">
        <f>+'KY_Res by Plant Acct P16(REG)'!L253</f>
        <v>0</v>
      </c>
      <c r="M254" s="13"/>
      <c r="N254" s="14">
        <f>+'KY_Res by Plant Acct P16(REG)'!N253</f>
        <v>0</v>
      </c>
      <c r="O254" s="13"/>
      <c r="P254" s="14">
        <f>+'KY_Res by Plant Acct P16(REG)'!P253</f>
        <v>0</v>
      </c>
      <c r="Q254" s="13"/>
      <c r="R254" s="14">
        <f t="shared" si="12"/>
        <v>0</v>
      </c>
    </row>
    <row r="255" spans="1:18" outlineLevel="1" x14ac:dyDescent="0.2">
      <c r="A255" s="3" t="s">
        <v>4067</v>
      </c>
      <c r="B255" s="14">
        <f>+'KY_Res by Plant Acct P16(REG)'!B254</f>
        <v>-1746255.1999999995</v>
      </c>
      <c r="C255" s="13"/>
      <c r="D255" s="14">
        <f>+'KY_Res by Plant Acct P16(REG)'!D254</f>
        <v>0</v>
      </c>
      <c r="E255" s="13"/>
      <c r="F255" s="14">
        <f>+'KY_Res by Plant Acct P16(REG)'!F254</f>
        <v>0</v>
      </c>
      <c r="G255" s="13"/>
      <c r="H255" s="14">
        <f>+'KY_Res by Plant Acct P16(REG)'!H254</f>
        <v>0</v>
      </c>
      <c r="I255" s="13"/>
      <c r="J255" s="14">
        <f>+'KY_Res by Plant Acct P16(REG)'!J254</f>
        <v>0</v>
      </c>
      <c r="K255" s="13"/>
      <c r="L255" s="14">
        <f>+'KY_Res by Plant Acct P16(REG)'!L254</f>
        <v>0</v>
      </c>
      <c r="M255" s="13"/>
      <c r="N255" s="14">
        <f>+'KY_Res by Plant Acct P16(REG)'!N254</f>
        <v>0</v>
      </c>
      <c r="O255" s="13"/>
      <c r="P255" s="14">
        <f>+'KY_Res by Plant Acct P16(REG)'!P254</f>
        <v>0</v>
      </c>
      <c r="Q255" s="13"/>
      <c r="R255" s="14">
        <f t="shared" si="12"/>
        <v>-1746255.1999999995</v>
      </c>
    </row>
    <row r="256" spans="1:18" outlineLevel="1" x14ac:dyDescent="0.2">
      <c r="A256" s="3" t="s">
        <v>4068</v>
      </c>
      <c r="B256" s="14">
        <f>+'KY_Res by Plant Acct P16(REG)'!B255</f>
        <v>-2808512.16</v>
      </c>
      <c r="C256" s="13"/>
      <c r="D256" s="14">
        <f>+'KY_Res by Plant Acct P16(REG)'!D255</f>
        <v>0</v>
      </c>
      <c r="E256" s="13"/>
      <c r="F256" s="14">
        <f>+'KY_Res by Plant Acct P16(REG)'!F255</f>
        <v>0</v>
      </c>
      <c r="G256" s="13"/>
      <c r="H256" s="14">
        <f>+'KY_Res by Plant Acct P16(REG)'!H255</f>
        <v>131376.18</v>
      </c>
      <c r="I256" s="13"/>
      <c r="J256" s="14">
        <f>+'KY_Res by Plant Acct P16(REG)'!J255</f>
        <v>0</v>
      </c>
      <c r="K256" s="13"/>
      <c r="L256" s="14">
        <f>+'KY_Res by Plant Acct P16(REG)'!L255</f>
        <v>0</v>
      </c>
      <c r="M256" s="13"/>
      <c r="N256" s="14">
        <f>+'KY_Res by Plant Acct P16(REG)'!N255</f>
        <v>0</v>
      </c>
      <c r="O256" s="13"/>
      <c r="P256" s="14">
        <f>+'KY_Res by Plant Acct P16(REG)'!P255</f>
        <v>0</v>
      </c>
      <c r="Q256" s="13"/>
      <c r="R256" s="14">
        <f t="shared" si="12"/>
        <v>-2677135.98</v>
      </c>
    </row>
    <row r="257" spans="1:20" outlineLevel="1" x14ac:dyDescent="0.2">
      <c r="A257" s="3" t="s">
        <v>4069</v>
      </c>
      <c r="B257" s="14">
        <f>+'KY_Res by Plant Acct P16(REG)'!B256</f>
        <v>-4238817.22</v>
      </c>
      <c r="C257" s="13"/>
      <c r="D257" s="14">
        <f>+'KY_Res by Plant Acct P16(REG)'!D256</f>
        <v>-131784.6</v>
      </c>
      <c r="E257" s="13"/>
      <c r="F257" s="14">
        <f>+'KY_Res by Plant Acct P16(REG)'!F256</f>
        <v>0</v>
      </c>
      <c r="G257" s="13"/>
      <c r="H257" s="14">
        <f>+'KY_Res by Plant Acct P16(REG)'!H256</f>
        <v>105666.35</v>
      </c>
      <c r="I257" s="13"/>
      <c r="J257" s="14">
        <f>+'KY_Res by Plant Acct P16(REG)'!J256</f>
        <v>0</v>
      </c>
      <c r="K257" s="13"/>
      <c r="L257" s="14">
        <f>+'KY_Res by Plant Acct P16(REG)'!L256</f>
        <v>0</v>
      </c>
      <c r="M257" s="13"/>
      <c r="N257" s="14">
        <f>+'KY_Res by Plant Acct P16(REG)'!N256</f>
        <v>0</v>
      </c>
      <c r="O257" s="13"/>
      <c r="P257" s="14">
        <f>+'KY_Res by Plant Acct P16(REG)'!P256</f>
        <v>0</v>
      </c>
      <c r="Q257" s="13"/>
      <c r="R257" s="14">
        <f t="shared" si="12"/>
        <v>-4264935.47</v>
      </c>
    </row>
    <row r="258" spans="1:20" outlineLevel="1" x14ac:dyDescent="0.2">
      <c r="A258" s="3" t="s">
        <v>4070</v>
      </c>
      <c r="B258" s="14">
        <f>+'KY_Res by Plant Acct P16(REG)'!B257</f>
        <v>0</v>
      </c>
      <c r="C258" s="13"/>
      <c r="D258" s="14">
        <f>+'KY_Res by Plant Acct P16(REG)'!D257</f>
        <v>0</v>
      </c>
      <c r="E258" s="13"/>
      <c r="F258" s="14">
        <f>+'KY_Res by Plant Acct P16(REG)'!F257</f>
        <v>0</v>
      </c>
      <c r="G258" s="13"/>
      <c r="H258" s="14">
        <f>+'KY_Res by Plant Acct P16(REG)'!H257</f>
        <v>0</v>
      </c>
      <c r="I258" s="13"/>
      <c r="J258" s="14">
        <f>+'KY_Res by Plant Acct P16(REG)'!J257</f>
        <v>0</v>
      </c>
      <c r="K258" s="13"/>
      <c r="L258" s="14">
        <f>+'KY_Res by Plant Acct P16(REG)'!L257</f>
        <v>0</v>
      </c>
      <c r="M258" s="13"/>
      <c r="N258" s="14">
        <f>+'KY_Res by Plant Acct P16(REG)'!N257</f>
        <v>0</v>
      </c>
      <c r="O258" s="13"/>
      <c r="P258" s="14">
        <f>+'KY_Res by Plant Acct P16(REG)'!P257</f>
        <v>0</v>
      </c>
      <c r="Q258" s="13"/>
      <c r="R258" s="14">
        <f t="shared" si="12"/>
        <v>0</v>
      </c>
    </row>
    <row r="259" spans="1:20" outlineLevel="1" x14ac:dyDescent="0.2">
      <c r="A259" s="3" t="s">
        <v>4071</v>
      </c>
      <c r="B259" s="14">
        <f>+'KY_Res by Plant Acct P16(REG)'!B258</f>
        <v>-39691.319999999949</v>
      </c>
      <c r="C259" s="13"/>
      <c r="D259" s="14">
        <f>+'KY_Res by Plant Acct P16(REG)'!D258</f>
        <v>0</v>
      </c>
      <c r="E259" s="13"/>
      <c r="F259" s="14">
        <f>+'KY_Res by Plant Acct P16(REG)'!F258</f>
        <v>0</v>
      </c>
      <c r="G259" s="13"/>
      <c r="H259" s="14">
        <f>+'KY_Res by Plant Acct P16(REG)'!H258</f>
        <v>0</v>
      </c>
      <c r="I259" s="13"/>
      <c r="J259" s="14">
        <f>+'KY_Res by Plant Acct P16(REG)'!J258</f>
        <v>0</v>
      </c>
      <c r="K259" s="13"/>
      <c r="L259" s="14">
        <f>+'KY_Res by Plant Acct P16(REG)'!L258</f>
        <v>0</v>
      </c>
      <c r="M259" s="13"/>
      <c r="N259" s="14">
        <f>+'KY_Res by Plant Acct P16(REG)'!N258</f>
        <v>0</v>
      </c>
      <c r="O259" s="13"/>
      <c r="P259" s="14">
        <f>+'KY_Res by Plant Acct P16(REG)'!P258</f>
        <v>0</v>
      </c>
      <c r="Q259" s="13"/>
      <c r="R259" s="14">
        <f t="shared" si="12"/>
        <v>-39691.319999999949</v>
      </c>
    </row>
    <row r="260" spans="1:20" outlineLevel="1" x14ac:dyDescent="0.2">
      <c r="A260" s="3" t="s">
        <v>4072</v>
      </c>
      <c r="B260" s="14">
        <f>+'KY_Res by Plant Acct P16(REG)'!B259</f>
        <v>-724480.15000000014</v>
      </c>
      <c r="C260" s="13"/>
      <c r="D260" s="14">
        <f>+'KY_Res by Plant Acct P16(REG)'!D259</f>
        <v>-11679.96</v>
      </c>
      <c r="E260" s="13"/>
      <c r="F260" s="14">
        <f>+'KY_Res by Plant Acct P16(REG)'!F259</f>
        <v>0</v>
      </c>
      <c r="G260" s="13"/>
      <c r="H260" s="14">
        <f>+'KY_Res by Plant Acct P16(REG)'!H259</f>
        <v>0</v>
      </c>
      <c r="I260" s="13"/>
      <c r="J260" s="14">
        <f>+'KY_Res by Plant Acct P16(REG)'!J259</f>
        <v>0</v>
      </c>
      <c r="K260" s="13"/>
      <c r="L260" s="14">
        <f>+'KY_Res by Plant Acct P16(REG)'!L259</f>
        <v>0</v>
      </c>
      <c r="M260" s="13"/>
      <c r="N260" s="14">
        <f>+'KY_Res by Plant Acct P16(REG)'!N259</f>
        <v>0</v>
      </c>
      <c r="O260" s="13"/>
      <c r="P260" s="14">
        <f>+'KY_Res by Plant Acct P16(REG)'!P259</f>
        <v>0</v>
      </c>
      <c r="Q260" s="13"/>
      <c r="R260" s="14">
        <f t="shared" si="12"/>
        <v>-736160.1100000001</v>
      </c>
    </row>
    <row r="261" spans="1:20" outlineLevel="1" x14ac:dyDescent="0.2">
      <c r="A261" s="43" t="s">
        <v>4073</v>
      </c>
      <c r="B261" s="14">
        <f>+'KY_Res by Plant Acct P16(REG)'!B260</f>
        <v>-3153915.9</v>
      </c>
      <c r="C261" s="13"/>
      <c r="D261" s="14">
        <f>+'KY_Res by Plant Acct P16(REG)'!D260</f>
        <v>-75567.72</v>
      </c>
      <c r="E261" s="13"/>
      <c r="F261" s="14">
        <f>+'KY_Res by Plant Acct P16(REG)'!F260</f>
        <v>0</v>
      </c>
      <c r="G261" s="13"/>
      <c r="H261" s="14">
        <f>+'KY_Res by Plant Acct P16(REG)'!H260</f>
        <v>0</v>
      </c>
      <c r="I261" s="13"/>
      <c r="J261" s="14">
        <f>+'KY_Res by Plant Acct P16(REG)'!J260</f>
        <v>0</v>
      </c>
      <c r="K261" s="13"/>
      <c r="L261" s="14">
        <f>+'KY_Res by Plant Acct P16(REG)'!L260</f>
        <v>0</v>
      </c>
      <c r="M261" s="13"/>
      <c r="N261" s="14">
        <f>+'KY_Res by Plant Acct P16(REG)'!N260</f>
        <v>0</v>
      </c>
      <c r="O261" s="13"/>
      <c r="P261" s="14">
        <f>+'KY_Res by Plant Acct P16(REG)'!P260</f>
        <v>0</v>
      </c>
      <c r="Q261" s="13"/>
      <c r="R261" s="14">
        <f t="shared" si="12"/>
        <v>-3229483.62</v>
      </c>
    </row>
    <row r="262" spans="1:20" outlineLevel="1" x14ac:dyDescent="0.2">
      <c r="A262" s="3" t="s">
        <v>4398</v>
      </c>
      <c r="B262" s="14">
        <f>+'KY_Res by Plant Acct P16(REG)'!B261</f>
        <v>-26109936.509999998</v>
      </c>
      <c r="C262" s="13"/>
      <c r="D262" s="14">
        <f>+'KY_Res by Plant Acct P16(REG)'!D261</f>
        <v>-1827668.85</v>
      </c>
      <c r="E262" s="13"/>
      <c r="F262" s="14">
        <f>+'KY_Res by Plant Acct P16(REG)'!F261</f>
        <v>98490.35</v>
      </c>
      <c r="G262" s="13"/>
      <c r="H262" s="14">
        <f>+'KY_Res by Plant Acct P16(REG)'!H261</f>
        <v>0</v>
      </c>
      <c r="I262" s="13"/>
      <c r="J262" s="14">
        <f>+'KY_Res by Plant Acct P16(REG)'!J261</f>
        <v>0</v>
      </c>
      <c r="K262" s="13"/>
      <c r="L262" s="14">
        <f>+'KY_Res by Plant Acct P16(REG)'!L261</f>
        <v>5197.43</v>
      </c>
      <c r="M262" s="13"/>
      <c r="N262" s="14">
        <f>+'KY_Res by Plant Acct P16(REG)'!N261</f>
        <v>0</v>
      </c>
      <c r="O262" s="13"/>
      <c r="P262" s="14">
        <f>+'KY_Res by Plant Acct P16(REG)'!P261</f>
        <v>-1284.58</v>
      </c>
      <c r="Q262" s="13"/>
      <c r="R262" s="14">
        <f t="shared" si="12"/>
        <v>-27835202.159999996</v>
      </c>
      <c r="T262" s="13"/>
    </row>
    <row r="263" spans="1:20" outlineLevel="1" x14ac:dyDescent="0.2">
      <c r="A263" s="3" t="s">
        <v>4399</v>
      </c>
      <c r="B263" s="14">
        <f>+'KY_Res by Plant Acct P16(REG)'!B262</f>
        <v>0</v>
      </c>
      <c r="C263" s="13"/>
      <c r="D263" s="14">
        <f>+'KY_Res by Plant Acct P16(REG)'!D262</f>
        <v>0</v>
      </c>
      <c r="E263" s="13"/>
      <c r="F263" s="14">
        <f>+'KY_Res by Plant Acct P16(REG)'!F262</f>
        <v>0</v>
      </c>
      <c r="G263" s="13"/>
      <c r="H263" s="14">
        <f>+'KY_Res by Plant Acct P16(REG)'!H262</f>
        <v>0</v>
      </c>
      <c r="I263" s="13"/>
      <c r="J263" s="14">
        <f>+'KY_Res by Plant Acct P16(REG)'!J262</f>
        <v>0</v>
      </c>
      <c r="K263" s="13"/>
      <c r="L263" s="14">
        <f>+'KY_Res by Plant Acct P16(REG)'!L262</f>
        <v>0</v>
      </c>
      <c r="M263" s="13"/>
      <c r="N263" s="14">
        <f>+'KY_Res by Plant Acct P16(REG)'!N262</f>
        <v>0</v>
      </c>
      <c r="O263" s="13"/>
      <c r="P263" s="14">
        <f>+'KY_Res by Plant Acct P16(REG)'!P262</f>
        <v>0</v>
      </c>
      <c r="Q263" s="13"/>
      <c r="R263" s="14">
        <f t="shared" si="12"/>
        <v>0</v>
      </c>
      <c r="T263" s="13"/>
    </row>
    <row r="264" spans="1:20" outlineLevel="1" x14ac:dyDescent="0.2">
      <c r="A264" s="73" t="s">
        <v>4400</v>
      </c>
      <c r="B264" s="14">
        <f>+'KY_Res by Plant Acct P16(REG)'!B263</f>
        <v>-31684.829999999998</v>
      </c>
      <c r="C264" s="13"/>
      <c r="D264" s="14">
        <f>+'KY_Res by Plant Acct P16(REG)'!D263</f>
        <v>-9069.84</v>
      </c>
      <c r="E264" s="13"/>
      <c r="F264" s="14">
        <f>+'KY_Res by Plant Acct P16(REG)'!F263</f>
        <v>0</v>
      </c>
      <c r="G264" s="13"/>
      <c r="H264" s="14">
        <f>+'KY_Res by Plant Acct P16(REG)'!H263</f>
        <v>0</v>
      </c>
      <c r="I264" s="13"/>
      <c r="J264" s="14">
        <f>+'KY_Res by Plant Acct P16(REG)'!J263</f>
        <v>0</v>
      </c>
      <c r="K264" s="13"/>
      <c r="L264" s="14">
        <f>+'KY_Res by Plant Acct P16(REG)'!L263</f>
        <v>0</v>
      </c>
      <c r="M264" s="13"/>
      <c r="N264" s="14">
        <f>+'KY_Res by Plant Acct P16(REG)'!N263</f>
        <v>0</v>
      </c>
      <c r="O264" s="13"/>
      <c r="P264" s="14">
        <f>+'KY_Res by Plant Acct P16(REG)'!P263</f>
        <v>0</v>
      </c>
      <c r="Q264" s="13"/>
      <c r="R264" s="14">
        <f t="shared" si="12"/>
        <v>-40754.67</v>
      </c>
      <c r="T264" s="13"/>
    </row>
    <row r="265" spans="1:20" outlineLevel="1" x14ac:dyDescent="0.2">
      <c r="A265" s="3" t="s">
        <v>4077</v>
      </c>
      <c r="B265" s="14">
        <f>+'KY_Res by Plant Acct P16(REG)'!B264</f>
        <v>-554284.6</v>
      </c>
      <c r="C265" s="13"/>
      <c r="D265" s="14">
        <f>+'KY_Res by Plant Acct P16(REG)'!D264</f>
        <v>0</v>
      </c>
      <c r="E265" s="13"/>
      <c r="F265" s="14">
        <f>+'KY_Res by Plant Acct P16(REG)'!F264</f>
        <v>0</v>
      </c>
      <c r="G265" s="13"/>
      <c r="H265" s="14">
        <f>+'KY_Res by Plant Acct P16(REG)'!H264</f>
        <v>0</v>
      </c>
      <c r="I265" s="13"/>
      <c r="J265" s="14">
        <f>+'KY_Res by Plant Acct P16(REG)'!J264</f>
        <v>0</v>
      </c>
      <c r="K265" s="13"/>
      <c r="L265" s="14">
        <f>+'KY_Res by Plant Acct P16(REG)'!L264</f>
        <v>0</v>
      </c>
      <c r="M265" s="13"/>
      <c r="N265" s="14">
        <f>+'KY_Res by Plant Acct P16(REG)'!N264</f>
        <v>0</v>
      </c>
      <c r="O265" s="13"/>
      <c r="P265" s="14">
        <f>+'KY_Res by Plant Acct P16(REG)'!P264</f>
        <v>0</v>
      </c>
      <c r="Q265" s="13"/>
      <c r="R265" s="14">
        <f t="shared" si="12"/>
        <v>-554284.6</v>
      </c>
    </row>
    <row r="266" spans="1:20" outlineLevel="1" x14ac:dyDescent="0.2">
      <c r="A266" s="3" t="s">
        <v>4078</v>
      </c>
      <c r="B266" s="14">
        <f>+'KY_Res by Plant Acct P16(REG)'!B265</f>
        <v>-1304218.9899999988</v>
      </c>
      <c r="C266" s="13"/>
      <c r="D266" s="14">
        <f>+'KY_Res by Plant Acct P16(REG)'!D265</f>
        <v>0</v>
      </c>
      <c r="E266" s="13"/>
      <c r="F266" s="14">
        <f>+'KY_Res by Plant Acct P16(REG)'!F265</f>
        <v>0</v>
      </c>
      <c r="G266" s="13"/>
      <c r="H266" s="14">
        <f>+'KY_Res by Plant Acct P16(REG)'!H265</f>
        <v>0</v>
      </c>
      <c r="I266" s="13"/>
      <c r="J266" s="14">
        <f>+'KY_Res by Plant Acct P16(REG)'!J265</f>
        <v>0</v>
      </c>
      <c r="K266" s="13"/>
      <c r="L266" s="14">
        <f>+'KY_Res by Plant Acct P16(REG)'!L265</f>
        <v>0</v>
      </c>
      <c r="M266" s="13"/>
      <c r="N266" s="14">
        <f>+'KY_Res by Plant Acct P16(REG)'!N265</f>
        <v>0</v>
      </c>
      <c r="O266" s="13"/>
      <c r="P266" s="14">
        <f>+'KY_Res by Plant Acct P16(REG)'!P265</f>
        <v>0</v>
      </c>
      <c r="Q266" s="13"/>
      <c r="R266" s="14">
        <f t="shared" si="12"/>
        <v>-1304218.9899999988</v>
      </c>
    </row>
    <row r="267" spans="1:20" x14ac:dyDescent="0.2">
      <c r="A267" s="3" t="s">
        <v>4079</v>
      </c>
      <c r="B267" s="14">
        <f>SUM(B233:B266)</f>
        <v>-175741363.19</v>
      </c>
      <c r="C267" s="13"/>
      <c r="D267" s="14">
        <f>SUM(D233:D266)</f>
        <v>-6601014.6099999994</v>
      </c>
      <c r="E267" s="13"/>
      <c r="F267" s="14">
        <f>SUM(F233:F266)</f>
        <v>562234.81999999995</v>
      </c>
      <c r="G267" s="13"/>
      <c r="H267" s="14">
        <f>SUM(H233:H266)</f>
        <v>237042.53</v>
      </c>
      <c r="I267" s="13"/>
      <c r="J267" s="14">
        <f>SUM(J233:J266)</f>
        <v>0</v>
      </c>
      <c r="K267" s="13"/>
      <c r="L267" s="14">
        <f>SUM(L233:L266)</f>
        <v>496650.23</v>
      </c>
      <c r="M267" s="13"/>
      <c r="N267" s="14">
        <f>SUM(N233:N266)</f>
        <v>0</v>
      </c>
      <c r="O267" s="13"/>
      <c r="P267" s="14">
        <f>SUM(P233:P266)</f>
        <v>-1284.58</v>
      </c>
      <c r="Q267" s="13"/>
      <c r="R267" s="14">
        <f>SUM(R233:R266)</f>
        <v>-181047734.79999998</v>
      </c>
    </row>
    <row r="268" spans="1:20" outlineLevel="1" x14ac:dyDescent="0.2">
      <c r="A268" s="3" t="s">
        <v>4080</v>
      </c>
      <c r="B268" s="14">
        <f>+'KY_Res by Plant Acct P16(REG)'!B267</f>
        <v>0</v>
      </c>
      <c r="C268" s="13"/>
      <c r="D268" s="14">
        <f>+'KY_Res by Plant Acct P16(REG)'!D267</f>
        <v>0</v>
      </c>
      <c r="E268" s="13"/>
      <c r="F268" s="14">
        <f>+'KY_Res by Plant Acct P16(REG)'!F267</f>
        <v>0</v>
      </c>
      <c r="G268" s="13"/>
      <c r="H268" s="14">
        <f>+'KY_Res by Plant Acct P16(REG)'!H267</f>
        <v>0</v>
      </c>
      <c r="I268" s="13"/>
      <c r="J268" s="14">
        <f>+'KY_Res by Plant Acct P16(REG)'!J267</f>
        <v>0</v>
      </c>
      <c r="K268" s="13"/>
      <c r="L268" s="14">
        <f>+'KY_Res by Plant Acct P16(REG)'!L267</f>
        <v>0</v>
      </c>
      <c r="M268" s="13"/>
      <c r="N268" s="14">
        <f>+'KY_Res by Plant Acct P16(REG)'!N267</f>
        <v>0</v>
      </c>
      <c r="O268" s="13"/>
      <c r="P268" s="14">
        <f>+'KY_Res by Plant Acct P16(REG)'!P267</f>
        <v>0</v>
      </c>
      <c r="Q268" s="13"/>
      <c r="R268" s="14">
        <f t="shared" ref="R268:R275" si="13">SUM(B268:P268)</f>
        <v>0</v>
      </c>
    </row>
    <row r="269" spans="1:20" outlineLevel="1" x14ac:dyDescent="0.2">
      <c r="A269" s="3" t="s">
        <v>4081</v>
      </c>
      <c r="B269" s="14">
        <f>+'KY_Res by Plant Acct P16(REG)'!B268</f>
        <v>0</v>
      </c>
      <c r="C269" s="13"/>
      <c r="D269" s="14">
        <f>+'KY_Res by Plant Acct P16(REG)'!D268</f>
        <v>0</v>
      </c>
      <c r="E269" s="13"/>
      <c r="F269" s="14">
        <f>+'KY_Res by Plant Acct P16(REG)'!F268</f>
        <v>0</v>
      </c>
      <c r="G269" s="13"/>
      <c r="H269" s="14">
        <f>+'KY_Res by Plant Acct P16(REG)'!H268</f>
        <v>0</v>
      </c>
      <c r="I269" s="13"/>
      <c r="J269" s="14">
        <f>+'KY_Res by Plant Acct P16(REG)'!J268</f>
        <v>0</v>
      </c>
      <c r="K269" s="13"/>
      <c r="L269" s="14">
        <f>+'KY_Res by Plant Acct P16(REG)'!L268</f>
        <v>0</v>
      </c>
      <c r="M269" s="13"/>
      <c r="N269" s="14">
        <f>+'KY_Res by Plant Acct P16(REG)'!N268</f>
        <v>0</v>
      </c>
      <c r="O269" s="13"/>
      <c r="P269" s="14">
        <f>+'KY_Res by Plant Acct P16(REG)'!P268</f>
        <v>0</v>
      </c>
      <c r="Q269" s="13"/>
      <c r="R269" s="14">
        <f>SUM(B269:P269)</f>
        <v>0</v>
      </c>
    </row>
    <row r="270" spans="1:20" outlineLevel="1" x14ac:dyDescent="0.2">
      <c r="A270" s="3" t="s">
        <v>4082</v>
      </c>
      <c r="B270" s="14">
        <f>+'KY_Res by Plant Acct P16(REG)'!B269</f>
        <v>0</v>
      </c>
      <c r="C270" s="13"/>
      <c r="D270" s="14">
        <f>+'KY_Res by Plant Acct P16(REG)'!D269</f>
        <v>0</v>
      </c>
      <c r="E270" s="13"/>
      <c r="F270" s="14">
        <f>+'KY_Res by Plant Acct P16(REG)'!F269</f>
        <v>0</v>
      </c>
      <c r="G270" s="13"/>
      <c r="H270" s="14">
        <f>+'KY_Res by Plant Acct P16(REG)'!H269</f>
        <v>0</v>
      </c>
      <c r="I270" s="13"/>
      <c r="J270" s="14">
        <f>+'KY_Res by Plant Acct P16(REG)'!J269</f>
        <v>0</v>
      </c>
      <c r="K270" s="13"/>
      <c r="L270" s="14">
        <f>+'KY_Res by Plant Acct P16(REG)'!L269</f>
        <v>0</v>
      </c>
      <c r="M270" s="13"/>
      <c r="N270" s="14">
        <f>+'KY_Res by Plant Acct P16(REG)'!N269</f>
        <v>0</v>
      </c>
      <c r="O270" s="13"/>
      <c r="P270" s="14">
        <f>+'KY_Res by Plant Acct P16(REG)'!P269</f>
        <v>0</v>
      </c>
      <c r="Q270" s="13"/>
      <c r="R270" s="14">
        <f t="shared" si="13"/>
        <v>0</v>
      </c>
    </row>
    <row r="271" spans="1:20" outlineLevel="1" x14ac:dyDescent="0.2">
      <c r="A271" s="3" t="s">
        <v>4083</v>
      </c>
      <c r="B271" s="14">
        <f>+'KY_Res by Plant Acct P16(REG)'!B270</f>
        <v>0</v>
      </c>
      <c r="C271" s="13"/>
      <c r="D271" s="14">
        <f>+'KY_Res by Plant Acct P16(REG)'!D270</f>
        <v>0</v>
      </c>
      <c r="E271" s="13"/>
      <c r="F271" s="14">
        <f>+'KY_Res by Plant Acct P16(REG)'!F270</f>
        <v>0</v>
      </c>
      <c r="G271" s="13"/>
      <c r="H271" s="14">
        <f>+'KY_Res by Plant Acct P16(REG)'!H270</f>
        <v>0</v>
      </c>
      <c r="I271" s="13"/>
      <c r="J271" s="14">
        <f>+'KY_Res by Plant Acct P16(REG)'!J270</f>
        <v>0</v>
      </c>
      <c r="K271" s="13"/>
      <c r="L271" s="14">
        <f>+'KY_Res by Plant Acct P16(REG)'!L270</f>
        <v>0</v>
      </c>
      <c r="M271" s="13"/>
      <c r="N271" s="14">
        <f>+'KY_Res by Plant Acct P16(REG)'!N270</f>
        <v>0</v>
      </c>
      <c r="O271" s="13"/>
      <c r="P271" s="14">
        <f>+'KY_Res by Plant Acct P16(REG)'!P270</f>
        <v>0</v>
      </c>
      <c r="Q271" s="13"/>
      <c r="R271" s="14">
        <f t="shared" si="13"/>
        <v>0</v>
      </c>
    </row>
    <row r="272" spans="1:20" outlineLevel="1" x14ac:dyDescent="0.2">
      <c r="A272" s="3" t="s">
        <v>4084</v>
      </c>
      <c r="B272" s="14">
        <f>+'KY_Res by Plant Acct P16(REG)'!B271</f>
        <v>0</v>
      </c>
      <c r="C272" s="13"/>
      <c r="D272" s="14">
        <f>+'KY_Res by Plant Acct P16(REG)'!D271</f>
        <v>0</v>
      </c>
      <c r="E272" s="13"/>
      <c r="F272" s="14">
        <f>+'KY_Res by Plant Acct P16(REG)'!F271</f>
        <v>0</v>
      </c>
      <c r="G272" s="13"/>
      <c r="H272" s="14">
        <f>+'KY_Res by Plant Acct P16(REG)'!H271</f>
        <v>0</v>
      </c>
      <c r="I272" s="13"/>
      <c r="J272" s="14">
        <f>+'KY_Res by Plant Acct P16(REG)'!J271</f>
        <v>0</v>
      </c>
      <c r="K272" s="13"/>
      <c r="L272" s="14">
        <f>+'KY_Res by Plant Acct P16(REG)'!L271</f>
        <v>0</v>
      </c>
      <c r="M272" s="13"/>
      <c r="N272" s="14">
        <f>+'KY_Res by Plant Acct P16(REG)'!N271</f>
        <v>0</v>
      </c>
      <c r="O272" s="13"/>
      <c r="P272" s="14">
        <f>+'KY_Res by Plant Acct P16(REG)'!P271</f>
        <v>0</v>
      </c>
      <c r="Q272" s="13"/>
      <c r="R272" s="14">
        <f t="shared" si="13"/>
        <v>0</v>
      </c>
    </row>
    <row r="273" spans="1:18" outlineLevel="1" x14ac:dyDescent="0.2">
      <c r="A273" s="3" t="s">
        <v>4085</v>
      </c>
      <c r="B273" s="14">
        <f>+'KY_Res by Plant Acct P16(REG)'!B272</f>
        <v>0</v>
      </c>
      <c r="C273" s="13"/>
      <c r="D273" s="14">
        <f>+'KY_Res by Plant Acct P16(REG)'!D272</f>
        <v>0</v>
      </c>
      <c r="E273" s="13"/>
      <c r="F273" s="14">
        <f>+'KY_Res by Plant Acct P16(REG)'!F272</f>
        <v>0</v>
      </c>
      <c r="G273" s="13"/>
      <c r="H273" s="14">
        <f>+'KY_Res by Plant Acct P16(REG)'!H272</f>
        <v>0</v>
      </c>
      <c r="I273" s="13"/>
      <c r="J273" s="14">
        <f>+'KY_Res by Plant Acct P16(REG)'!J272</f>
        <v>0</v>
      </c>
      <c r="K273" s="13"/>
      <c r="L273" s="14">
        <f>+'KY_Res by Plant Acct P16(REG)'!L272</f>
        <v>0</v>
      </c>
      <c r="M273" s="13"/>
      <c r="N273" s="14">
        <f>+'KY_Res by Plant Acct P16(REG)'!N272</f>
        <v>0</v>
      </c>
      <c r="O273" s="13"/>
      <c r="P273" s="14">
        <f>+'KY_Res by Plant Acct P16(REG)'!P272</f>
        <v>0</v>
      </c>
      <c r="Q273" s="13"/>
      <c r="R273" s="14">
        <f t="shared" si="13"/>
        <v>0</v>
      </c>
    </row>
    <row r="274" spans="1:18" outlineLevel="1" x14ac:dyDescent="0.2">
      <c r="A274" s="73" t="s">
        <v>4086</v>
      </c>
      <c r="B274" s="14">
        <f>+'KY_Res by Plant Acct P16(REG)'!B273</f>
        <v>0</v>
      </c>
      <c r="C274" s="13"/>
      <c r="D274" s="14">
        <f>+'KY_Res by Plant Acct P16(REG)'!D273</f>
        <v>0</v>
      </c>
      <c r="E274" s="13"/>
      <c r="F274" s="14">
        <f>+'KY_Res by Plant Acct P16(REG)'!F273</f>
        <v>0</v>
      </c>
      <c r="G274" s="13"/>
      <c r="H274" s="14">
        <f>+'KY_Res by Plant Acct P16(REG)'!H273</f>
        <v>0</v>
      </c>
      <c r="I274" s="13"/>
      <c r="J274" s="14">
        <f>+'KY_Res by Plant Acct P16(REG)'!J273</f>
        <v>0</v>
      </c>
      <c r="K274" s="13"/>
      <c r="L274" s="14">
        <f>+'KY_Res by Plant Acct P16(REG)'!L273</f>
        <v>0</v>
      </c>
      <c r="M274" s="13"/>
      <c r="N274" s="14">
        <f>+'KY_Res by Plant Acct P16(REG)'!N273</f>
        <v>0</v>
      </c>
      <c r="O274" s="13"/>
      <c r="P274" s="14">
        <f>+'KY_Res by Plant Acct P16(REG)'!P273</f>
        <v>0</v>
      </c>
      <c r="Q274" s="13"/>
      <c r="R274" s="14">
        <f t="shared" si="13"/>
        <v>0</v>
      </c>
    </row>
    <row r="275" spans="1:18" outlineLevel="1" x14ac:dyDescent="0.2">
      <c r="A275" s="3" t="s">
        <v>4087</v>
      </c>
      <c r="B275" s="14">
        <f>+'KY_Res by Plant Acct P16(REG)'!B274</f>
        <v>0</v>
      </c>
      <c r="C275" s="13"/>
      <c r="D275" s="14">
        <f>+'KY_Res by Plant Acct P16(REG)'!D274</f>
        <v>0</v>
      </c>
      <c r="E275" s="13"/>
      <c r="F275" s="14">
        <f>+'KY_Res by Plant Acct P16(REG)'!F274</f>
        <v>0</v>
      </c>
      <c r="G275" s="13"/>
      <c r="H275" s="14">
        <f>+'KY_Res by Plant Acct P16(REG)'!H274</f>
        <v>0</v>
      </c>
      <c r="I275" s="13"/>
      <c r="J275" s="14">
        <f>+'KY_Res by Plant Acct P16(REG)'!J274</f>
        <v>0</v>
      </c>
      <c r="K275" s="13"/>
      <c r="L275" s="14">
        <f>+'KY_Res by Plant Acct P16(REG)'!L274</f>
        <v>0</v>
      </c>
      <c r="M275" s="13"/>
      <c r="N275" s="14">
        <f>+'KY_Res by Plant Acct P16(REG)'!N274</f>
        <v>0</v>
      </c>
      <c r="O275" s="13"/>
      <c r="P275" s="14">
        <f>+'KY_Res by Plant Acct P16(REG)'!P274</f>
        <v>0</v>
      </c>
      <c r="Q275" s="13"/>
      <c r="R275" s="14">
        <f t="shared" si="13"/>
        <v>0</v>
      </c>
    </row>
    <row r="276" spans="1:18" x14ac:dyDescent="0.2">
      <c r="A276" s="3" t="s">
        <v>4088</v>
      </c>
      <c r="B276" s="14">
        <f>SUM(B268:B275)</f>
        <v>0</v>
      </c>
      <c r="C276" s="13"/>
      <c r="D276" s="14">
        <f>SUM(D268:D275)</f>
        <v>0</v>
      </c>
      <c r="E276" s="13"/>
      <c r="F276" s="14">
        <f>SUM(F268:F275)</f>
        <v>0</v>
      </c>
      <c r="G276" s="13"/>
      <c r="H276" s="14">
        <f>SUM(H268:H275)</f>
        <v>0</v>
      </c>
      <c r="I276" s="13"/>
      <c r="J276" s="14">
        <f>SUM(J268:J275)</f>
        <v>0</v>
      </c>
      <c r="K276" s="13"/>
      <c r="L276" s="14">
        <f>SUM(L268:L275)</f>
        <v>0</v>
      </c>
      <c r="M276" s="13"/>
      <c r="N276" s="14">
        <f>SUM(N268:N275)</f>
        <v>0</v>
      </c>
      <c r="O276" s="13"/>
      <c r="P276" s="14">
        <f>SUM(P268:P275)</f>
        <v>0</v>
      </c>
      <c r="Q276" s="13"/>
      <c r="R276" s="14">
        <f>SUM(R268:R275)</f>
        <v>0</v>
      </c>
    </row>
    <row r="277" spans="1:18" outlineLevel="1" x14ac:dyDescent="0.2">
      <c r="A277" s="3" t="s">
        <v>4089</v>
      </c>
      <c r="B277" s="14">
        <f>+'KY_Res by Plant Acct P16(REG)'!B276</f>
        <v>-32269385.860000003</v>
      </c>
      <c r="C277" s="13"/>
      <c r="D277" s="14">
        <f>+'KY_Res by Plant Acct P16(REG)'!D276</f>
        <v>-1231075.1399999999</v>
      </c>
      <c r="E277" s="13"/>
      <c r="F277" s="14">
        <f>+'KY_Res by Plant Acct P16(REG)'!F276</f>
        <v>23938.67</v>
      </c>
      <c r="G277" s="13"/>
      <c r="H277" s="14">
        <f>+'KY_Res by Plant Acct P16(REG)'!H276</f>
        <v>12290258.449999999</v>
      </c>
      <c r="I277" s="13"/>
      <c r="J277" s="14">
        <f>+'KY_Res by Plant Acct P16(REG)'!J276</f>
        <v>0</v>
      </c>
      <c r="K277" s="13"/>
      <c r="L277" s="14">
        <f>+'KY_Res by Plant Acct P16(REG)'!L276</f>
        <v>40048.47</v>
      </c>
      <c r="M277" s="13"/>
      <c r="N277" s="14">
        <f>+'KY_Res by Plant Acct P16(REG)'!N276</f>
        <v>0</v>
      </c>
      <c r="O277" s="13"/>
      <c r="P277" s="14">
        <f>+'KY_Res by Plant Acct P16(REG)'!P276</f>
        <v>0</v>
      </c>
      <c r="Q277" s="13"/>
      <c r="R277" s="14">
        <f t="shared" ref="R277:R340" si="14">SUM(B277:P277)</f>
        <v>-21146215.410000004</v>
      </c>
    </row>
    <row r="278" spans="1:18" outlineLevel="1" x14ac:dyDescent="0.2">
      <c r="A278" s="3" t="s">
        <v>4090</v>
      </c>
      <c r="B278" s="14">
        <f>+'KY_Res by Plant Acct P16(REG)'!B277</f>
        <v>0</v>
      </c>
      <c r="C278" s="13"/>
      <c r="D278" s="14">
        <f>+'KY_Res by Plant Acct P16(REG)'!D277</f>
        <v>0</v>
      </c>
      <c r="E278" s="13"/>
      <c r="F278" s="14">
        <f>+'KY_Res by Plant Acct P16(REG)'!F277</f>
        <v>0</v>
      </c>
      <c r="G278" s="13"/>
      <c r="H278" s="14">
        <f>+'KY_Res by Plant Acct P16(REG)'!H277</f>
        <v>-12290258.449999999</v>
      </c>
      <c r="I278" s="13"/>
      <c r="J278" s="14">
        <f>+'KY_Res by Plant Acct P16(REG)'!J277</f>
        <v>0</v>
      </c>
      <c r="K278" s="13"/>
      <c r="L278" s="14">
        <f>+'KY_Res by Plant Acct P16(REG)'!L277</f>
        <v>0</v>
      </c>
      <c r="M278" s="13"/>
      <c r="N278" s="14">
        <f>+'KY_Res by Plant Acct P16(REG)'!N277</f>
        <v>0</v>
      </c>
      <c r="O278" s="13"/>
      <c r="P278" s="14">
        <f>+'KY_Res by Plant Acct P16(REG)'!P277</f>
        <v>0</v>
      </c>
      <c r="Q278" s="13"/>
      <c r="R278" s="14">
        <f t="shared" si="14"/>
        <v>-12290258.449999999</v>
      </c>
    </row>
    <row r="279" spans="1:18" outlineLevel="1" x14ac:dyDescent="0.2">
      <c r="A279" s="3" t="s">
        <v>4091</v>
      </c>
      <c r="B279" s="14">
        <f>+'KY_Res by Plant Acct P16(REG)'!B278</f>
        <v>0</v>
      </c>
      <c r="C279" s="13"/>
      <c r="D279" s="14">
        <f>+'KY_Res by Plant Acct P16(REG)'!D278</f>
        <v>0</v>
      </c>
      <c r="E279" s="13"/>
      <c r="F279" s="14">
        <f>+'KY_Res by Plant Acct P16(REG)'!F278</f>
        <v>0</v>
      </c>
      <c r="G279" s="13"/>
      <c r="H279" s="14">
        <f>+'KY_Res by Plant Acct P16(REG)'!H278</f>
        <v>0</v>
      </c>
      <c r="I279" s="13"/>
      <c r="J279" s="14">
        <f>+'KY_Res by Plant Acct P16(REG)'!J278</f>
        <v>0</v>
      </c>
      <c r="K279" s="13"/>
      <c r="L279" s="14">
        <f>+'KY_Res by Plant Acct P16(REG)'!L278</f>
        <v>0</v>
      </c>
      <c r="M279" s="13"/>
      <c r="N279" s="14">
        <f>+'KY_Res by Plant Acct P16(REG)'!N278</f>
        <v>0</v>
      </c>
      <c r="O279" s="13"/>
      <c r="P279" s="14">
        <f>+'KY_Res by Plant Acct P16(REG)'!P278</f>
        <v>0</v>
      </c>
      <c r="Q279" s="13"/>
      <c r="R279" s="14">
        <f t="shared" si="14"/>
        <v>0</v>
      </c>
    </row>
    <row r="280" spans="1:18" outlineLevel="1" x14ac:dyDescent="0.2">
      <c r="A280" s="3" t="s">
        <v>4092</v>
      </c>
      <c r="B280" s="14">
        <f>+'KY_Res by Plant Acct P16(REG)'!B279</f>
        <v>-20016045.609999999</v>
      </c>
      <c r="C280" s="13"/>
      <c r="D280" s="14">
        <f>+'KY_Res by Plant Acct P16(REG)'!D279</f>
        <v>-1292331.9099999999</v>
      </c>
      <c r="E280" s="13"/>
      <c r="F280" s="14">
        <f>+'KY_Res by Plant Acct P16(REG)'!F279</f>
        <v>65890.899999999994</v>
      </c>
      <c r="G280" s="13"/>
      <c r="H280" s="14">
        <f>+'KY_Res by Plant Acct P16(REG)'!H279</f>
        <v>0</v>
      </c>
      <c r="I280" s="13"/>
      <c r="J280" s="14">
        <f>+'KY_Res by Plant Acct P16(REG)'!J279</f>
        <v>0</v>
      </c>
      <c r="K280" s="13"/>
      <c r="L280" s="14">
        <f>+'KY_Res by Plant Acct P16(REG)'!L279</f>
        <v>10726.95</v>
      </c>
      <c r="M280" s="13"/>
      <c r="N280" s="14">
        <f>+'KY_Res by Plant Acct P16(REG)'!N279</f>
        <v>0</v>
      </c>
      <c r="O280" s="13"/>
      <c r="P280" s="14">
        <f>+'KY_Res by Plant Acct P16(REG)'!P279</f>
        <v>0</v>
      </c>
      <c r="Q280" s="13"/>
      <c r="R280" s="14">
        <f t="shared" si="14"/>
        <v>-21231759.670000002</v>
      </c>
    </row>
    <row r="281" spans="1:18" outlineLevel="1" x14ac:dyDescent="0.2">
      <c r="A281" s="3" t="s">
        <v>4093</v>
      </c>
      <c r="B281" s="14">
        <f>+'KY_Res by Plant Acct P16(REG)'!B280</f>
        <v>0</v>
      </c>
      <c r="C281" s="13"/>
      <c r="D281" s="14">
        <f>+'KY_Res by Plant Acct P16(REG)'!D280</f>
        <v>0</v>
      </c>
      <c r="E281" s="13"/>
      <c r="F281" s="14">
        <f>+'KY_Res by Plant Acct P16(REG)'!F280</f>
        <v>0</v>
      </c>
      <c r="G281" s="13"/>
      <c r="H281" s="14">
        <f>+'KY_Res by Plant Acct P16(REG)'!H280</f>
        <v>0</v>
      </c>
      <c r="I281" s="13"/>
      <c r="J281" s="14">
        <f>+'KY_Res by Plant Acct P16(REG)'!J280</f>
        <v>0</v>
      </c>
      <c r="K281" s="13"/>
      <c r="L281" s="14">
        <f>+'KY_Res by Plant Acct P16(REG)'!L280</f>
        <v>0</v>
      </c>
      <c r="M281" s="13"/>
      <c r="N281" s="14">
        <f>+'KY_Res by Plant Acct P16(REG)'!N280</f>
        <v>0</v>
      </c>
      <c r="O281" s="13"/>
      <c r="P281" s="14">
        <f>+'KY_Res by Plant Acct P16(REG)'!P280</f>
        <v>0</v>
      </c>
      <c r="Q281" s="13"/>
      <c r="R281" s="14">
        <f t="shared" si="14"/>
        <v>0</v>
      </c>
    </row>
    <row r="282" spans="1:18" outlineLevel="1" x14ac:dyDescent="0.2">
      <c r="A282" s="3" t="s">
        <v>4094</v>
      </c>
      <c r="B282" s="14">
        <f>+'KY_Res by Plant Acct P16(REG)'!B281</f>
        <v>0</v>
      </c>
      <c r="C282" s="13"/>
      <c r="D282" s="14">
        <f>+'KY_Res by Plant Acct P16(REG)'!D281</f>
        <v>0</v>
      </c>
      <c r="E282" s="13"/>
      <c r="F282" s="14">
        <f>+'KY_Res by Plant Acct P16(REG)'!F281</f>
        <v>0</v>
      </c>
      <c r="G282" s="13"/>
      <c r="H282" s="14">
        <f>+'KY_Res by Plant Acct P16(REG)'!H281</f>
        <v>0</v>
      </c>
      <c r="I282" s="13"/>
      <c r="J282" s="14">
        <f>+'KY_Res by Plant Acct P16(REG)'!J281</f>
        <v>0</v>
      </c>
      <c r="K282" s="13"/>
      <c r="L282" s="14">
        <f>+'KY_Res by Plant Acct P16(REG)'!L281</f>
        <v>0</v>
      </c>
      <c r="M282" s="13"/>
      <c r="N282" s="14">
        <f>+'KY_Res by Plant Acct P16(REG)'!N281</f>
        <v>0</v>
      </c>
      <c r="O282" s="13"/>
      <c r="P282" s="14">
        <f>+'KY_Res by Plant Acct P16(REG)'!P281</f>
        <v>0</v>
      </c>
      <c r="Q282" s="13"/>
      <c r="R282" s="14">
        <f t="shared" si="14"/>
        <v>0</v>
      </c>
    </row>
    <row r="283" spans="1:18" outlineLevel="1" x14ac:dyDescent="0.2">
      <c r="A283" s="3" t="s">
        <v>4095</v>
      </c>
      <c r="B283" s="14">
        <f>+'KY_Res by Plant Acct P16(REG)'!B282</f>
        <v>-74967708.230000019</v>
      </c>
      <c r="C283" s="13"/>
      <c r="D283" s="14">
        <f>+'KY_Res by Plant Acct P16(REG)'!D282</f>
        <v>-3503055.32</v>
      </c>
      <c r="E283" s="13"/>
      <c r="F283" s="14">
        <f>+'KY_Res by Plant Acct P16(REG)'!F282</f>
        <v>198220.64</v>
      </c>
      <c r="G283" s="13"/>
      <c r="H283" s="14">
        <f>+'KY_Res by Plant Acct P16(REG)'!H282</f>
        <v>5142557.67</v>
      </c>
      <c r="I283" s="13"/>
      <c r="J283" s="14">
        <f>+'KY_Res by Plant Acct P16(REG)'!J282</f>
        <v>0</v>
      </c>
      <c r="K283" s="13"/>
      <c r="L283" s="14">
        <f>+'KY_Res by Plant Acct P16(REG)'!L282</f>
        <v>3659291.21</v>
      </c>
      <c r="M283" s="13"/>
      <c r="N283" s="14">
        <f>+'KY_Res by Plant Acct P16(REG)'!N282</f>
        <v>0</v>
      </c>
      <c r="O283" s="13"/>
      <c r="P283" s="14">
        <f>+'KY_Res by Plant Acct P16(REG)'!P282</f>
        <v>0</v>
      </c>
      <c r="Q283" s="13"/>
      <c r="R283" s="14">
        <f t="shared" si="14"/>
        <v>-69470694.030000016</v>
      </c>
    </row>
    <row r="284" spans="1:18" outlineLevel="1" x14ac:dyDescent="0.2">
      <c r="A284" s="3" t="s">
        <v>4096</v>
      </c>
      <c r="B284" s="14">
        <f>+'KY_Res by Plant Acct P16(REG)'!B283</f>
        <v>0</v>
      </c>
      <c r="C284" s="13"/>
      <c r="D284" s="14">
        <f>+'KY_Res by Plant Acct P16(REG)'!D283</f>
        <v>0</v>
      </c>
      <c r="E284" s="13"/>
      <c r="F284" s="14">
        <f>+'KY_Res by Plant Acct P16(REG)'!F283</f>
        <v>0</v>
      </c>
      <c r="G284" s="13"/>
      <c r="H284" s="14">
        <f>+'KY_Res by Plant Acct P16(REG)'!H283</f>
        <v>-5142557.67</v>
      </c>
      <c r="I284" s="13"/>
      <c r="J284" s="14">
        <f>+'KY_Res by Plant Acct P16(REG)'!J283</f>
        <v>0</v>
      </c>
      <c r="K284" s="13"/>
      <c r="L284" s="14">
        <f>+'KY_Res by Plant Acct P16(REG)'!L283</f>
        <v>0</v>
      </c>
      <c r="M284" s="13"/>
      <c r="N284" s="14">
        <f>+'KY_Res by Plant Acct P16(REG)'!N283</f>
        <v>0</v>
      </c>
      <c r="O284" s="13"/>
      <c r="P284" s="14">
        <f>+'KY_Res by Plant Acct P16(REG)'!P283</f>
        <v>0</v>
      </c>
      <c r="Q284" s="13"/>
      <c r="R284" s="14">
        <f>+'KY_Res by Plant Acct P16(REG)'!R283</f>
        <v>-5142557.67</v>
      </c>
    </row>
    <row r="285" spans="1:18" outlineLevel="1" x14ac:dyDescent="0.2">
      <c r="A285" s="3" t="s">
        <v>4097</v>
      </c>
      <c r="B285" s="14">
        <f>+'KY_Res by Plant Acct P16(REG)'!B284</f>
        <v>0</v>
      </c>
      <c r="C285" s="13"/>
      <c r="D285" s="14">
        <f>+'KY_Res by Plant Acct P16(REG)'!D284</f>
        <v>0</v>
      </c>
      <c r="E285" s="13"/>
      <c r="F285" s="14">
        <f>+'KY_Res by Plant Acct P16(REG)'!F284</f>
        <v>0</v>
      </c>
      <c r="G285" s="13"/>
      <c r="H285" s="14">
        <f>+'KY_Res by Plant Acct P16(REG)'!H284</f>
        <v>0</v>
      </c>
      <c r="I285" s="13"/>
      <c r="J285" s="14">
        <f>+'KY_Res by Plant Acct P16(REG)'!J284</f>
        <v>0</v>
      </c>
      <c r="K285" s="13"/>
      <c r="L285" s="14">
        <f>+'KY_Res by Plant Acct P16(REG)'!L284</f>
        <v>0</v>
      </c>
      <c r="M285" s="13"/>
      <c r="N285" s="14">
        <f>+'KY_Res by Plant Acct P16(REG)'!N284</f>
        <v>0</v>
      </c>
      <c r="O285" s="13"/>
      <c r="P285" s="14">
        <f>+'KY_Res by Plant Acct P16(REG)'!P284</f>
        <v>0</v>
      </c>
      <c r="Q285" s="13"/>
      <c r="R285" s="14">
        <f t="shared" si="14"/>
        <v>0</v>
      </c>
    </row>
    <row r="286" spans="1:18" outlineLevel="1" x14ac:dyDescent="0.2">
      <c r="A286" s="3" t="s">
        <v>4098</v>
      </c>
      <c r="B286" s="14">
        <f>+'KY_Res by Plant Acct P16(REG)'!B285</f>
        <v>0</v>
      </c>
      <c r="C286" s="13"/>
      <c r="D286" s="14">
        <f>+'KY_Res by Plant Acct P16(REG)'!D285</f>
        <v>0</v>
      </c>
      <c r="E286" s="13"/>
      <c r="F286" s="14">
        <f>+'KY_Res by Plant Acct P16(REG)'!F285</f>
        <v>0</v>
      </c>
      <c r="G286" s="13"/>
      <c r="H286" s="14">
        <f>+'KY_Res by Plant Acct P16(REG)'!H285</f>
        <v>0</v>
      </c>
      <c r="I286" s="13"/>
      <c r="J286" s="14">
        <f>+'KY_Res by Plant Acct P16(REG)'!J285</f>
        <v>0</v>
      </c>
      <c r="K286" s="13"/>
      <c r="L286" s="14">
        <f>+'KY_Res by Plant Acct P16(REG)'!L285</f>
        <v>0</v>
      </c>
      <c r="M286" s="13"/>
      <c r="N286" s="14">
        <f>+'KY_Res by Plant Acct P16(REG)'!N285</f>
        <v>0</v>
      </c>
      <c r="O286" s="13"/>
      <c r="P286" s="14">
        <f>+'KY_Res by Plant Acct P16(REG)'!P285</f>
        <v>0</v>
      </c>
      <c r="Q286" s="13"/>
      <c r="R286" s="14">
        <f t="shared" si="14"/>
        <v>0</v>
      </c>
    </row>
    <row r="287" spans="1:18" outlineLevel="1" x14ac:dyDescent="0.2">
      <c r="A287" s="3" t="s">
        <v>4099</v>
      </c>
      <c r="B287" s="14">
        <f>+'KY_Res by Plant Acct P16(REG)'!B286</f>
        <v>-10017119.970000001</v>
      </c>
      <c r="C287" s="13"/>
      <c r="D287" s="14">
        <f>+'KY_Res by Plant Acct P16(REG)'!D286</f>
        <v>-2977681.29</v>
      </c>
      <c r="E287" s="13"/>
      <c r="F287" s="14">
        <f>+'KY_Res by Plant Acct P16(REG)'!F286</f>
        <v>1187413.3500000001</v>
      </c>
      <c r="G287" s="13"/>
      <c r="H287" s="14">
        <f>+'KY_Res by Plant Acct P16(REG)'!H286</f>
        <v>0</v>
      </c>
      <c r="I287" s="13"/>
      <c r="J287" s="14">
        <f>+'KY_Res by Plant Acct P16(REG)'!J286</f>
        <v>0</v>
      </c>
      <c r="K287" s="13"/>
      <c r="L287" s="14">
        <f>+'KY_Res by Plant Acct P16(REG)'!L286</f>
        <v>171251.87</v>
      </c>
      <c r="M287" s="13"/>
      <c r="N287" s="14">
        <f>+'KY_Res by Plant Acct P16(REG)'!N286</f>
        <v>0</v>
      </c>
      <c r="O287" s="13"/>
      <c r="P287" s="14">
        <f>+'KY_Res by Plant Acct P16(REG)'!P286</f>
        <v>-2</v>
      </c>
      <c r="Q287" s="13"/>
      <c r="R287" s="14">
        <f>SUM(B287:P287)</f>
        <v>-11636138.040000003</v>
      </c>
    </row>
    <row r="288" spans="1:18" outlineLevel="1" x14ac:dyDescent="0.2">
      <c r="A288" s="3" t="s">
        <v>4100</v>
      </c>
      <c r="B288" s="14">
        <f>+'KY_Res by Plant Acct P16(REG)'!B287</f>
        <v>-2871917.4099999997</v>
      </c>
      <c r="C288" s="13"/>
      <c r="D288" s="14">
        <f>+'KY_Res by Plant Acct P16(REG)'!D287</f>
        <v>-4762405.46</v>
      </c>
      <c r="E288" s="13"/>
      <c r="F288" s="14">
        <f>+'KY_Res by Plant Acct P16(REG)'!F287</f>
        <v>0</v>
      </c>
      <c r="G288" s="13"/>
      <c r="H288" s="14">
        <f>+'KY_Res by Plant Acct P16(REG)'!H287</f>
        <v>0</v>
      </c>
      <c r="I288" s="13"/>
      <c r="J288" s="14">
        <f>+'KY_Res by Plant Acct P16(REG)'!J287</f>
        <v>0</v>
      </c>
      <c r="K288" s="13"/>
      <c r="L288" s="14">
        <f>+'KY_Res by Plant Acct P16(REG)'!L287</f>
        <v>0</v>
      </c>
      <c r="M288" s="13"/>
      <c r="N288" s="14">
        <f>+'KY_Res by Plant Acct P16(REG)'!N287</f>
        <v>0</v>
      </c>
      <c r="O288" s="13"/>
      <c r="P288" s="14">
        <f>+'KY_Res by Plant Acct P16(REG)'!P287</f>
        <v>0</v>
      </c>
      <c r="Q288" s="13"/>
      <c r="R288" s="14">
        <f>SUM(B288:P288)</f>
        <v>-7634322.8699999992</v>
      </c>
    </row>
    <row r="289" spans="1:18" outlineLevel="1" x14ac:dyDescent="0.2">
      <c r="A289" s="3" t="s">
        <v>4101</v>
      </c>
      <c r="B289" s="14">
        <f>+'KY_Res by Plant Acct P16(REG)'!B288</f>
        <v>-90992588.25</v>
      </c>
      <c r="C289" s="13"/>
      <c r="D289" s="14">
        <f>+'KY_Res by Plant Acct P16(REG)'!D288</f>
        <v>-15220368.039999999</v>
      </c>
      <c r="E289" s="13"/>
      <c r="F289" s="14">
        <f>+'KY_Res by Plant Acct P16(REG)'!F288</f>
        <v>223199.24</v>
      </c>
      <c r="G289" s="13"/>
      <c r="H289" s="14">
        <f>+'KY_Res by Plant Acct P16(REG)'!H288</f>
        <v>0</v>
      </c>
      <c r="I289" s="13"/>
      <c r="J289" s="14">
        <f>+'KY_Res by Plant Acct P16(REG)'!J288</f>
        <v>0</v>
      </c>
      <c r="K289" s="13"/>
      <c r="L289" s="14">
        <f>+'KY_Res by Plant Acct P16(REG)'!L288</f>
        <v>32191.81</v>
      </c>
      <c r="M289" s="13"/>
      <c r="N289" s="14">
        <f>+'KY_Res by Plant Acct P16(REG)'!N288</f>
        <v>0</v>
      </c>
      <c r="O289" s="13"/>
      <c r="P289" s="14">
        <f>+'KY_Res by Plant Acct P16(REG)'!P288</f>
        <v>0</v>
      </c>
      <c r="Q289" s="13"/>
      <c r="R289" s="14">
        <f t="shared" si="14"/>
        <v>-105957565.23999999</v>
      </c>
    </row>
    <row r="290" spans="1:18" outlineLevel="1" x14ac:dyDescent="0.2">
      <c r="A290" s="3" t="s">
        <v>4102</v>
      </c>
      <c r="B290" s="14">
        <f>+'KY_Res by Plant Acct P16(REG)'!B289</f>
        <v>0</v>
      </c>
      <c r="C290" s="13"/>
      <c r="D290" s="14">
        <f>+'KY_Res by Plant Acct P16(REG)'!D289</f>
        <v>0</v>
      </c>
      <c r="E290" s="13"/>
      <c r="F290" s="14">
        <f>+'KY_Res by Plant Acct P16(REG)'!F289</f>
        <v>0</v>
      </c>
      <c r="G290" s="13"/>
      <c r="H290" s="14">
        <f>+'KY_Res by Plant Acct P16(REG)'!H289</f>
        <v>0</v>
      </c>
      <c r="I290" s="13"/>
      <c r="J290" s="14">
        <f>+'KY_Res by Plant Acct P16(REG)'!J289</f>
        <v>0</v>
      </c>
      <c r="K290" s="13"/>
      <c r="L290" s="14">
        <f>+'KY_Res by Plant Acct P16(REG)'!L289</f>
        <v>0</v>
      </c>
      <c r="M290" s="13"/>
      <c r="N290" s="14">
        <f>+'KY_Res by Plant Acct P16(REG)'!N289</f>
        <v>0</v>
      </c>
      <c r="O290" s="13"/>
      <c r="P290" s="14">
        <f>+'KY_Res by Plant Acct P16(REG)'!P289</f>
        <v>0</v>
      </c>
      <c r="Q290" s="13"/>
      <c r="R290" s="14">
        <f t="shared" si="14"/>
        <v>0</v>
      </c>
    </row>
    <row r="291" spans="1:18" outlineLevel="1" x14ac:dyDescent="0.2">
      <c r="A291" s="3" t="s">
        <v>4103</v>
      </c>
      <c r="B291" s="14">
        <f>+'KY_Res by Plant Acct P16(REG)'!B290</f>
        <v>-97096877.439999998</v>
      </c>
      <c r="C291" s="13"/>
      <c r="D291" s="14">
        <f>+'KY_Res by Plant Acct P16(REG)'!D290</f>
        <v>-5391008.7999999998</v>
      </c>
      <c r="E291" s="13"/>
      <c r="F291" s="14">
        <f>+'KY_Res by Plant Acct P16(REG)'!F290</f>
        <v>1353667.52</v>
      </c>
      <c r="G291" s="13"/>
      <c r="H291" s="14">
        <f>+'KY_Res by Plant Acct P16(REG)'!H290</f>
        <v>2071909.6</v>
      </c>
      <c r="I291" s="13"/>
      <c r="J291" s="14">
        <f>+'KY_Res by Plant Acct P16(REG)'!J290</f>
        <v>0</v>
      </c>
      <c r="K291" s="13"/>
      <c r="L291" s="14">
        <f>+'KY_Res by Plant Acct P16(REG)'!L290</f>
        <v>241564.28</v>
      </c>
      <c r="M291" s="13"/>
      <c r="N291" s="14">
        <f>+'KY_Res by Plant Acct P16(REG)'!N290</f>
        <v>-18232.21</v>
      </c>
      <c r="O291" s="13"/>
      <c r="P291" s="14">
        <f>+'KY_Res by Plant Acct P16(REG)'!P290</f>
        <v>0</v>
      </c>
      <c r="Q291" s="13"/>
      <c r="R291" s="14">
        <f t="shared" si="14"/>
        <v>-98838977.049999997</v>
      </c>
    </row>
    <row r="292" spans="1:18" outlineLevel="1" x14ac:dyDescent="0.2">
      <c r="A292" s="3" t="s">
        <v>4104</v>
      </c>
      <c r="B292" s="14">
        <f>+'KY_Res by Plant Acct P16(REG)'!B291</f>
        <v>0</v>
      </c>
      <c r="C292" s="13"/>
      <c r="D292" s="14">
        <f>+'KY_Res by Plant Acct P16(REG)'!D291</f>
        <v>0</v>
      </c>
      <c r="E292" s="13"/>
      <c r="F292" s="14">
        <f>+'KY_Res by Plant Acct P16(REG)'!F291</f>
        <v>0</v>
      </c>
      <c r="G292" s="13"/>
      <c r="H292" s="14">
        <f>+'KY_Res by Plant Acct P16(REG)'!H291</f>
        <v>-2073761.03</v>
      </c>
      <c r="I292" s="13"/>
      <c r="J292" s="14">
        <f>+'KY_Res by Plant Acct P16(REG)'!J291</f>
        <v>0</v>
      </c>
      <c r="K292" s="13"/>
      <c r="L292" s="14">
        <f>+'KY_Res by Plant Acct P16(REG)'!L291</f>
        <v>0</v>
      </c>
      <c r="M292" s="13"/>
      <c r="N292" s="14">
        <f>+'KY_Res by Plant Acct P16(REG)'!N291</f>
        <v>0</v>
      </c>
      <c r="O292" s="13"/>
      <c r="P292" s="14">
        <f>+'KY_Res by Plant Acct P16(REG)'!P291</f>
        <v>0</v>
      </c>
      <c r="Q292" s="13"/>
      <c r="R292" s="14">
        <f t="shared" si="14"/>
        <v>-2073761.03</v>
      </c>
    </row>
    <row r="293" spans="1:18" outlineLevel="1" x14ac:dyDescent="0.2">
      <c r="A293" s="3" t="s">
        <v>4105</v>
      </c>
      <c r="B293" s="14">
        <f>+'KY_Res by Plant Acct P16(REG)'!B292</f>
        <v>0</v>
      </c>
      <c r="C293" s="13"/>
      <c r="D293" s="14">
        <f>+'KY_Res by Plant Acct P16(REG)'!D292</f>
        <v>0</v>
      </c>
      <c r="E293" s="13"/>
      <c r="F293" s="14">
        <f>+'KY_Res by Plant Acct P16(REG)'!F292</f>
        <v>0</v>
      </c>
      <c r="G293" s="13"/>
      <c r="H293" s="14">
        <f>+'KY_Res by Plant Acct P16(REG)'!H292</f>
        <v>0</v>
      </c>
      <c r="I293" s="13"/>
      <c r="J293" s="14">
        <f>+'KY_Res by Plant Acct P16(REG)'!J292</f>
        <v>0</v>
      </c>
      <c r="K293" s="13"/>
      <c r="L293" s="14">
        <f>+'KY_Res by Plant Acct P16(REG)'!L292</f>
        <v>0</v>
      </c>
      <c r="M293" s="13"/>
      <c r="N293" s="14">
        <f>+'KY_Res by Plant Acct P16(REG)'!N292</f>
        <v>0</v>
      </c>
      <c r="O293" s="13"/>
      <c r="P293" s="14">
        <f>+'KY_Res by Plant Acct P16(REG)'!P292</f>
        <v>0</v>
      </c>
      <c r="Q293" s="13"/>
      <c r="R293" s="14">
        <f t="shared" si="14"/>
        <v>0</v>
      </c>
    </row>
    <row r="294" spans="1:18" outlineLevel="1" x14ac:dyDescent="0.2">
      <c r="A294" s="3" t="s">
        <v>4106</v>
      </c>
      <c r="B294" s="14">
        <f>+'KY_Res by Plant Acct P16(REG)'!B293</f>
        <v>0</v>
      </c>
      <c r="C294" s="13"/>
      <c r="D294" s="14">
        <f>+'KY_Res by Plant Acct P16(REG)'!D293</f>
        <v>0</v>
      </c>
      <c r="E294" s="13"/>
      <c r="F294" s="14">
        <f>+'KY_Res by Plant Acct P16(REG)'!F293</f>
        <v>0</v>
      </c>
      <c r="G294" s="13"/>
      <c r="H294" s="14">
        <f>+'KY_Res by Plant Acct P16(REG)'!H293</f>
        <v>0</v>
      </c>
      <c r="I294" s="13"/>
      <c r="J294" s="14">
        <f>+'KY_Res by Plant Acct P16(REG)'!J293</f>
        <v>0</v>
      </c>
      <c r="K294" s="13"/>
      <c r="L294" s="14">
        <f>+'KY_Res by Plant Acct P16(REG)'!L293</f>
        <v>0</v>
      </c>
      <c r="M294" s="13"/>
      <c r="N294" s="14">
        <f>+'KY_Res by Plant Acct P16(REG)'!N293</f>
        <v>0</v>
      </c>
      <c r="O294" s="13"/>
      <c r="P294" s="14">
        <f>+'KY_Res by Plant Acct P16(REG)'!P293</f>
        <v>0</v>
      </c>
      <c r="Q294" s="13"/>
      <c r="R294" s="14">
        <f t="shared" si="14"/>
        <v>0</v>
      </c>
    </row>
    <row r="295" spans="1:18" outlineLevel="1" x14ac:dyDescent="0.2">
      <c r="A295" s="43" t="s">
        <v>4107</v>
      </c>
      <c r="B295" s="14">
        <f>+'KY_Res by Plant Acct P16(REG)'!B294</f>
        <v>-6844018.5700000003</v>
      </c>
      <c r="C295" s="13"/>
      <c r="D295" s="14">
        <f>+'KY_Res by Plant Acct P16(REG)'!D294</f>
        <v>-4431718.62</v>
      </c>
      <c r="E295" s="13"/>
      <c r="F295" s="14">
        <f>+'KY_Res by Plant Acct P16(REG)'!F294</f>
        <v>0</v>
      </c>
      <c r="G295" s="13"/>
      <c r="H295" s="14">
        <f>+'KY_Res by Plant Acct P16(REG)'!H294</f>
        <v>0</v>
      </c>
      <c r="I295" s="13"/>
      <c r="J295" s="14">
        <f>+'KY_Res by Plant Acct P16(REG)'!J294</f>
        <v>0</v>
      </c>
      <c r="K295" s="13"/>
      <c r="L295" s="14">
        <f>+'KY_Res by Plant Acct P16(REG)'!L294</f>
        <v>0</v>
      </c>
      <c r="M295" s="13"/>
      <c r="N295" s="14">
        <f>+'KY_Res by Plant Acct P16(REG)'!N294</f>
        <v>0</v>
      </c>
      <c r="O295" s="13"/>
      <c r="P295" s="14">
        <f>+'KY_Res by Plant Acct P16(REG)'!P294</f>
        <v>0</v>
      </c>
      <c r="Q295" s="13"/>
      <c r="R295" s="14">
        <f>SUM(B295:P295)</f>
        <v>-11275737.190000001</v>
      </c>
    </row>
    <row r="296" spans="1:18" outlineLevel="1" x14ac:dyDescent="0.2">
      <c r="A296" s="43" t="s">
        <v>4108</v>
      </c>
      <c r="B296" s="14">
        <f>+'KY_Res by Plant Acct P16(REG)'!B295</f>
        <v>0</v>
      </c>
      <c r="C296" s="13"/>
      <c r="D296" s="14">
        <f>+'KY_Res by Plant Acct P16(REG)'!D295</f>
        <v>0</v>
      </c>
      <c r="E296" s="13"/>
      <c r="F296" s="14">
        <f>+'KY_Res by Plant Acct P16(REG)'!F295</f>
        <v>0</v>
      </c>
      <c r="G296" s="13"/>
      <c r="H296" s="14">
        <f>+'KY_Res by Plant Acct P16(REG)'!H295</f>
        <v>-39208.92</v>
      </c>
      <c r="I296" s="13"/>
      <c r="J296" s="14">
        <f>+'KY_Res by Plant Acct P16(REG)'!J295</f>
        <v>0</v>
      </c>
      <c r="K296" s="13"/>
      <c r="L296" s="14">
        <f>+'KY_Res by Plant Acct P16(REG)'!L295</f>
        <v>0</v>
      </c>
      <c r="M296" s="13"/>
      <c r="N296" s="14">
        <f>+'KY_Res by Plant Acct P16(REG)'!N295</f>
        <v>0</v>
      </c>
      <c r="O296" s="13"/>
      <c r="P296" s="14">
        <f>+'KY_Res by Plant Acct P16(REG)'!P295</f>
        <v>0</v>
      </c>
      <c r="Q296" s="13"/>
      <c r="R296" s="14">
        <f>SUM(B296:P296)</f>
        <v>-39208.92</v>
      </c>
    </row>
    <row r="297" spans="1:18" outlineLevel="1" x14ac:dyDescent="0.2">
      <c r="A297" s="3" t="s">
        <v>4109</v>
      </c>
      <c r="B297" s="14">
        <f>+'KY_Res by Plant Acct P16(REG)'!B296</f>
        <v>-52198983.870000005</v>
      </c>
      <c r="C297" s="13"/>
      <c r="D297" s="14">
        <f>+'KY_Res by Plant Acct P16(REG)'!D296</f>
        <v>-5489374.2000000002</v>
      </c>
      <c r="E297" s="13"/>
      <c r="F297" s="14">
        <f>+'KY_Res by Plant Acct P16(REG)'!F296</f>
        <v>7961.09</v>
      </c>
      <c r="G297" s="13"/>
      <c r="H297" s="14">
        <f>+'KY_Res by Plant Acct P16(REG)'!H296</f>
        <v>39208.92</v>
      </c>
      <c r="I297" s="13"/>
      <c r="J297" s="14">
        <f>+'KY_Res by Plant Acct P16(REG)'!J296</f>
        <v>0</v>
      </c>
      <c r="K297" s="13"/>
      <c r="L297" s="14">
        <f>+'KY_Res by Plant Acct P16(REG)'!L296</f>
        <v>1503.19</v>
      </c>
      <c r="M297" s="13"/>
      <c r="N297" s="14">
        <f>+'KY_Res by Plant Acct P16(REG)'!N296</f>
        <v>0</v>
      </c>
      <c r="O297" s="13"/>
      <c r="P297" s="14">
        <f>+'KY_Res by Plant Acct P16(REG)'!P296</f>
        <v>0</v>
      </c>
      <c r="Q297" s="13"/>
      <c r="R297" s="14">
        <f t="shared" si="14"/>
        <v>-57639684.870000005</v>
      </c>
    </row>
    <row r="298" spans="1:18" outlineLevel="1" x14ac:dyDescent="0.2">
      <c r="A298" s="3" t="s">
        <v>4110</v>
      </c>
      <c r="B298" s="14">
        <f>+'KY_Res by Plant Acct P16(REG)'!B297</f>
        <v>0</v>
      </c>
      <c r="C298" s="13"/>
      <c r="D298" s="14">
        <f>+'KY_Res by Plant Acct P16(REG)'!D297</f>
        <v>0</v>
      </c>
      <c r="E298" s="13"/>
      <c r="F298" s="14">
        <f>+'KY_Res by Plant Acct P16(REG)'!F297</f>
        <v>0</v>
      </c>
      <c r="G298" s="13"/>
      <c r="H298" s="14">
        <f>+'KY_Res by Plant Acct P16(REG)'!H297</f>
        <v>0</v>
      </c>
      <c r="I298" s="13"/>
      <c r="J298" s="14">
        <f>+'KY_Res by Plant Acct P16(REG)'!J297</f>
        <v>0</v>
      </c>
      <c r="K298" s="13"/>
      <c r="L298" s="14">
        <f>+'KY_Res by Plant Acct P16(REG)'!L297</f>
        <v>0</v>
      </c>
      <c r="M298" s="13"/>
      <c r="N298" s="14">
        <f>+'KY_Res by Plant Acct P16(REG)'!N297</f>
        <v>0</v>
      </c>
      <c r="O298" s="13"/>
      <c r="P298" s="14">
        <f>+'KY_Res by Plant Acct P16(REG)'!P297</f>
        <v>0</v>
      </c>
      <c r="Q298" s="13"/>
      <c r="R298" s="14">
        <f t="shared" si="14"/>
        <v>0</v>
      </c>
    </row>
    <row r="299" spans="1:18" outlineLevel="1" x14ac:dyDescent="0.2">
      <c r="A299" s="3" t="s">
        <v>4111</v>
      </c>
      <c r="B299" s="14">
        <f>+'KY_Res by Plant Acct P16(REG)'!B298</f>
        <v>-68124697.469999984</v>
      </c>
      <c r="C299" s="13"/>
      <c r="D299" s="14">
        <f>+'KY_Res by Plant Acct P16(REG)'!D298</f>
        <v>-2054503.48</v>
      </c>
      <c r="E299" s="13"/>
      <c r="F299" s="14">
        <f>+'KY_Res by Plant Acct P16(REG)'!F298</f>
        <v>466082.24</v>
      </c>
      <c r="G299" s="13"/>
      <c r="H299" s="14">
        <f>+'KY_Res by Plant Acct P16(REG)'!H298</f>
        <v>1851.43</v>
      </c>
      <c r="I299" s="13"/>
      <c r="J299" s="14">
        <f>+'KY_Res by Plant Acct P16(REG)'!J298</f>
        <v>0</v>
      </c>
      <c r="K299" s="13"/>
      <c r="L299" s="14">
        <f>+'KY_Res by Plant Acct P16(REG)'!L298</f>
        <v>284228.23</v>
      </c>
      <c r="M299" s="13"/>
      <c r="N299" s="14">
        <f>+'KY_Res by Plant Acct P16(REG)'!N298</f>
        <v>-66.37</v>
      </c>
      <c r="O299" s="13"/>
      <c r="P299" s="14">
        <f>+'KY_Res by Plant Acct P16(REG)'!P298</f>
        <v>0</v>
      </c>
      <c r="Q299" s="13"/>
      <c r="R299" s="14">
        <f t="shared" si="14"/>
        <v>-69427105.419999987</v>
      </c>
    </row>
    <row r="300" spans="1:18" outlineLevel="1" x14ac:dyDescent="0.2">
      <c r="A300" s="3" t="s">
        <v>4112</v>
      </c>
      <c r="B300" s="14">
        <f>+'KY_Res by Plant Acct P16(REG)'!B299</f>
        <v>0</v>
      </c>
      <c r="C300" s="13"/>
      <c r="D300" s="14">
        <f>+'KY_Res by Plant Acct P16(REG)'!D299</f>
        <v>0</v>
      </c>
      <c r="E300" s="13"/>
      <c r="F300" s="14">
        <f>+'KY_Res by Plant Acct P16(REG)'!F299</f>
        <v>0</v>
      </c>
      <c r="G300" s="13"/>
      <c r="H300" s="14">
        <f>+'KY_Res by Plant Acct P16(REG)'!H299</f>
        <v>0</v>
      </c>
      <c r="I300" s="13"/>
      <c r="J300" s="14">
        <f>+'KY_Res by Plant Acct P16(REG)'!J299</f>
        <v>0</v>
      </c>
      <c r="K300" s="13"/>
      <c r="L300" s="14">
        <f>+'KY_Res by Plant Acct P16(REG)'!L299</f>
        <v>0</v>
      </c>
      <c r="M300" s="13"/>
      <c r="N300" s="14">
        <f>+'KY_Res by Plant Acct P16(REG)'!N299</f>
        <v>0</v>
      </c>
      <c r="O300" s="13"/>
      <c r="P300" s="14">
        <f>+'KY_Res by Plant Acct P16(REG)'!P299</f>
        <v>0</v>
      </c>
      <c r="Q300" s="13"/>
      <c r="R300" s="14">
        <f t="shared" si="14"/>
        <v>0</v>
      </c>
    </row>
    <row r="301" spans="1:18" outlineLevel="1" x14ac:dyDescent="0.2">
      <c r="A301" s="43" t="s">
        <v>4113</v>
      </c>
      <c r="B301" s="14">
        <f>+'KY_Res by Plant Acct P16(REG)'!B300</f>
        <v>-2468713.5300000003</v>
      </c>
      <c r="C301" s="13"/>
      <c r="D301" s="14">
        <f>+'KY_Res by Plant Acct P16(REG)'!D300</f>
        <v>-2243641.62</v>
      </c>
      <c r="E301" s="13"/>
      <c r="F301" s="14">
        <f>+'KY_Res by Plant Acct P16(REG)'!F300</f>
        <v>0</v>
      </c>
      <c r="G301" s="13"/>
      <c r="H301" s="14">
        <f>+'KY_Res by Plant Acct P16(REG)'!H300</f>
        <v>0</v>
      </c>
      <c r="I301" s="13"/>
      <c r="J301" s="14">
        <f>+'KY_Res by Plant Acct P16(REG)'!J300</f>
        <v>0</v>
      </c>
      <c r="K301" s="13"/>
      <c r="L301" s="14">
        <f>+'KY_Res by Plant Acct P16(REG)'!L300</f>
        <v>0</v>
      </c>
      <c r="M301" s="13"/>
      <c r="N301" s="14">
        <f>+'KY_Res by Plant Acct P16(REG)'!N300</f>
        <v>0</v>
      </c>
      <c r="O301" s="13"/>
      <c r="P301" s="14">
        <f>+'KY_Res by Plant Acct P16(REG)'!P300</f>
        <v>0</v>
      </c>
      <c r="Q301" s="13"/>
      <c r="R301" s="14">
        <f>SUM(B301:P301)</f>
        <v>-4712355.1500000004</v>
      </c>
    </row>
    <row r="302" spans="1:18" outlineLevel="1" x14ac:dyDescent="0.2">
      <c r="A302" s="43" t="s">
        <v>4114</v>
      </c>
      <c r="B302" s="14">
        <f>+'KY_Res by Plant Acct P16(REG)'!B301</f>
        <v>0</v>
      </c>
      <c r="C302" s="13"/>
      <c r="D302" s="14">
        <f>+'KY_Res by Plant Acct P16(REG)'!D301</f>
        <v>0</v>
      </c>
      <c r="E302" s="13"/>
      <c r="F302" s="14">
        <f>+'KY_Res by Plant Acct P16(REG)'!F301</f>
        <v>0</v>
      </c>
      <c r="G302" s="13"/>
      <c r="H302" s="14">
        <f>+'KY_Res by Plant Acct P16(REG)'!H301</f>
        <v>-1901133.18</v>
      </c>
      <c r="I302" s="13"/>
      <c r="J302" s="14">
        <f>+'KY_Res by Plant Acct P16(REG)'!J301</f>
        <v>0</v>
      </c>
      <c r="K302" s="13"/>
      <c r="L302" s="14">
        <f>+'KY_Res by Plant Acct P16(REG)'!L301</f>
        <v>0</v>
      </c>
      <c r="M302" s="13"/>
      <c r="N302" s="14">
        <f>+'KY_Res by Plant Acct P16(REG)'!N301</f>
        <v>0</v>
      </c>
      <c r="O302" s="13"/>
      <c r="P302" s="14">
        <f>+'KY_Res by Plant Acct P16(REG)'!P301</f>
        <v>0</v>
      </c>
      <c r="Q302" s="13"/>
      <c r="R302" s="14">
        <f>SUM(B302:P302)</f>
        <v>-1901133.18</v>
      </c>
    </row>
    <row r="303" spans="1:18" outlineLevel="1" x14ac:dyDescent="0.2">
      <c r="A303" s="3" t="s">
        <v>4115</v>
      </c>
      <c r="B303" s="14">
        <f>+'KY_Res by Plant Acct P16(REG)'!B302</f>
        <v>-62741340.660000004</v>
      </c>
      <c r="C303" s="13"/>
      <c r="D303" s="14">
        <f>+'KY_Res by Plant Acct P16(REG)'!D302</f>
        <v>-1513826.7</v>
      </c>
      <c r="E303" s="13"/>
      <c r="F303" s="14">
        <f>+'KY_Res by Plant Acct P16(REG)'!F302</f>
        <v>34472.589999999997</v>
      </c>
      <c r="G303" s="13"/>
      <c r="H303" s="14">
        <f>+'KY_Res by Plant Acct P16(REG)'!H302</f>
        <v>1901133.18</v>
      </c>
      <c r="I303" s="13"/>
      <c r="J303" s="14">
        <f>+'KY_Res by Plant Acct P16(REG)'!J302</f>
        <v>0</v>
      </c>
      <c r="K303" s="13"/>
      <c r="L303" s="14">
        <f>+'KY_Res by Plant Acct P16(REG)'!L302</f>
        <v>6798.89</v>
      </c>
      <c r="M303" s="13"/>
      <c r="N303" s="14">
        <f>+'KY_Res by Plant Acct P16(REG)'!N302</f>
        <v>0</v>
      </c>
      <c r="O303" s="13"/>
      <c r="P303" s="14">
        <f>+'KY_Res by Plant Acct P16(REG)'!P302</f>
        <v>0</v>
      </c>
      <c r="Q303" s="13"/>
      <c r="R303" s="14">
        <f t="shared" si="14"/>
        <v>-62312762.700000003</v>
      </c>
    </row>
    <row r="304" spans="1:18" outlineLevel="1" x14ac:dyDescent="0.2">
      <c r="A304" s="3" t="s">
        <v>4116</v>
      </c>
      <c r="B304" s="14">
        <f>+'KY_Res by Plant Acct P16(REG)'!B303</f>
        <v>0</v>
      </c>
      <c r="C304" s="13"/>
      <c r="D304" s="14">
        <f>+'KY_Res by Plant Acct P16(REG)'!D303</f>
        <v>0</v>
      </c>
      <c r="E304" s="13"/>
      <c r="F304" s="14">
        <f>+'KY_Res by Plant Acct P16(REG)'!F303</f>
        <v>0</v>
      </c>
      <c r="G304" s="13"/>
      <c r="H304" s="14">
        <f>+'KY_Res by Plant Acct P16(REG)'!H303</f>
        <v>0</v>
      </c>
      <c r="I304" s="13"/>
      <c r="J304" s="14">
        <f>+'KY_Res by Plant Acct P16(REG)'!J303</f>
        <v>0</v>
      </c>
      <c r="K304" s="13"/>
      <c r="L304" s="14">
        <f>+'KY_Res by Plant Acct P16(REG)'!L303</f>
        <v>0</v>
      </c>
      <c r="M304" s="13"/>
      <c r="N304" s="14">
        <f>+'KY_Res by Plant Acct P16(REG)'!N303</f>
        <v>0</v>
      </c>
      <c r="O304" s="13"/>
      <c r="P304" s="14">
        <f>+'KY_Res by Plant Acct P16(REG)'!P303</f>
        <v>0</v>
      </c>
      <c r="Q304" s="13"/>
      <c r="R304" s="14">
        <f t="shared" si="14"/>
        <v>0</v>
      </c>
    </row>
    <row r="305" spans="1:18" outlineLevel="1" x14ac:dyDescent="0.2">
      <c r="A305" s="43" t="s">
        <v>4117</v>
      </c>
      <c r="B305" s="14">
        <f>+'KY_Res by Plant Acct P16(REG)'!B304</f>
        <v>0</v>
      </c>
      <c r="C305" s="13"/>
      <c r="D305" s="14">
        <f>+'KY_Res by Plant Acct P16(REG)'!D304</f>
        <v>-54602.19</v>
      </c>
      <c r="E305" s="13"/>
      <c r="F305" s="14">
        <f>+'KY_Res by Plant Acct P16(REG)'!F304</f>
        <v>0</v>
      </c>
      <c r="G305" s="13"/>
      <c r="H305" s="14">
        <f>+'KY_Res by Plant Acct P16(REG)'!H304</f>
        <v>0</v>
      </c>
      <c r="I305" s="13"/>
      <c r="J305" s="14">
        <f>+'KY_Res by Plant Acct P16(REG)'!J304</f>
        <v>0</v>
      </c>
      <c r="K305" s="13"/>
      <c r="L305" s="14">
        <f>+'KY_Res by Plant Acct P16(REG)'!L304</f>
        <v>0</v>
      </c>
      <c r="M305" s="13"/>
      <c r="N305" s="14">
        <f>+'KY_Res by Plant Acct P16(REG)'!N304</f>
        <v>0</v>
      </c>
      <c r="O305" s="13"/>
      <c r="P305" s="14">
        <f>+'KY_Res by Plant Acct P16(REG)'!P304</f>
        <v>0</v>
      </c>
      <c r="Q305" s="13"/>
      <c r="R305" s="14">
        <f t="shared" si="14"/>
        <v>-54602.19</v>
      </c>
    </row>
    <row r="306" spans="1:18" outlineLevel="1" x14ac:dyDescent="0.2">
      <c r="A306" s="3" t="s">
        <v>4118</v>
      </c>
      <c r="B306" s="14">
        <f>+'KY_Res by Plant Acct P16(REG)'!B305</f>
        <v>-166326838.2100001</v>
      </c>
      <c r="C306" s="13"/>
      <c r="D306" s="14">
        <f>+'KY_Res by Plant Acct P16(REG)'!D305</f>
        <v>-5532368.8300000001</v>
      </c>
      <c r="E306" s="13"/>
      <c r="F306" s="14">
        <f>+'KY_Res by Plant Acct P16(REG)'!F305</f>
        <v>1493228</v>
      </c>
      <c r="G306" s="13"/>
      <c r="H306" s="14">
        <f>+'KY_Res by Plant Acct P16(REG)'!H305</f>
        <v>0</v>
      </c>
      <c r="I306" s="13"/>
      <c r="J306" s="14">
        <f>+'KY_Res by Plant Acct P16(REG)'!J305</f>
        <v>0</v>
      </c>
      <c r="K306" s="13"/>
      <c r="L306" s="14">
        <f>+'KY_Res by Plant Acct P16(REG)'!L305</f>
        <v>387657.96</v>
      </c>
      <c r="M306" s="13"/>
      <c r="N306" s="14">
        <f>+'KY_Res by Plant Acct P16(REG)'!N305</f>
        <v>-66.37</v>
      </c>
      <c r="O306" s="13"/>
      <c r="P306" s="14">
        <f>+'KY_Res by Plant Acct P16(REG)'!P305</f>
        <v>0</v>
      </c>
      <c r="Q306" s="13"/>
      <c r="R306" s="14">
        <f t="shared" si="14"/>
        <v>-169978387.45000011</v>
      </c>
    </row>
    <row r="307" spans="1:18" outlineLevel="1" x14ac:dyDescent="0.2">
      <c r="A307" s="3" t="s">
        <v>4119</v>
      </c>
      <c r="B307" s="14">
        <f>+'KY_Res by Plant Acct P16(REG)'!B306</f>
        <v>0</v>
      </c>
      <c r="C307" s="13"/>
      <c r="D307" s="14">
        <f>+'KY_Res by Plant Acct P16(REG)'!D306</f>
        <v>0</v>
      </c>
      <c r="E307" s="13"/>
      <c r="F307" s="14">
        <f>+'KY_Res by Plant Acct P16(REG)'!F306</f>
        <v>0</v>
      </c>
      <c r="G307" s="13"/>
      <c r="H307" s="14">
        <f>+'KY_Res by Plant Acct P16(REG)'!H306</f>
        <v>0</v>
      </c>
      <c r="I307" s="13"/>
      <c r="J307" s="14">
        <f>+'KY_Res by Plant Acct P16(REG)'!J306</f>
        <v>0</v>
      </c>
      <c r="K307" s="13"/>
      <c r="L307" s="14">
        <f>+'KY_Res by Plant Acct P16(REG)'!L306</f>
        <v>0</v>
      </c>
      <c r="M307" s="13"/>
      <c r="N307" s="14">
        <f>+'KY_Res by Plant Acct P16(REG)'!N306</f>
        <v>0</v>
      </c>
      <c r="O307" s="13"/>
      <c r="P307" s="14">
        <f>+'KY_Res by Plant Acct P16(REG)'!P306</f>
        <v>0</v>
      </c>
      <c r="Q307" s="13"/>
      <c r="R307" s="14">
        <f t="shared" si="14"/>
        <v>0</v>
      </c>
    </row>
    <row r="308" spans="1:18" outlineLevel="1" x14ac:dyDescent="0.2">
      <c r="A308" s="43" t="s">
        <v>4120</v>
      </c>
      <c r="B308" s="14">
        <f>+'KY_Res by Plant Acct P16(REG)'!B307</f>
        <v>-8292398.5700000003</v>
      </c>
      <c r="C308" s="13"/>
      <c r="D308" s="14">
        <f>+'KY_Res by Plant Acct P16(REG)'!D307</f>
        <v>-3641978.22</v>
      </c>
      <c r="E308" s="13"/>
      <c r="F308" s="14">
        <f>+'KY_Res by Plant Acct P16(REG)'!F307</f>
        <v>0</v>
      </c>
      <c r="G308" s="13"/>
      <c r="H308" s="14">
        <f>+'KY_Res by Plant Acct P16(REG)'!H307</f>
        <v>0</v>
      </c>
      <c r="I308" s="13"/>
      <c r="J308" s="14">
        <f>+'KY_Res by Plant Acct P16(REG)'!J307</f>
        <v>0</v>
      </c>
      <c r="K308" s="13"/>
      <c r="L308" s="14">
        <f>+'KY_Res by Plant Acct P16(REG)'!L307</f>
        <v>0</v>
      </c>
      <c r="M308" s="13"/>
      <c r="N308" s="14">
        <f>+'KY_Res by Plant Acct P16(REG)'!N307</f>
        <v>0</v>
      </c>
      <c r="O308" s="13"/>
      <c r="P308" s="14">
        <f>+'KY_Res by Plant Acct P16(REG)'!P307</f>
        <v>0</v>
      </c>
      <c r="Q308" s="13"/>
      <c r="R308" s="14">
        <f>SUM(B308:P308)</f>
        <v>-11934376.790000001</v>
      </c>
    </row>
    <row r="309" spans="1:18" outlineLevel="1" x14ac:dyDescent="0.2">
      <c r="A309" s="3" t="s">
        <v>4121</v>
      </c>
      <c r="B309" s="14">
        <f>+'KY_Res by Plant Acct P16(REG)'!B308</f>
        <v>-141496205.26000005</v>
      </c>
      <c r="C309" s="13"/>
      <c r="D309" s="14">
        <f>+'KY_Res by Plant Acct P16(REG)'!D308</f>
        <v>-7416339.6500000004</v>
      </c>
      <c r="E309" s="13"/>
      <c r="F309" s="14">
        <f>+'KY_Res by Plant Acct P16(REG)'!F308</f>
        <v>1036405.3</v>
      </c>
      <c r="G309" s="13"/>
      <c r="H309" s="14">
        <f>+'KY_Res by Plant Acct P16(REG)'!H308</f>
        <v>14310027.17</v>
      </c>
      <c r="I309" s="13"/>
      <c r="J309" s="14">
        <f>+'KY_Res by Plant Acct P16(REG)'!J308</f>
        <v>0</v>
      </c>
      <c r="K309" s="13"/>
      <c r="L309" s="14">
        <f>+'KY_Res by Plant Acct P16(REG)'!L308</f>
        <v>207544.77</v>
      </c>
      <c r="M309" s="13"/>
      <c r="N309" s="14">
        <f>+'KY_Res by Plant Acct P16(REG)'!N308</f>
        <v>-12075.42</v>
      </c>
      <c r="O309" s="13"/>
      <c r="P309" s="14">
        <f>+'KY_Res by Plant Acct P16(REG)'!P308</f>
        <v>0</v>
      </c>
      <c r="Q309" s="13"/>
      <c r="R309" s="14">
        <f t="shared" si="14"/>
        <v>-133370643.09000005</v>
      </c>
    </row>
    <row r="310" spans="1:18" outlineLevel="1" x14ac:dyDescent="0.2">
      <c r="A310" s="3" t="s">
        <v>4122</v>
      </c>
      <c r="B310" s="14">
        <f>+'KY_Res by Plant Acct P16(REG)'!B309</f>
        <v>0</v>
      </c>
      <c r="C310" s="13"/>
      <c r="D310" s="14">
        <f>+'KY_Res by Plant Acct P16(REG)'!D309</f>
        <v>0</v>
      </c>
      <c r="E310" s="13"/>
      <c r="F310" s="14">
        <f>+'KY_Res by Plant Acct P16(REG)'!F309</f>
        <v>0</v>
      </c>
      <c r="G310" s="13"/>
      <c r="H310" s="14">
        <f>+'KY_Res by Plant Acct P16(REG)'!H309</f>
        <v>-14310027.17</v>
      </c>
      <c r="I310" s="13"/>
      <c r="J310" s="14">
        <f>+'KY_Res by Plant Acct P16(REG)'!J309</f>
        <v>0</v>
      </c>
      <c r="K310" s="13"/>
      <c r="L310" s="14">
        <f>+'KY_Res by Plant Acct P16(REG)'!L309</f>
        <v>0</v>
      </c>
      <c r="M310" s="13"/>
      <c r="N310" s="14">
        <f>+'KY_Res by Plant Acct P16(REG)'!N309</f>
        <v>0</v>
      </c>
      <c r="O310" s="13"/>
      <c r="P310" s="14">
        <f>+'KY_Res by Plant Acct P16(REG)'!P309</f>
        <v>0</v>
      </c>
      <c r="Q310" s="13"/>
      <c r="R310" s="14">
        <f>SUM(B310:P310)</f>
        <v>-14310027.17</v>
      </c>
    </row>
    <row r="311" spans="1:18" outlineLevel="1" x14ac:dyDescent="0.2">
      <c r="A311" s="3" t="s">
        <v>4123</v>
      </c>
      <c r="B311" s="14">
        <f>+'KY_Res by Plant Acct P16(REG)'!B310</f>
        <v>0</v>
      </c>
      <c r="C311" s="13"/>
      <c r="D311" s="14">
        <f>+'KY_Res by Plant Acct P16(REG)'!D310</f>
        <v>0</v>
      </c>
      <c r="E311" s="13"/>
      <c r="F311" s="14">
        <f>+'KY_Res by Plant Acct P16(REG)'!F310</f>
        <v>0</v>
      </c>
      <c r="G311" s="13"/>
      <c r="H311" s="14">
        <f>+'KY_Res by Plant Acct P16(REG)'!H310</f>
        <v>0</v>
      </c>
      <c r="I311" s="13"/>
      <c r="J311" s="14">
        <f>+'KY_Res by Plant Acct P16(REG)'!J310</f>
        <v>0</v>
      </c>
      <c r="K311" s="13"/>
      <c r="L311" s="14">
        <f>+'KY_Res by Plant Acct P16(REG)'!L310</f>
        <v>0</v>
      </c>
      <c r="M311" s="13"/>
      <c r="N311" s="14">
        <f>+'KY_Res by Plant Acct P16(REG)'!N310</f>
        <v>0</v>
      </c>
      <c r="O311" s="13"/>
      <c r="P311" s="14">
        <f>+'KY_Res by Plant Acct P16(REG)'!P310</f>
        <v>0</v>
      </c>
      <c r="Q311" s="13"/>
      <c r="R311" s="14">
        <f t="shared" si="14"/>
        <v>0</v>
      </c>
    </row>
    <row r="312" spans="1:18" outlineLevel="1" x14ac:dyDescent="0.2">
      <c r="A312" s="3" t="s">
        <v>4124</v>
      </c>
      <c r="B312" s="14">
        <f>+'KY_Res by Plant Acct P16(REG)'!B311</f>
        <v>0</v>
      </c>
      <c r="C312" s="13"/>
      <c r="D312" s="14">
        <f>+'KY_Res by Plant Acct P16(REG)'!D311</f>
        <v>0</v>
      </c>
      <c r="E312" s="13"/>
      <c r="F312" s="14">
        <f>+'KY_Res by Plant Acct P16(REG)'!F311</f>
        <v>0</v>
      </c>
      <c r="G312" s="13"/>
      <c r="H312" s="14">
        <f>+'KY_Res by Plant Acct P16(REG)'!H311</f>
        <v>0</v>
      </c>
      <c r="I312" s="13"/>
      <c r="J312" s="14">
        <f>+'KY_Res by Plant Acct P16(REG)'!J311</f>
        <v>0</v>
      </c>
      <c r="K312" s="13"/>
      <c r="L312" s="14">
        <f>+'KY_Res by Plant Acct P16(REG)'!L311</f>
        <v>0</v>
      </c>
      <c r="M312" s="13"/>
      <c r="N312" s="14">
        <f>+'KY_Res by Plant Acct P16(REG)'!N311</f>
        <v>0</v>
      </c>
      <c r="O312" s="13"/>
      <c r="P312" s="14">
        <f>+'KY_Res by Plant Acct P16(REG)'!P311</f>
        <v>0</v>
      </c>
      <c r="Q312" s="13"/>
      <c r="R312" s="14">
        <f t="shared" si="14"/>
        <v>0</v>
      </c>
    </row>
    <row r="313" spans="1:18" outlineLevel="1" x14ac:dyDescent="0.2">
      <c r="A313" s="3" t="s">
        <v>4125</v>
      </c>
      <c r="B313" s="14">
        <f>+'KY_Res by Plant Acct P16(REG)'!B312</f>
        <v>-16539299.300000001</v>
      </c>
      <c r="C313" s="13"/>
      <c r="D313" s="14">
        <f>+'KY_Res by Plant Acct P16(REG)'!D312</f>
        <v>-7744670.7800000003</v>
      </c>
      <c r="E313" s="13"/>
      <c r="F313" s="14">
        <f>+'KY_Res by Plant Acct P16(REG)'!F312</f>
        <v>102157.53</v>
      </c>
      <c r="G313" s="13"/>
      <c r="H313" s="14">
        <f>+'KY_Res by Plant Acct P16(REG)'!H312</f>
        <v>0</v>
      </c>
      <c r="I313" s="13"/>
      <c r="J313" s="14">
        <f>+'KY_Res by Plant Acct P16(REG)'!J312</f>
        <v>0</v>
      </c>
      <c r="K313" s="13"/>
      <c r="L313" s="14">
        <f>+'KY_Res by Plant Acct P16(REG)'!L312</f>
        <v>6687.81</v>
      </c>
      <c r="M313" s="13"/>
      <c r="N313" s="14">
        <f>+'KY_Res by Plant Acct P16(REG)'!N312</f>
        <v>0</v>
      </c>
      <c r="O313" s="13"/>
      <c r="P313" s="14">
        <f>+'KY_Res by Plant Acct P16(REG)'!P312</f>
        <v>0</v>
      </c>
      <c r="Q313" s="13"/>
      <c r="R313" s="14">
        <f>SUM(B313:P313)</f>
        <v>-24175124.740000002</v>
      </c>
    </row>
    <row r="314" spans="1:18" outlineLevel="1" x14ac:dyDescent="0.2">
      <c r="A314" s="43" t="s">
        <v>4126</v>
      </c>
      <c r="B314" s="14">
        <f>+'KY_Res by Plant Acct P16(REG)'!B313</f>
        <v>-6896561.0999999996</v>
      </c>
      <c r="C314" s="13"/>
      <c r="D314" s="14">
        <f>+'KY_Res by Plant Acct P16(REG)'!D313</f>
        <v>-3664346.94</v>
      </c>
      <c r="E314" s="13"/>
      <c r="F314" s="14">
        <f>+'KY_Res by Plant Acct P16(REG)'!F313</f>
        <v>0</v>
      </c>
      <c r="G314" s="13"/>
      <c r="H314" s="14">
        <f>+'KY_Res by Plant Acct P16(REG)'!H313</f>
        <v>0</v>
      </c>
      <c r="I314" s="13"/>
      <c r="J314" s="14">
        <f>+'KY_Res by Plant Acct P16(REG)'!J313</f>
        <v>0</v>
      </c>
      <c r="K314" s="13"/>
      <c r="L314" s="14">
        <f>+'KY_Res by Plant Acct P16(REG)'!L313</f>
        <v>0</v>
      </c>
      <c r="M314" s="13"/>
      <c r="N314" s="14">
        <f>+'KY_Res by Plant Acct P16(REG)'!N313</f>
        <v>0</v>
      </c>
      <c r="O314" s="13"/>
      <c r="P314" s="14">
        <f>+'KY_Res by Plant Acct P16(REG)'!P313</f>
        <v>0</v>
      </c>
      <c r="Q314" s="13"/>
      <c r="R314" s="14">
        <f>SUM(B314:P314)</f>
        <v>-10560908.039999999</v>
      </c>
    </row>
    <row r="315" spans="1:18" outlineLevel="1" x14ac:dyDescent="0.2">
      <c r="A315" s="3" t="s">
        <v>4127</v>
      </c>
      <c r="B315" s="14">
        <f>+'KY_Res by Plant Acct P16(REG)'!B314</f>
        <v>-4.0000000371946953E-2</v>
      </c>
      <c r="C315" s="13"/>
      <c r="D315" s="14">
        <f>+'KY_Res by Plant Acct P16(REG)'!D314</f>
        <v>0</v>
      </c>
      <c r="E315" s="13"/>
      <c r="F315" s="14">
        <f>+'KY_Res by Plant Acct P16(REG)'!F314</f>
        <v>0</v>
      </c>
      <c r="G315" s="13"/>
      <c r="H315" s="14">
        <f>+'KY_Res by Plant Acct P16(REG)'!H314</f>
        <v>0</v>
      </c>
      <c r="I315" s="13"/>
      <c r="J315" s="14">
        <f>+'KY_Res by Plant Acct P16(REG)'!J314</f>
        <v>0</v>
      </c>
      <c r="K315" s="13"/>
      <c r="L315" s="14">
        <f>+'KY_Res by Plant Acct P16(REG)'!L314</f>
        <v>0</v>
      </c>
      <c r="M315" s="13"/>
      <c r="N315" s="14">
        <f>+'KY_Res by Plant Acct P16(REG)'!N314</f>
        <v>0</v>
      </c>
      <c r="O315" s="13"/>
      <c r="P315" s="14">
        <f>+'KY_Res by Plant Acct P16(REG)'!P314</f>
        <v>0</v>
      </c>
      <c r="Q315" s="13"/>
      <c r="R315" s="14">
        <f t="shared" si="14"/>
        <v>-4.0000000371946953E-2</v>
      </c>
    </row>
    <row r="316" spans="1:18" outlineLevel="1" x14ac:dyDescent="0.2">
      <c r="A316" s="3" t="s">
        <v>4128</v>
      </c>
      <c r="B316" s="14">
        <f>+'KY_Res by Plant Acct P16(REG)'!B315</f>
        <v>-35360662.32</v>
      </c>
      <c r="C316" s="13"/>
      <c r="D316" s="14">
        <f>+'KY_Res by Plant Acct P16(REG)'!D315</f>
        <v>-4346335.83</v>
      </c>
      <c r="E316" s="13"/>
      <c r="F316" s="14">
        <f>+'KY_Res by Plant Acct P16(REG)'!F315</f>
        <v>178072.75</v>
      </c>
      <c r="G316" s="13"/>
      <c r="H316" s="14">
        <f>+'KY_Res by Plant Acct P16(REG)'!H315</f>
        <v>0</v>
      </c>
      <c r="I316" s="13"/>
      <c r="J316" s="14">
        <f>+'KY_Res by Plant Acct P16(REG)'!J315</f>
        <v>0</v>
      </c>
      <c r="K316" s="13"/>
      <c r="L316" s="14">
        <f>+'KY_Res by Plant Acct P16(REG)'!L315</f>
        <v>4794.78</v>
      </c>
      <c r="M316" s="13"/>
      <c r="N316" s="14">
        <f>+'KY_Res by Plant Acct P16(REG)'!N315</f>
        <v>0</v>
      </c>
      <c r="O316" s="13"/>
      <c r="P316" s="14">
        <f>+'KY_Res by Plant Acct P16(REG)'!P315</f>
        <v>0</v>
      </c>
      <c r="Q316" s="13"/>
      <c r="R316" s="14">
        <f t="shared" si="14"/>
        <v>-39524130.619999997</v>
      </c>
    </row>
    <row r="317" spans="1:18" outlineLevel="1" x14ac:dyDescent="0.2">
      <c r="A317" s="3" t="s">
        <v>4129</v>
      </c>
      <c r="B317" s="14">
        <f>+'KY_Res by Plant Acct P16(REG)'!B316</f>
        <v>0</v>
      </c>
      <c r="C317" s="13"/>
      <c r="D317" s="14">
        <f>+'KY_Res by Plant Acct P16(REG)'!D316</f>
        <v>0</v>
      </c>
      <c r="E317" s="13"/>
      <c r="F317" s="14">
        <f>+'KY_Res by Plant Acct P16(REG)'!F316</f>
        <v>0</v>
      </c>
      <c r="G317" s="13"/>
      <c r="H317" s="14">
        <f>+'KY_Res by Plant Acct P16(REG)'!H316</f>
        <v>0</v>
      </c>
      <c r="I317" s="13"/>
      <c r="J317" s="14">
        <f>+'KY_Res by Plant Acct P16(REG)'!J316</f>
        <v>0</v>
      </c>
      <c r="K317" s="13"/>
      <c r="L317" s="14">
        <f>+'KY_Res by Plant Acct P16(REG)'!L316</f>
        <v>0</v>
      </c>
      <c r="M317" s="13"/>
      <c r="N317" s="14">
        <f>+'KY_Res by Plant Acct P16(REG)'!N316</f>
        <v>0</v>
      </c>
      <c r="O317" s="13"/>
      <c r="P317" s="14">
        <f>+'KY_Res by Plant Acct P16(REG)'!P316</f>
        <v>0</v>
      </c>
      <c r="Q317" s="13"/>
      <c r="R317" s="14">
        <f t="shared" si="14"/>
        <v>0</v>
      </c>
    </row>
    <row r="318" spans="1:18" outlineLevel="1" x14ac:dyDescent="0.2">
      <c r="A318" s="3" t="s">
        <v>4130</v>
      </c>
      <c r="B318" s="14">
        <f>+'KY_Res by Plant Acct P16(REG)'!B317</f>
        <v>-86280147.349999994</v>
      </c>
      <c r="C318" s="13"/>
      <c r="D318" s="14">
        <f>+'KY_Res by Plant Acct P16(REG)'!D317</f>
        <v>-9618514.8100000005</v>
      </c>
      <c r="E318" s="13"/>
      <c r="F318" s="14">
        <f>+'KY_Res by Plant Acct P16(REG)'!F317</f>
        <v>486369.14</v>
      </c>
      <c r="G318" s="13"/>
      <c r="H318" s="14">
        <f>+'KY_Res by Plant Acct P16(REG)'!H317</f>
        <v>0</v>
      </c>
      <c r="I318" s="13"/>
      <c r="J318" s="14">
        <f>+'KY_Res by Plant Acct P16(REG)'!J317</f>
        <v>0</v>
      </c>
      <c r="K318" s="13"/>
      <c r="L318" s="14">
        <f>+'KY_Res by Plant Acct P16(REG)'!L317</f>
        <v>4585.3</v>
      </c>
      <c r="M318" s="13"/>
      <c r="N318" s="14">
        <f>+'KY_Res by Plant Acct P16(REG)'!N317</f>
        <v>0</v>
      </c>
      <c r="O318" s="13"/>
      <c r="P318" s="14">
        <f>+'KY_Res by Plant Acct P16(REG)'!P317</f>
        <v>0</v>
      </c>
      <c r="Q318" s="13"/>
      <c r="R318" s="14">
        <f t="shared" si="14"/>
        <v>-95407707.719999999</v>
      </c>
    </row>
    <row r="319" spans="1:18" outlineLevel="1" x14ac:dyDescent="0.2">
      <c r="A319" s="3" t="s">
        <v>4131</v>
      </c>
      <c r="B319" s="14">
        <f>+'KY_Res by Plant Acct P16(REG)'!B318</f>
        <v>0</v>
      </c>
      <c r="C319" s="13"/>
      <c r="D319" s="14">
        <f>+'KY_Res by Plant Acct P16(REG)'!D318</f>
        <v>0</v>
      </c>
      <c r="E319" s="13"/>
      <c r="F319" s="14">
        <f>+'KY_Res by Plant Acct P16(REG)'!F318</f>
        <v>0</v>
      </c>
      <c r="G319" s="13"/>
      <c r="H319" s="14">
        <f>+'KY_Res by Plant Acct P16(REG)'!H318</f>
        <v>0</v>
      </c>
      <c r="I319" s="13"/>
      <c r="J319" s="14">
        <f>+'KY_Res by Plant Acct P16(REG)'!J318</f>
        <v>0</v>
      </c>
      <c r="K319" s="13"/>
      <c r="L319" s="14">
        <f>+'KY_Res by Plant Acct P16(REG)'!L318</f>
        <v>0</v>
      </c>
      <c r="M319" s="13"/>
      <c r="N319" s="14">
        <f>+'KY_Res by Plant Acct P16(REG)'!N318</f>
        <v>0</v>
      </c>
      <c r="O319" s="13"/>
      <c r="P319" s="14">
        <f>+'KY_Res by Plant Acct P16(REG)'!P318</f>
        <v>0</v>
      </c>
      <c r="Q319" s="13"/>
      <c r="R319" s="14">
        <f t="shared" si="14"/>
        <v>0</v>
      </c>
    </row>
    <row r="320" spans="1:18" outlineLevel="1" x14ac:dyDescent="0.2">
      <c r="A320" s="3" t="s">
        <v>4132</v>
      </c>
      <c r="B320" s="14">
        <f>+'KY_Res by Plant Acct P16(REG)'!B319</f>
        <v>-448119.95</v>
      </c>
      <c r="C320" s="13"/>
      <c r="D320" s="14">
        <f>+'KY_Res by Plant Acct P16(REG)'!D319</f>
        <v>0</v>
      </c>
      <c r="E320" s="13"/>
      <c r="F320" s="14">
        <f>+'KY_Res by Plant Acct P16(REG)'!F319</f>
        <v>0</v>
      </c>
      <c r="G320" s="13"/>
      <c r="H320" s="14">
        <f>+'KY_Res by Plant Acct P16(REG)'!H319</f>
        <v>0</v>
      </c>
      <c r="I320" s="13"/>
      <c r="J320" s="14">
        <f>+'KY_Res by Plant Acct P16(REG)'!J319</f>
        <v>0</v>
      </c>
      <c r="K320" s="13"/>
      <c r="L320" s="14">
        <f>+'KY_Res by Plant Acct P16(REG)'!L319</f>
        <v>0</v>
      </c>
      <c r="M320" s="13"/>
      <c r="N320" s="14">
        <f>+'KY_Res by Plant Acct P16(REG)'!N319</f>
        <v>0</v>
      </c>
      <c r="O320" s="13"/>
      <c r="P320" s="14">
        <f>+'KY_Res by Plant Acct P16(REG)'!P319</f>
        <v>0</v>
      </c>
      <c r="Q320" s="13"/>
      <c r="R320" s="14">
        <f t="shared" si="14"/>
        <v>-448119.95</v>
      </c>
    </row>
    <row r="321" spans="1:18" outlineLevel="1" x14ac:dyDescent="0.2">
      <c r="A321" s="3" t="s">
        <v>4401</v>
      </c>
      <c r="B321" s="14">
        <f>+'KY_Res by Plant Acct P16(REG)'!B320</f>
        <v>-788855.40999999654</v>
      </c>
      <c r="C321" s="13"/>
      <c r="D321" s="14">
        <f>+'KY_Res by Plant Acct P16(REG)'!D320</f>
        <v>-51886.080000000002</v>
      </c>
      <c r="E321" s="13"/>
      <c r="F321" s="14">
        <f>+'KY_Res by Plant Acct P16(REG)'!F320</f>
        <v>0</v>
      </c>
      <c r="G321" s="13"/>
      <c r="H321" s="14">
        <f>+'KY_Res by Plant Acct P16(REG)'!H320</f>
        <v>831695.45</v>
      </c>
      <c r="I321" s="13"/>
      <c r="J321" s="14">
        <f>+'KY_Res by Plant Acct P16(REG)'!J320</f>
        <v>0</v>
      </c>
      <c r="K321" s="13"/>
      <c r="L321" s="14">
        <f>+'KY_Res by Plant Acct P16(REG)'!L320</f>
        <v>0</v>
      </c>
      <c r="M321" s="13"/>
      <c r="N321" s="14">
        <f>+'KY_Res by Plant Acct P16(REG)'!N320</f>
        <v>0</v>
      </c>
      <c r="O321" s="13"/>
      <c r="P321" s="14">
        <f>+'KY_Res by Plant Acct P16(REG)'!P320</f>
        <v>0</v>
      </c>
      <c r="Q321" s="13"/>
      <c r="R321" s="14">
        <f t="shared" si="14"/>
        <v>-9046.0399999965448</v>
      </c>
    </row>
    <row r="322" spans="1:18" outlineLevel="1" x14ac:dyDescent="0.2">
      <c r="A322" s="3" t="s">
        <v>4134</v>
      </c>
      <c r="B322" s="14">
        <f>+'KY_Res by Plant Acct P16(REG)'!B321</f>
        <v>0</v>
      </c>
      <c r="C322" s="13"/>
      <c r="D322" s="14">
        <f>+'KY_Res by Plant Acct P16(REG)'!D321</f>
        <v>0</v>
      </c>
      <c r="E322" s="13"/>
      <c r="F322" s="14">
        <f>+'KY_Res by Plant Acct P16(REG)'!F321</f>
        <v>0</v>
      </c>
      <c r="G322" s="13"/>
      <c r="H322" s="14">
        <f>+'KY_Res by Plant Acct P16(REG)'!H321</f>
        <v>-831695.45</v>
      </c>
      <c r="I322" s="13"/>
      <c r="J322" s="14">
        <f>+'KY_Res by Plant Acct P16(REG)'!J321</f>
        <v>0</v>
      </c>
      <c r="K322" s="13"/>
      <c r="L322" s="14">
        <f>+'KY_Res by Plant Acct P16(REG)'!L321</f>
        <v>0</v>
      </c>
      <c r="M322" s="13"/>
      <c r="N322" s="14">
        <f>+'KY_Res by Plant Acct P16(REG)'!N321</f>
        <v>0</v>
      </c>
      <c r="O322" s="13"/>
      <c r="P322" s="14">
        <f>+'KY_Res by Plant Acct P16(REG)'!P321</f>
        <v>0</v>
      </c>
      <c r="Q322" s="13"/>
      <c r="R322" s="14">
        <f>SUM(B322:P322)</f>
        <v>-831695.45</v>
      </c>
    </row>
    <row r="323" spans="1:18" outlineLevel="1" x14ac:dyDescent="0.2">
      <c r="A323" s="3" t="s">
        <v>4135</v>
      </c>
      <c r="B323" s="14">
        <f>+'KY_Res by Plant Acct P16(REG)'!B322</f>
        <v>0</v>
      </c>
      <c r="C323" s="13"/>
      <c r="D323" s="14">
        <f>+'KY_Res by Plant Acct P16(REG)'!D322</f>
        <v>0</v>
      </c>
      <c r="E323" s="13"/>
      <c r="F323" s="14">
        <f>+'KY_Res by Plant Acct P16(REG)'!F322</f>
        <v>0</v>
      </c>
      <c r="G323" s="13"/>
      <c r="H323" s="14">
        <f>+'KY_Res by Plant Acct P16(REG)'!H322</f>
        <v>0</v>
      </c>
      <c r="I323" s="13"/>
      <c r="J323" s="14">
        <f>+'KY_Res by Plant Acct P16(REG)'!J322</f>
        <v>0</v>
      </c>
      <c r="K323" s="13"/>
      <c r="L323" s="14">
        <f>+'KY_Res by Plant Acct P16(REG)'!L322</f>
        <v>0</v>
      </c>
      <c r="M323" s="13"/>
      <c r="N323" s="14">
        <f>+'KY_Res by Plant Acct P16(REG)'!N322</f>
        <v>0</v>
      </c>
      <c r="O323" s="13"/>
      <c r="P323" s="14">
        <f>+'KY_Res by Plant Acct P16(REG)'!P322</f>
        <v>0</v>
      </c>
      <c r="Q323" s="13"/>
      <c r="R323" s="14">
        <f t="shared" si="14"/>
        <v>0</v>
      </c>
    </row>
    <row r="324" spans="1:18" outlineLevel="1" x14ac:dyDescent="0.2">
      <c r="A324" s="3" t="s">
        <v>4402</v>
      </c>
      <c r="B324" s="14">
        <f>+'KY_Res by Plant Acct P16(REG)'!B323</f>
        <v>-1057156.7099999981</v>
      </c>
      <c r="C324" s="13"/>
      <c r="D324" s="14">
        <f>+'KY_Res by Plant Acct P16(REG)'!D323</f>
        <v>-7677.9</v>
      </c>
      <c r="E324" s="13"/>
      <c r="F324" s="14">
        <f>+'KY_Res by Plant Acct P16(REG)'!F323</f>
        <v>0</v>
      </c>
      <c r="G324" s="13"/>
      <c r="H324" s="14">
        <f>+'KY_Res by Plant Acct P16(REG)'!H323</f>
        <v>0</v>
      </c>
      <c r="I324" s="13"/>
      <c r="J324" s="14">
        <f>+'KY_Res by Plant Acct P16(REG)'!J323</f>
        <v>0</v>
      </c>
      <c r="K324" s="13"/>
      <c r="L324" s="14">
        <f>+'KY_Res by Plant Acct P16(REG)'!L323</f>
        <v>0</v>
      </c>
      <c r="M324" s="13"/>
      <c r="N324" s="14">
        <f>+'KY_Res by Plant Acct P16(REG)'!N323</f>
        <v>0</v>
      </c>
      <c r="O324" s="13"/>
      <c r="P324" s="14">
        <f>+'KY_Res by Plant Acct P16(REG)'!P323</f>
        <v>0</v>
      </c>
      <c r="Q324" s="13"/>
      <c r="R324" s="14">
        <f t="shared" si="14"/>
        <v>-1064834.609999998</v>
      </c>
    </row>
    <row r="325" spans="1:18" outlineLevel="1" x14ac:dyDescent="0.2">
      <c r="A325" s="3" t="s">
        <v>4137</v>
      </c>
      <c r="B325" s="14">
        <f>+'KY_Res by Plant Acct P16(REG)'!B324</f>
        <v>0</v>
      </c>
      <c r="C325" s="13"/>
      <c r="D325" s="14">
        <f>+'KY_Res by Plant Acct P16(REG)'!D324</f>
        <v>0</v>
      </c>
      <c r="E325" s="13"/>
      <c r="F325" s="14">
        <f>+'KY_Res by Plant Acct P16(REG)'!F324</f>
        <v>0</v>
      </c>
      <c r="G325" s="13"/>
      <c r="H325" s="14">
        <f>+'KY_Res by Plant Acct P16(REG)'!H324</f>
        <v>0</v>
      </c>
      <c r="I325" s="13"/>
      <c r="J325" s="14">
        <f>+'KY_Res by Plant Acct P16(REG)'!J324</f>
        <v>0</v>
      </c>
      <c r="K325" s="13"/>
      <c r="L325" s="14">
        <f>+'KY_Res by Plant Acct P16(REG)'!L324</f>
        <v>0</v>
      </c>
      <c r="M325" s="13"/>
      <c r="N325" s="14">
        <f>+'KY_Res by Plant Acct P16(REG)'!N324</f>
        <v>0</v>
      </c>
      <c r="O325" s="13"/>
      <c r="P325" s="14">
        <f>+'KY_Res by Plant Acct P16(REG)'!P324</f>
        <v>0</v>
      </c>
      <c r="Q325" s="13"/>
      <c r="R325" s="14">
        <f t="shared" si="14"/>
        <v>0</v>
      </c>
    </row>
    <row r="326" spans="1:18" outlineLevel="1" x14ac:dyDescent="0.2">
      <c r="A326" s="3" t="s">
        <v>4138</v>
      </c>
      <c r="B326" s="14">
        <f>+'KY_Res by Plant Acct P16(REG)'!B325</f>
        <v>0</v>
      </c>
      <c r="C326" s="13"/>
      <c r="D326" s="14">
        <f>+'KY_Res by Plant Acct P16(REG)'!D325</f>
        <v>0</v>
      </c>
      <c r="E326" s="13"/>
      <c r="F326" s="14">
        <f>+'KY_Res by Plant Acct P16(REG)'!F325</f>
        <v>0</v>
      </c>
      <c r="G326" s="13"/>
      <c r="H326" s="14">
        <f>+'KY_Res by Plant Acct P16(REG)'!H325</f>
        <v>0</v>
      </c>
      <c r="I326" s="13"/>
      <c r="J326" s="14">
        <f>+'KY_Res by Plant Acct P16(REG)'!J325</f>
        <v>0</v>
      </c>
      <c r="K326" s="13"/>
      <c r="L326" s="14">
        <f>+'KY_Res by Plant Acct P16(REG)'!L325</f>
        <v>0</v>
      </c>
      <c r="M326" s="13"/>
      <c r="N326" s="14">
        <f>+'KY_Res by Plant Acct P16(REG)'!N325</f>
        <v>0</v>
      </c>
      <c r="O326" s="13"/>
      <c r="P326" s="14">
        <f>+'KY_Res by Plant Acct P16(REG)'!P325</f>
        <v>0</v>
      </c>
      <c r="Q326" s="13"/>
      <c r="R326" s="14">
        <f t="shared" si="14"/>
        <v>0</v>
      </c>
    </row>
    <row r="327" spans="1:18" outlineLevel="1" x14ac:dyDescent="0.2">
      <c r="A327" s="3" t="s">
        <v>4139</v>
      </c>
      <c r="B327" s="14">
        <f>+'KY_Res by Plant Acct P16(REG)'!B326</f>
        <v>0</v>
      </c>
      <c r="C327" s="13"/>
      <c r="D327" s="14">
        <f>+'KY_Res by Plant Acct P16(REG)'!D326</f>
        <v>0</v>
      </c>
      <c r="E327" s="13"/>
      <c r="F327" s="14">
        <f>+'KY_Res by Plant Acct P16(REG)'!F326</f>
        <v>0</v>
      </c>
      <c r="G327" s="13"/>
      <c r="H327" s="14">
        <f>+'KY_Res by Plant Acct P16(REG)'!H326</f>
        <v>-91117.28</v>
      </c>
      <c r="I327" s="13"/>
      <c r="J327" s="14">
        <f>+'KY_Res by Plant Acct P16(REG)'!J326</f>
        <v>0</v>
      </c>
      <c r="K327" s="13"/>
      <c r="L327" s="14">
        <f>+'KY_Res by Plant Acct P16(REG)'!L326</f>
        <v>0</v>
      </c>
      <c r="M327" s="13"/>
      <c r="N327" s="14">
        <f>+'KY_Res by Plant Acct P16(REG)'!N326</f>
        <v>0</v>
      </c>
      <c r="O327" s="13"/>
      <c r="P327" s="14">
        <f>+'KY_Res by Plant Acct P16(REG)'!P326</f>
        <v>0</v>
      </c>
      <c r="Q327" s="13"/>
      <c r="R327" s="14">
        <f>SUM(B327:P327)</f>
        <v>-91117.28</v>
      </c>
    </row>
    <row r="328" spans="1:18" outlineLevel="1" x14ac:dyDescent="0.2">
      <c r="A328" s="3" t="s">
        <v>4140</v>
      </c>
      <c r="B328" s="14">
        <f>+'KY_Res by Plant Acct P16(REG)'!B327</f>
        <v>-236083.38000000006</v>
      </c>
      <c r="C328" s="13"/>
      <c r="D328" s="14">
        <f>+'KY_Res by Plant Acct P16(REG)'!D327</f>
        <v>0</v>
      </c>
      <c r="E328" s="13"/>
      <c r="F328" s="14">
        <f>+'KY_Res by Plant Acct P16(REG)'!F327</f>
        <v>0</v>
      </c>
      <c r="G328" s="13"/>
      <c r="H328" s="14">
        <f>+'KY_Res by Plant Acct P16(REG)'!H327</f>
        <v>91117.28</v>
      </c>
      <c r="I328" s="13"/>
      <c r="J328" s="14">
        <f>+'KY_Res by Plant Acct P16(REG)'!J327</f>
        <v>0</v>
      </c>
      <c r="K328" s="13"/>
      <c r="L328" s="14">
        <f>+'KY_Res by Plant Acct P16(REG)'!L327</f>
        <v>0</v>
      </c>
      <c r="M328" s="13"/>
      <c r="N328" s="14">
        <f>+'KY_Res by Plant Acct P16(REG)'!N327</f>
        <v>0</v>
      </c>
      <c r="O328" s="13"/>
      <c r="P328" s="14">
        <f>+'KY_Res by Plant Acct P16(REG)'!P327</f>
        <v>0</v>
      </c>
      <c r="Q328" s="13"/>
      <c r="R328" s="14">
        <f t="shared" si="14"/>
        <v>-144966.10000000006</v>
      </c>
    </row>
    <row r="329" spans="1:18" outlineLevel="1" x14ac:dyDescent="0.2">
      <c r="A329" s="3" t="s">
        <v>4403</v>
      </c>
      <c r="B329" s="14">
        <f>+'KY_Res by Plant Acct P16(REG)'!B328</f>
        <v>-104290833.96999997</v>
      </c>
      <c r="C329" s="13"/>
      <c r="D329" s="14">
        <f>+'KY_Res by Plant Acct P16(REG)'!D328</f>
        <v>-11992915.880000001</v>
      </c>
      <c r="E329" s="13"/>
      <c r="F329" s="14">
        <f>+'KY_Res by Plant Acct P16(REG)'!F328</f>
        <v>1962938.47</v>
      </c>
      <c r="G329" s="13"/>
      <c r="H329" s="14">
        <f>+'KY_Res by Plant Acct P16(REG)'!H328</f>
        <v>4432867.97</v>
      </c>
      <c r="I329" s="13"/>
      <c r="J329" s="14">
        <f>+'KY_Res by Plant Acct P16(REG)'!J328</f>
        <v>0</v>
      </c>
      <c r="K329" s="13"/>
      <c r="L329" s="14">
        <f>+'KY_Res by Plant Acct P16(REG)'!L328</f>
        <v>470410.8</v>
      </c>
      <c r="M329" s="13"/>
      <c r="N329" s="14">
        <f>+'KY_Res by Plant Acct P16(REG)'!N328</f>
        <v>0</v>
      </c>
      <c r="O329" s="13"/>
      <c r="P329" s="14">
        <f>+'KY_Res by Plant Acct P16(REG)'!P328</f>
        <v>-101490.37</v>
      </c>
      <c r="Q329" s="13"/>
      <c r="R329" s="14">
        <f t="shared" si="14"/>
        <v>-109519022.97999997</v>
      </c>
    </row>
    <row r="330" spans="1:18" outlineLevel="1" x14ac:dyDescent="0.2">
      <c r="A330" s="3" t="s">
        <v>4142</v>
      </c>
      <c r="B330" s="14">
        <f>+'KY_Res by Plant Acct P16(REG)'!B329</f>
        <v>0</v>
      </c>
      <c r="C330" s="13"/>
      <c r="D330" s="14">
        <f>+'KY_Res by Plant Acct P16(REG)'!D329</f>
        <v>0</v>
      </c>
      <c r="E330" s="13"/>
      <c r="F330" s="14">
        <f>+'KY_Res by Plant Acct P16(REG)'!F329</f>
        <v>0</v>
      </c>
      <c r="G330" s="13"/>
      <c r="H330" s="14">
        <f>+'KY_Res by Plant Acct P16(REG)'!H329</f>
        <v>-4432867.97</v>
      </c>
      <c r="I330" s="13"/>
      <c r="J330" s="14">
        <f>+'KY_Res by Plant Acct P16(REG)'!J329</f>
        <v>0</v>
      </c>
      <c r="K330" s="13"/>
      <c r="L330" s="14">
        <f>+'KY_Res by Plant Acct P16(REG)'!L329</f>
        <v>0</v>
      </c>
      <c r="M330" s="13"/>
      <c r="N330" s="14">
        <f>+'KY_Res by Plant Acct P16(REG)'!N329</f>
        <v>0</v>
      </c>
      <c r="O330" s="13"/>
      <c r="P330" s="14">
        <f>+'KY_Res by Plant Acct P16(REG)'!P329</f>
        <v>0</v>
      </c>
      <c r="Q330" s="13"/>
      <c r="R330" s="14">
        <f>SUM(B330:P330)</f>
        <v>-4432867.97</v>
      </c>
    </row>
    <row r="331" spans="1:18" outlineLevel="1" x14ac:dyDescent="0.2">
      <c r="A331" s="3" t="s">
        <v>4143</v>
      </c>
      <c r="B331" s="14">
        <f>+'KY_Res by Plant Acct P16(REG)'!B330</f>
        <v>3</v>
      </c>
      <c r="C331" s="13"/>
      <c r="D331" s="14">
        <f>+'KY_Res by Plant Acct P16(REG)'!D330</f>
        <v>0</v>
      </c>
      <c r="E331" s="13"/>
      <c r="F331" s="14">
        <f>+'KY_Res by Plant Acct P16(REG)'!F330</f>
        <v>0</v>
      </c>
      <c r="G331" s="13"/>
      <c r="H331" s="14">
        <f>+'KY_Res by Plant Acct P16(REG)'!H330</f>
        <v>0</v>
      </c>
      <c r="I331" s="13"/>
      <c r="J331" s="14">
        <f>+'KY_Res by Plant Acct P16(REG)'!J330</f>
        <v>0</v>
      </c>
      <c r="K331" s="13"/>
      <c r="L331" s="14">
        <f>+'KY_Res by Plant Acct P16(REG)'!L330</f>
        <v>0</v>
      </c>
      <c r="M331" s="13"/>
      <c r="N331" s="14">
        <f>+'KY_Res by Plant Acct P16(REG)'!N330</f>
        <v>0</v>
      </c>
      <c r="O331" s="13"/>
      <c r="P331" s="14">
        <f>+'KY_Res by Plant Acct P16(REG)'!P330</f>
        <v>0</v>
      </c>
      <c r="Q331" s="13"/>
      <c r="R331" s="14">
        <f t="shared" si="14"/>
        <v>3</v>
      </c>
    </row>
    <row r="332" spans="1:18" outlineLevel="1" x14ac:dyDescent="0.2">
      <c r="A332" s="73" t="s">
        <v>4144</v>
      </c>
      <c r="B332" s="14">
        <f>+'KY_Res by Plant Acct P16(REG)'!B331</f>
        <v>-1882495.94</v>
      </c>
      <c r="C332" s="13"/>
      <c r="D332" s="14">
        <f>+'KY_Res by Plant Acct P16(REG)'!D331</f>
        <v>-387719.56</v>
      </c>
      <c r="E332" s="13"/>
      <c r="F332" s="14">
        <f>+'KY_Res by Plant Acct P16(REG)'!F331</f>
        <v>0</v>
      </c>
      <c r="G332" s="13"/>
      <c r="H332" s="14">
        <f>+'KY_Res by Plant Acct P16(REG)'!H331</f>
        <v>585285.27</v>
      </c>
      <c r="I332" s="13"/>
      <c r="J332" s="14">
        <f>+'KY_Res by Plant Acct P16(REG)'!J331</f>
        <v>0</v>
      </c>
      <c r="K332" s="13"/>
      <c r="L332" s="14">
        <f>+'KY_Res by Plant Acct P16(REG)'!L331</f>
        <v>0</v>
      </c>
      <c r="M332" s="13"/>
      <c r="N332" s="14">
        <f>+'KY_Res by Plant Acct P16(REG)'!N331</f>
        <v>0</v>
      </c>
      <c r="O332" s="13"/>
      <c r="P332" s="14">
        <f>+'KY_Res by Plant Acct P16(REG)'!P331</f>
        <v>0</v>
      </c>
      <c r="Q332" s="13"/>
      <c r="R332" s="14">
        <f t="shared" si="14"/>
        <v>-1684930.23</v>
      </c>
    </row>
    <row r="333" spans="1:18" outlineLevel="1" x14ac:dyDescent="0.2">
      <c r="A333" s="73" t="s">
        <v>4145</v>
      </c>
      <c r="B333" s="14">
        <f>+'KY_Res by Plant Acct P16(REG)'!B332</f>
        <v>0</v>
      </c>
      <c r="C333" s="13"/>
      <c r="D333" s="14">
        <f>+'KY_Res by Plant Acct P16(REG)'!D332</f>
        <v>0</v>
      </c>
      <c r="E333" s="13"/>
      <c r="F333" s="14">
        <f>+'KY_Res by Plant Acct P16(REG)'!F332</f>
        <v>0</v>
      </c>
      <c r="G333" s="13"/>
      <c r="H333" s="14">
        <f>+'KY_Res by Plant Acct P16(REG)'!H332</f>
        <v>-585285.27</v>
      </c>
      <c r="I333" s="13"/>
      <c r="J333" s="14">
        <f>+'KY_Res by Plant Acct P16(REG)'!J332</f>
        <v>0</v>
      </c>
      <c r="K333" s="13"/>
      <c r="L333" s="14">
        <f>+'KY_Res by Plant Acct P16(REG)'!L332</f>
        <v>0</v>
      </c>
      <c r="M333" s="13"/>
      <c r="N333" s="14">
        <f>+'KY_Res by Plant Acct P16(REG)'!N332</f>
        <v>0</v>
      </c>
      <c r="O333" s="13"/>
      <c r="P333" s="14">
        <f>+'KY_Res by Plant Acct P16(REG)'!P332</f>
        <v>0</v>
      </c>
      <c r="Q333" s="13"/>
      <c r="R333" s="14">
        <f>SUM(B333:P333)</f>
        <v>-585285.27</v>
      </c>
    </row>
    <row r="334" spans="1:18" outlineLevel="1" x14ac:dyDescent="0.2">
      <c r="A334" s="73" t="s">
        <v>4146</v>
      </c>
      <c r="B334" s="14">
        <f>+'KY_Res by Plant Acct P16(REG)'!B333</f>
        <v>0</v>
      </c>
      <c r="C334" s="13"/>
      <c r="D334" s="14">
        <f>+'KY_Res by Plant Acct P16(REG)'!D333</f>
        <v>-7517.87</v>
      </c>
      <c r="E334" s="13"/>
      <c r="F334" s="14">
        <f>+'KY_Res by Plant Acct P16(REG)'!F333</f>
        <v>0</v>
      </c>
      <c r="G334" s="13"/>
      <c r="H334" s="14">
        <f>+'KY_Res by Plant Acct P16(REG)'!H333</f>
        <v>0</v>
      </c>
      <c r="I334" s="13"/>
      <c r="J334" s="14">
        <f>+'KY_Res by Plant Acct P16(REG)'!J333</f>
        <v>0</v>
      </c>
      <c r="K334" s="13"/>
      <c r="L334" s="14">
        <f>+'KY_Res by Plant Acct P16(REG)'!L333</f>
        <v>0</v>
      </c>
      <c r="M334" s="13"/>
      <c r="N334" s="14">
        <f>+'KY_Res by Plant Acct P16(REG)'!N333</f>
        <v>0</v>
      </c>
      <c r="O334" s="13"/>
      <c r="P334" s="14">
        <f>+'KY_Res by Plant Acct P16(REG)'!P333</f>
        <v>0</v>
      </c>
      <c r="Q334" s="13"/>
      <c r="R334" s="14">
        <f t="shared" si="14"/>
        <v>-7517.87</v>
      </c>
    </row>
    <row r="335" spans="1:18" outlineLevel="1" x14ac:dyDescent="0.2">
      <c r="A335" s="3" t="s">
        <v>4404</v>
      </c>
      <c r="B335" s="14">
        <f>+'KY_Res by Plant Acct P16(REG)'!B334</f>
        <v>-20027574.529999997</v>
      </c>
      <c r="C335" s="13"/>
      <c r="D335" s="14">
        <f>+'KY_Res by Plant Acct P16(REG)'!D334</f>
        <v>-1528373.52</v>
      </c>
      <c r="E335" s="13"/>
      <c r="F335" s="14">
        <f>+'KY_Res by Plant Acct P16(REG)'!F334</f>
        <v>0</v>
      </c>
      <c r="G335" s="13"/>
      <c r="H335" s="14">
        <f>+'KY_Res by Plant Acct P16(REG)'!H334</f>
        <v>0</v>
      </c>
      <c r="I335" s="13"/>
      <c r="J335" s="14">
        <f>+'KY_Res by Plant Acct P16(REG)'!J334</f>
        <v>0</v>
      </c>
      <c r="K335" s="13"/>
      <c r="L335" s="14">
        <f>+'KY_Res by Plant Acct P16(REG)'!L334</f>
        <v>0</v>
      </c>
      <c r="M335" s="13"/>
      <c r="N335" s="14">
        <f>+'KY_Res by Plant Acct P16(REG)'!N334</f>
        <v>0</v>
      </c>
      <c r="O335" s="13"/>
      <c r="P335" s="14">
        <f>+'KY_Res by Plant Acct P16(REG)'!P334</f>
        <v>0</v>
      </c>
      <c r="Q335" s="13"/>
      <c r="R335" s="14">
        <f t="shared" si="14"/>
        <v>-21555948.049999997</v>
      </c>
    </row>
    <row r="336" spans="1:18" outlineLevel="1" x14ac:dyDescent="0.2">
      <c r="A336" s="3" t="s">
        <v>4405</v>
      </c>
      <c r="B336" s="14">
        <f>+'KY_Res by Plant Acct P16(REG)'!B335</f>
        <v>-2.9999999990686774</v>
      </c>
      <c r="C336" s="13"/>
      <c r="D336" s="14">
        <f>+'KY_Res by Plant Acct P16(REG)'!D335</f>
        <v>0</v>
      </c>
      <c r="E336" s="13"/>
      <c r="F336" s="14">
        <f>+'KY_Res by Plant Acct P16(REG)'!F335</f>
        <v>0</v>
      </c>
      <c r="G336" s="13"/>
      <c r="H336" s="14">
        <f>+'KY_Res by Plant Acct P16(REG)'!H335</f>
        <v>0</v>
      </c>
      <c r="I336" s="13"/>
      <c r="J336" s="14">
        <f>+'KY_Res by Plant Acct P16(REG)'!J335</f>
        <v>0</v>
      </c>
      <c r="K336" s="13"/>
      <c r="L336" s="14">
        <f>+'KY_Res by Plant Acct P16(REG)'!L335</f>
        <v>0</v>
      </c>
      <c r="M336" s="13"/>
      <c r="N336" s="14">
        <f>+'KY_Res by Plant Acct P16(REG)'!N335</f>
        <v>0</v>
      </c>
      <c r="O336" s="13"/>
      <c r="P336" s="14">
        <f>+'KY_Res by Plant Acct P16(REG)'!P335</f>
        <v>0</v>
      </c>
      <c r="Q336" s="13"/>
      <c r="R336" s="14">
        <f t="shared" si="14"/>
        <v>-2.9999999990686774</v>
      </c>
    </row>
    <row r="337" spans="1:18" outlineLevel="1" x14ac:dyDescent="0.2">
      <c r="A337" s="3" t="s">
        <v>4149</v>
      </c>
      <c r="B337" s="14">
        <f>+'KY_Res by Plant Acct P16(REG)'!B336</f>
        <v>-98209.890000000014</v>
      </c>
      <c r="C337" s="13"/>
      <c r="D337" s="14">
        <f>+'KY_Res by Plant Acct P16(REG)'!D336</f>
        <v>0</v>
      </c>
      <c r="E337" s="13"/>
      <c r="F337" s="14">
        <f>+'KY_Res by Plant Acct P16(REG)'!F336</f>
        <v>0</v>
      </c>
      <c r="G337" s="13"/>
      <c r="H337" s="14">
        <f>+'KY_Res by Plant Acct P16(REG)'!H336</f>
        <v>0</v>
      </c>
      <c r="I337" s="13"/>
      <c r="J337" s="14">
        <f>+'KY_Res by Plant Acct P16(REG)'!J336</f>
        <v>0</v>
      </c>
      <c r="K337" s="13"/>
      <c r="L337" s="14">
        <f>+'KY_Res by Plant Acct P16(REG)'!L336</f>
        <v>0</v>
      </c>
      <c r="M337" s="13"/>
      <c r="N337" s="14">
        <f>+'KY_Res by Plant Acct P16(REG)'!N336</f>
        <v>0</v>
      </c>
      <c r="O337" s="13"/>
      <c r="P337" s="14">
        <f>+'KY_Res by Plant Acct P16(REG)'!P336</f>
        <v>0</v>
      </c>
      <c r="Q337" s="13"/>
      <c r="R337" s="14">
        <f t="shared" si="14"/>
        <v>-98209.890000000014</v>
      </c>
    </row>
    <row r="338" spans="1:18" outlineLevel="1" x14ac:dyDescent="0.2">
      <c r="A338" s="3" t="s">
        <v>4150</v>
      </c>
      <c r="B338" s="14">
        <f>+'KY_Res by Plant Acct P16(REG)'!B337</f>
        <v>-1031887.5200000011</v>
      </c>
      <c r="C338" s="13"/>
      <c r="D338" s="14">
        <f>+'KY_Res by Plant Acct P16(REG)'!D337</f>
        <v>-19831.919999999998</v>
      </c>
      <c r="E338" s="13"/>
      <c r="F338" s="14">
        <f>+'KY_Res by Plant Acct P16(REG)'!F337</f>
        <v>0</v>
      </c>
      <c r="G338" s="13"/>
      <c r="H338" s="14">
        <f>+'KY_Res by Plant Acct P16(REG)'!H337</f>
        <v>920599.32</v>
      </c>
      <c r="I338" s="13"/>
      <c r="J338" s="14">
        <f>+'KY_Res by Plant Acct P16(REG)'!J337</f>
        <v>0</v>
      </c>
      <c r="K338" s="13"/>
      <c r="L338" s="14">
        <f>+'KY_Res by Plant Acct P16(REG)'!L337</f>
        <v>0</v>
      </c>
      <c r="M338" s="13"/>
      <c r="N338" s="14">
        <f>+'KY_Res by Plant Acct P16(REG)'!N337</f>
        <v>0</v>
      </c>
      <c r="O338" s="13"/>
      <c r="P338" s="14">
        <f>+'KY_Res by Plant Acct P16(REG)'!P337</f>
        <v>0</v>
      </c>
      <c r="Q338" s="13"/>
      <c r="R338" s="14">
        <f t="shared" si="14"/>
        <v>-131120.12000000116</v>
      </c>
    </row>
    <row r="339" spans="1:18" outlineLevel="1" x14ac:dyDescent="0.2">
      <c r="A339" s="3" t="s">
        <v>4151</v>
      </c>
      <c r="B339" s="14">
        <f>+'KY_Res by Plant Acct P16(REG)'!B338</f>
        <v>0</v>
      </c>
      <c r="C339" s="13"/>
      <c r="D339" s="14">
        <f>+'KY_Res by Plant Acct P16(REG)'!D338</f>
        <v>0</v>
      </c>
      <c r="E339" s="13"/>
      <c r="F339" s="14">
        <f>+'KY_Res by Plant Acct P16(REG)'!F338</f>
        <v>0</v>
      </c>
      <c r="G339" s="13"/>
      <c r="H339" s="14">
        <f>+'KY_Res by Plant Acct P16(REG)'!H338</f>
        <v>-920599.32</v>
      </c>
      <c r="I339" s="13"/>
      <c r="J339" s="14">
        <f>+'KY_Res by Plant Acct P16(REG)'!J338</f>
        <v>0</v>
      </c>
      <c r="K339" s="13"/>
      <c r="L339" s="14">
        <f>+'KY_Res by Plant Acct P16(REG)'!L338</f>
        <v>0</v>
      </c>
      <c r="M339" s="13"/>
      <c r="N339" s="14">
        <f>+'KY_Res by Plant Acct P16(REG)'!N338</f>
        <v>0</v>
      </c>
      <c r="O339" s="13"/>
      <c r="P339" s="14">
        <f>+'KY_Res by Plant Acct P16(REG)'!P338</f>
        <v>0</v>
      </c>
      <c r="Q339" s="13"/>
      <c r="R339" s="14">
        <f>SUM(B339:P339)</f>
        <v>-920599.32</v>
      </c>
    </row>
    <row r="340" spans="1:18" outlineLevel="1" x14ac:dyDescent="0.2">
      <c r="A340" s="3" t="s">
        <v>4152</v>
      </c>
      <c r="B340" s="14">
        <f>+'KY_Res by Plant Acct P16(REG)'!B339</f>
        <v>0</v>
      </c>
      <c r="C340" s="13"/>
      <c r="D340" s="14">
        <f>+'KY_Res by Plant Acct P16(REG)'!D339</f>
        <v>0</v>
      </c>
      <c r="E340" s="13"/>
      <c r="F340" s="14">
        <f>+'KY_Res by Plant Acct P16(REG)'!F339</f>
        <v>0</v>
      </c>
      <c r="G340" s="13">
        <v>0</v>
      </c>
      <c r="H340" s="14">
        <f>+'KY_Res by Plant Acct P16(REG)'!H339</f>
        <v>0</v>
      </c>
      <c r="I340" s="13"/>
      <c r="J340" s="14">
        <f>+'KY_Res by Plant Acct P16(REG)'!J339</f>
        <v>0</v>
      </c>
      <c r="K340" s="13"/>
      <c r="L340" s="14">
        <f>+'KY_Res by Plant Acct P16(REG)'!L339</f>
        <v>0</v>
      </c>
      <c r="M340" s="13"/>
      <c r="N340" s="14">
        <f>+'KY_Res by Plant Acct P16(REG)'!N339</f>
        <v>0</v>
      </c>
      <c r="O340" s="13"/>
      <c r="P340" s="14">
        <f>+'KY_Res by Plant Acct P16(REG)'!P339</f>
        <v>0</v>
      </c>
      <c r="Q340" s="13"/>
      <c r="R340" s="14">
        <f t="shared" si="14"/>
        <v>0</v>
      </c>
    </row>
    <row r="341" spans="1:18" x14ac:dyDescent="0.2">
      <c r="A341" s="3" t="s">
        <v>4153</v>
      </c>
      <c r="B341" s="14">
        <f>SUM(B277:B340)</f>
        <v>-1111662726.3200002</v>
      </c>
      <c r="C341" s="13"/>
      <c r="D341" s="14">
        <f>SUM(D277:D340)</f>
        <v>-106126070.55999999</v>
      </c>
      <c r="E341" s="13"/>
      <c r="F341" s="14">
        <f>SUM(F277:F340)</f>
        <v>8820017.4299999997</v>
      </c>
      <c r="G341" s="13"/>
      <c r="H341" s="14">
        <f>SUM(H277:H340)</f>
        <v>0</v>
      </c>
      <c r="I341" s="13"/>
      <c r="J341" s="14">
        <f>SUM(J277:J340)</f>
        <v>0</v>
      </c>
      <c r="K341" s="13"/>
      <c r="L341" s="14">
        <f>SUM(L277:L340)</f>
        <v>5529286.3199999984</v>
      </c>
      <c r="M341" s="13"/>
      <c r="N341" s="14">
        <f>SUM(N277:N340)</f>
        <v>-30440.369999999995</v>
      </c>
      <c r="O341" s="13"/>
      <c r="P341" s="14">
        <f>SUM(P277:P340)</f>
        <v>-101492.37</v>
      </c>
      <c r="Q341" s="13"/>
      <c r="R341" s="14">
        <f>SUM(R277:R340)</f>
        <v>-1203571425.8699999</v>
      </c>
    </row>
    <row r="342" spans="1:18" outlineLevel="1" x14ac:dyDescent="0.2">
      <c r="A342" s="3" t="s">
        <v>4154</v>
      </c>
      <c r="B342" s="14">
        <f>+'KY_Res by Plant Acct P16(REG)'!B341</f>
        <v>0</v>
      </c>
      <c r="C342" s="13"/>
      <c r="D342" s="14">
        <f>+'KY_Res by Plant Acct P16(REG)'!D341</f>
        <v>0</v>
      </c>
      <c r="E342" s="13"/>
      <c r="F342" s="14">
        <f>+'KY_Res by Plant Acct P16(REG)'!F341</f>
        <v>0</v>
      </c>
      <c r="G342" s="13"/>
      <c r="H342" s="14">
        <f>+'KY_Res by Plant Acct P16(REG)'!H341</f>
        <v>0</v>
      </c>
      <c r="I342" s="13"/>
      <c r="J342" s="14">
        <f>+'KY_Res by Plant Acct P16(REG)'!J341</f>
        <v>0</v>
      </c>
      <c r="K342" s="13"/>
      <c r="L342" s="14">
        <f>+'KY_Res by Plant Acct P16(REG)'!L341</f>
        <v>0</v>
      </c>
      <c r="M342" s="13"/>
      <c r="N342" s="14">
        <f>+'KY_Res by Plant Acct P16(REG)'!N341</f>
        <v>0</v>
      </c>
      <c r="O342" s="13"/>
      <c r="P342" s="14">
        <f>+'KY_Res by Plant Acct P16(REG)'!P341</f>
        <v>0</v>
      </c>
      <c r="Q342" s="13"/>
      <c r="R342" s="14">
        <f t="shared" ref="R342:R351" si="15">SUM(B342:P342)</f>
        <v>0</v>
      </c>
    </row>
    <row r="343" spans="1:18" outlineLevel="1" x14ac:dyDescent="0.2">
      <c r="A343" s="3" t="s">
        <v>4155</v>
      </c>
      <c r="B343" s="14">
        <f>+'KY_Res by Plant Acct P16(REG)'!B342</f>
        <v>0</v>
      </c>
      <c r="C343" s="13"/>
      <c r="D343" s="14">
        <f>+'KY_Res by Plant Acct P16(REG)'!D342</f>
        <v>0</v>
      </c>
      <c r="E343" s="13"/>
      <c r="F343" s="14">
        <f>+'KY_Res by Plant Acct P16(REG)'!F342</f>
        <v>0</v>
      </c>
      <c r="G343" s="13"/>
      <c r="H343" s="14">
        <f>+'KY_Res by Plant Acct P16(REG)'!H342</f>
        <v>0</v>
      </c>
      <c r="I343" s="13"/>
      <c r="J343" s="14">
        <f>+'KY_Res by Plant Acct P16(REG)'!J342</f>
        <v>0</v>
      </c>
      <c r="K343" s="13"/>
      <c r="L343" s="14">
        <f>+'KY_Res by Plant Acct P16(REG)'!L342</f>
        <v>0</v>
      </c>
      <c r="M343" s="13"/>
      <c r="N343" s="14">
        <f>+'KY_Res by Plant Acct P16(REG)'!N342</f>
        <v>0</v>
      </c>
      <c r="O343" s="13"/>
      <c r="P343" s="14">
        <f>+'KY_Res by Plant Acct P16(REG)'!P342</f>
        <v>0</v>
      </c>
      <c r="Q343" s="13"/>
      <c r="R343" s="14">
        <f t="shared" si="15"/>
        <v>0</v>
      </c>
    </row>
    <row r="344" spans="1:18" outlineLevel="1" x14ac:dyDescent="0.2">
      <c r="A344" s="3" t="s">
        <v>4156</v>
      </c>
      <c r="B344" s="14">
        <f>+'KY_Res by Plant Acct P16(REG)'!B343</f>
        <v>0</v>
      </c>
      <c r="C344" s="13"/>
      <c r="D344" s="14">
        <f>+'KY_Res by Plant Acct P16(REG)'!D343</f>
        <v>0</v>
      </c>
      <c r="E344" s="13"/>
      <c r="F344" s="14">
        <f>+'KY_Res by Plant Acct P16(REG)'!F343</f>
        <v>0</v>
      </c>
      <c r="G344" s="13"/>
      <c r="H344" s="14">
        <f>+'KY_Res by Plant Acct P16(REG)'!H343</f>
        <v>0</v>
      </c>
      <c r="I344" s="13"/>
      <c r="J344" s="14">
        <f>+'KY_Res by Plant Acct P16(REG)'!J343</f>
        <v>0</v>
      </c>
      <c r="K344" s="13"/>
      <c r="L344" s="14">
        <f>+'KY_Res by Plant Acct P16(REG)'!L343</f>
        <v>0</v>
      </c>
      <c r="M344" s="13"/>
      <c r="N344" s="14">
        <f>+'KY_Res by Plant Acct P16(REG)'!N343</f>
        <v>0</v>
      </c>
      <c r="O344" s="13"/>
      <c r="P344" s="14">
        <f>+'KY_Res by Plant Acct P16(REG)'!P343</f>
        <v>0</v>
      </c>
      <c r="Q344" s="13"/>
      <c r="R344" s="14">
        <f t="shared" si="15"/>
        <v>0</v>
      </c>
    </row>
    <row r="345" spans="1:18" outlineLevel="1" x14ac:dyDescent="0.2">
      <c r="A345" s="3" t="s">
        <v>4157</v>
      </c>
      <c r="B345" s="14">
        <f>+'KY_Res by Plant Acct P16(REG)'!B344</f>
        <v>0</v>
      </c>
      <c r="C345" s="13"/>
      <c r="D345" s="14">
        <f>+'KY_Res by Plant Acct P16(REG)'!D344</f>
        <v>0</v>
      </c>
      <c r="E345" s="13"/>
      <c r="F345" s="14">
        <f>+'KY_Res by Plant Acct P16(REG)'!F344</f>
        <v>0</v>
      </c>
      <c r="G345" s="13"/>
      <c r="H345" s="14">
        <f>+'KY_Res by Plant Acct P16(REG)'!H344</f>
        <v>0</v>
      </c>
      <c r="I345" s="13"/>
      <c r="J345" s="14">
        <f>+'KY_Res by Plant Acct P16(REG)'!J344</f>
        <v>0</v>
      </c>
      <c r="K345" s="13"/>
      <c r="L345" s="14">
        <f>+'KY_Res by Plant Acct P16(REG)'!L344</f>
        <v>0</v>
      </c>
      <c r="M345" s="13"/>
      <c r="N345" s="14">
        <f>+'KY_Res by Plant Acct P16(REG)'!N344</f>
        <v>0</v>
      </c>
      <c r="O345" s="13"/>
      <c r="P345" s="14">
        <f>+'KY_Res by Plant Acct P16(REG)'!P344</f>
        <v>0</v>
      </c>
      <c r="Q345" s="13"/>
      <c r="R345" s="14">
        <f t="shared" si="15"/>
        <v>0</v>
      </c>
    </row>
    <row r="346" spans="1:18" outlineLevel="1" x14ac:dyDescent="0.2">
      <c r="A346" s="3" t="s">
        <v>4158</v>
      </c>
      <c r="B346" s="14">
        <f>+'KY_Res by Plant Acct P16(REG)'!B345</f>
        <v>0</v>
      </c>
      <c r="C346" s="13"/>
      <c r="D346" s="14">
        <f>+'KY_Res by Plant Acct P16(REG)'!D345</f>
        <v>0</v>
      </c>
      <c r="E346" s="13"/>
      <c r="F346" s="14">
        <f>+'KY_Res by Plant Acct P16(REG)'!F345</f>
        <v>0</v>
      </c>
      <c r="G346" s="13"/>
      <c r="H346" s="14">
        <f>+'KY_Res by Plant Acct P16(REG)'!H345</f>
        <v>0</v>
      </c>
      <c r="I346" s="13"/>
      <c r="J346" s="14">
        <f>+'KY_Res by Plant Acct P16(REG)'!J345</f>
        <v>0</v>
      </c>
      <c r="K346" s="13"/>
      <c r="L346" s="14">
        <f>+'KY_Res by Plant Acct P16(REG)'!L345</f>
        <v>0</v>
      </c>
      <c r="M346" s="13"/>
      <c r="N346" s="14">
        <f>+'KY_Res by Plant Acct P16(REG)'!N345</f>
        <v>0</v>
      </c>
      <c r="O346" s="13"/>
      <c r="P346" s="14">
        <f>+'KY_Res by Plant Acct P16(REG)'!P345</f>
        <v>0</v>
      </c>
      <c r="Q346" s="13"/>
      <c r="R346" s="14">
        <f t="shared" si="15"/>
        <v>0</v>
      </c>
    </row>
    <row r="347" spans="1:18" outlineLevel="1" x14ac:dyDescent="0.2">
      <c r="A347" s="3" t="s">
        <v>4159</v>
      </c>
      <c r="B347" s="14">
        <f>+'KY_Res by Plant Acct P16(REG)'!B346</f>
        <v>0</v>
      </c>
      <c r="C347" s="13"/>
      <c r="D347" s="14">
        <f>+'KY_Res by Plant Acct P16(REG)'!D346</f>
        <v>0</v>
      </c>
      <c r="E347" s="13"/>
      <c r="F347" s="14">
        <f>+'KY_Res by Plant Acct P16(REG)'!F346</f>
        <v>0</v>
      </c>
      <c r="G347" s="13"/>
      <c r="H347" s="14">
        <f>+'KY_Res by Plant Acct P16(REG)'!H346</f>
        <v>0</v>
      </c>
      <c r="I347" s="13"/>
      <c r="J347" s="14">
        <f>+'KY_Res by Plant Acct P16(REG)'!J346</f>
        <v>0</v>
      </c>
      <c r="K347" s="13"/>
      <c r="L347" s="14">
        <f>+'KY_Res by Plant Acct P16(REG)'!L346</f>
        <v>0</v>
      </c>
      <c r="M347" s="13"/>
      <c r="N347" s="14">
        <f>+'KY_Res by Plant Acct P16(REG)'!N346</f>
        <v>0</v>
      </c>
      <c r="O347" s="13"/>
      <c r="P347" s="14">
        <f>+'KY_Res by Plant Acct P16(REG)'!P346</f>
        <v>0</v>
      </c>
      <c r="Q347" s="13"/>
      <c r="R347" s="14">
        <f t="shared" si="15"/>
        <v>0</v>
      </c>
    </row>
    <row r="348" spans="1:18" outlineLevel="1" x14ac:dyDescent="0.2">
      <c r="A348" s="3" t="s">
        <v>4160</v>
      </c>
      <c r="B348" s="14">
        <f>+'KY_Res by Plant Acct P16(REG)'!B347</f>
        <v>0</v>
      </c>
      <c r="C348" s="13"/>
      <c r="D348" s="14">
        <f>+'KY_Res by Plant Acct P16(REG)'!D347</f>
        <v>0</v>
      </c>
      <c r="E348" s="13"/>
      <c r="F348" s="14">
        <f>+'KY_Res by Plant Acct P16(REG)'!F347</f>
        <v>0</v>
      </c>
      <c r="G348" s="13"/>
      <c r="H348" s="14">
        <f>+'KY_Res by Plant Acct P16(REG)'!H347</f>
        <v>0</v>
      </c>
      <c r="I348" s="13"/>
      <c r="J348" s="14">
        <f>+'KY_Res by Plant Acct P16(REG)'!J347</f>
        <v>0</v>
      </c>
      <c r="K348" s="13"/>
      <c r="L348" s="14">
        <f>+'KY_Res by Plant Acct P16(REG)'!L347</f>
        <v>0</v>
      </c>
      <c r="M348" s="13"/>
      <c r="N348" s="14">
        <f>+'KY_Res by Plant Acct P16(REG)'!N347</f>
        <v>0</v>
      </c>
      <c r="O348" s="13"/>
      <c r="P348" s="14">
        <f>+'KY_Res by Plant Acct P16(REG)'!P347</f>
        <v>0</v>
      </c>
      <c r="Q348" s="13"/>
      <c r="R348" s="14">
        <f t="shared" si="15"/>
        <v>0</v>
      </c>
    </row>
    <row r="349" spans="1:18" outlineLevel="1" x14ac:dyDescent="0.2">
      <c r="A349" s="3" t="s">
        <v>4161</v>
      </c>
      <c r="B349" s="14">
        <f>+'KY_Res by Plant Acct P16(REG)'!B348</f>
        <v>0</v>
      </c>
      <c r="C349" s="13"/>
      <c r="D349" s="14">
        <f>+'KY_Res by Plant Acct P16(REG)'!D348</f>
        <v>0</v>
      </c>
      <c r="E349" s="13"/>
      <c r="F349" s="14">
        <f>+'KY_Res by Plant Acct P16(REG)'!F348</f>
        <v>0</v>
      </c>
      <c r="G349" s="13"/>
      <c r="H349" s="14">
        <f>+'KY_Res by Plant Acct P16(REG)'!H348</f>
        <v>0</v>
      </c>
      <c r="I349" s="13"/>
      <c r="J349" s="14">
        <f>+'KY_Res by Plant Acct P16(REG)'!J348</f>
        <v>0</v>
      </c>
      <c r="K349" s="13"/>
      <c r="L349" s="14">
        <f>+'KY_Res by Plant Acct P16(REG)'!L348</f>
        <v>0</v>
      </c>
      <c r="M349" s="13"/>
      <c r="N349" s="14">
        <f>+'KY_Res by Plant Acct P16(REG)'!N348</f>
        <v>0</v>
      </c>
      <c r="O349" s="13"/>
      <c r="P349" s="14">
        <f>+'KY_Res by Plant Acct P16(REG)'!P348</f>
        <v>0</v>
      </c>
      <c r="Q349" s="13"/>
      <c r="R349" s="14">
        <f t="shared" si="15"/>
        <v>0</v>
      </c>
    </row>
    <row r="350" spans="1:18" outlineLevel="1" x14ac:dyDescent="0.2">
      <c r="A350" s="3" t="s">
        <v>4162</v>
      </c>
      <c r="B350" s="14">
        <f>+'KY_Res by Plant Acct P16(REG)'!B349</f>
        <v>0</v>
      </c>
      <c r="C350" s="13"/>
      <c r="D350" s="14">
        <f>+'KY_Res by Plant Acct P16(REG)'!D349</f>
        <v>0</v>
      </c>
      <c r="E350" s="13"/>
      <c r="F350" s="14">
        <f>+'KY_Res by Plant Acct P16(REG)'!F349</f>
        <v>0</v>
      </c>
      <c r="G350" s="13"/>
      <c r="H350" s="14">
        <f>+'KY_Res by Plant Acct P16(REG)'!H349</f>
        <v>0</v>
      </c>
      <c r="I350" s="13"/>
      <c r="J350" s="14">
        <f>+'KY_Res by Plant Acct P16(REG)'!J349</f>
        <v>0</v>
      </c>
      <c r="K350" s="13"/>
      <c r="L350" s="14">
        <f>+'KY_Res by Plant Acct P16(REG)'!L349</f>
        <v>0</v>
      </c>
      <c r="M350" s="13"/>
      <c r="N350" s="14">
        <f>+'KY_Res by Plant Acct P16(REG)'!N349</f>
        <v>0</v>
      </c>
      <c r="O350" s="13"/>
      <c r="P350" s="14">
        <f>+'KY_Res by Plant Acct P16(REG)'!P349</f>
        <v>0</v>
      </c>
      <c r="Q350" s="13"/>
      <c r="R350" s="14">
        <f t="shared" si="15"/>
        <v>0</v>
      </c>
    </row>
    <row r="351" spans="1:18" outlineLevel="1" x14ac:dyDescent="0.2">
      <c r="A351" s="3" t="s">
        <v>4163</v>
      </c>
      <c r="B351" s="14">
        <f>+'KY_Res by Plant Acct P16(REG)'!B350</f>
        <v>0</v>
      </c>
      <c r="C351" s="13"/>
      <c r="D351" s="14">
        <f>+'KY_Res by Plant Acct P16(REG)'!D350</f>
        <v>0</v>
      </c>
      <c r="E351" s="13"/>
      <c r="F351" s="14">
        <f>+'KY_Res by Plant Acct P16(REG)'!F350</f>
        <v>0</v>
      </c>
      <c r="G351" s="13"/>
      <c r="H351" s="14">
        <f>+'KY_Res by Plant Acct P16(REG)'!H350</f>
        <v>0</v>
      </c>
      <c r="I351" s="13"/>
      <c r="J351" s="14">
        <f>+'KY_Res by Plant Acct P16(REG)'!J350</f>
        <v>0</v>
      </c>
      <c r="K351" s="13"/>
      <c r="L351" s="14">
        <f>+'KY_Res by Plant Acct P16(REG)'!L350</f>
        <v>0</v>
      </c>
      <c r="M351" s="13"/>
      <c r="N351" s="14">
        <f>+'KY_Res by Plant Acct P16(REG)'!N350</f>
        <v>0</v>
      </c>
      <c r="O351" s="13"/>
      <c r="P351" s="14">
        <f>+'KY_Res by Plant Acct P16(REG)'!P350</f>
        <v>0</v>
      </c>
      <c r="Q351" s="13"/>
      <c r="R351" s="14">
        <f t="shared" si="15"/>
        <v>0</v>
      </c>
    </row>
    <row r="352" spans="1:18" x14ac:dyDescent="0.2">
      <c r="A352" s="3" t="s">
        <v>4164</v>
      </c>
      <c r="B352" s="14">
        <f>SUM(B342:B351)</f>
        <v>0</v>
      </c>
      <c r="C352" s="13"/>
      <c r="D352" s="14">
        <f>SUM(D342:D351)</f>
        <v>0</v>
      </c>
      <c r="E352" s="13"/>
      <c r="F352" s="14">
        <f>SUM(F342:F351)</f>
        <v>0</v>
      </c>
      <c r="G352" s="13"/>
      <c r="H352" s="14">
        <f>SUM(H342:H351)</f>
        <v>0</v>
      </c>
      <c r="I352" s="13"/>
      <c r="J352" s="14">
        <f>SUM(J342:J351)</f>
        <v>0</v>
      </c>
      <c r="K352" s="13"/>
      <c r="L352" s="14">
        <f>SUM(L342:L351)</f>
        <v>0</v>
      </c>
      <c r="M352" s="13"/>
      <c r="N352" s="14">
        <f>SUM(N342:N351)</f>
        <v>0</v>
      </c>
      <c r="O352" s="13"/>
      <c r="P352" s="14">
        <f>SUM(P342:P351)</f>
        <v>0</v>
      </c>
      <c r="Q352" s="13"/>
      <c r="R352" s="14">
        <f>SUM(R342:R351)</f>
        <v>0</v>
      </c>
    </row>
    <row r="353" spans="1:18" outlineLevel="1" x14ac:dyDescent="0.2">
      <c r="A353" s="3" t="s">
        <v>4165</v>
      </c>
      <c r="B353" s="14">
        <f>+'KY_Res by Plant Acct P16(REG)'!B352</f>
        <v>-3658032.4599999995</v>
      </c>
      <c r="C353" s="13"/>
      <c r="D353" s="14">
        <f>+'KY_Res by Plant Acct P16(REG)'!D352</f>
        <v>-287841.11</v>
      </c>
      <c r="E353" s="13"/>
      <c r="F353" s="14">
        <f>+'KY_Res by Plant Acct P16(REG)'!F352</f>
        <v>0</v>
      </c>
      <c r="G353" s="13"/>
      <c r="H353" s="14">
        <f>+'KY_Res by Plant Acct P16(REG)'!H352</f>
        <v>0</v>
      </c>
      <c r="I353" s="13"/>
      <c r="J353" s="14">
        <f>+'KY_Res by Plant Acct P16(REG)'!J352</f>
        <v>0</v>
      </c>
      <c r="K353" s="13"/>
      <c r="L353" s="14">
        <f>+'KY_Res by Plant Acct P16(REG)'!L352</f>
        <v>0</v>
      </c>
      <c r="M353" s="13"/>
      <c r="N353" s="14">
        <f>+'KY_Res by Plant Acct P16(REG)'!N352</f>
        <v>0</v>
      </c>
      <c r="O353" s="13"/>
      <c r="P353" s="14">
        <f>+'KY_Res by Plant Acct P16(REG)'!P352</f>
        <v>0</v>
      </c>
      <c r="Q353" s="13"/>
      <c r="R353" s="14">
        <f t="shared" ref="R353:R367" si="16">SUM(B353:P353)</f>
        <v>-3945873.5699999994</v>
      </c>
    </row>
    <row r="354" spans="1:18" outlineLevel="1" x14ac:dyDescent="0.2">
      <c r="A354" s="3" t="s">
        <v>4166</v>
      </c>
      <c r="B354" s="14">
        <f>+'KY_Res by Plant Acct P16(REG)'!B353</f>
        <v>-9232410.410000002</v>
      </c>
      <c r="C354" s="13"/>
      <c r="D354" s="14">
        <f>+'KY_Res by Plant Acct P16(REG)'!D353</f>
        <v>-222831.29</v>
      </c>
      <c r="E354" s="13"/>
      <c r="F354" s="14">
        <f>+'KY_Res by Plant Acct P16(REG)'!F353</f>
        <v>0</v>
      </c>
      <c r="G354" s="13"/>
      <c r="H354" s="14">
        <f>+'KY_Res by Plant Acct P16(REG)'!H353</f>
        <v>0</v>
      </c>
      <c r="I354" s="13"/>
      <c r="J354" s="14">
        <f>+'KY_Res by Plant Acct P16(REG)'!J353</f>
        <v>0</v>
      </c>
      <c r="K354" s="13"/>
      <c r="L354" s="14">
        <f>+'KY_Res by Plant Acct P16(REG)'!L353</f>
        <v>0</v>
      </c>
      <c r="M354" s="13"/>
      <c r="N354" s="14">
        <f>+'KY_Res by Plant Acct P16(REG)'!N353</f>
        <v>0</v>
      </c>
      <c r="O354" s="13"/>
      <c r="P354" s="14">
        <f>+'KY_Res by Plant Acct P16(REG)'!P353</f>
        <v>0</v>
      </c>
      <c r="Q354" s="13"/>
      <c r="R354" s="14">
        <f t="shared" si="16"/>
        <v>-9455241.7000000011</v>
      </c>
    </row>
    <row r="355" spans="1:18" outlineLevel="1" x14ac:dyDescent="0.2">
      <c r="A355" s="3" t="s">
        <v>4167</v>
      </c>
      <c r="B355" s="14">
        <f>+'KY_Res by Plant Acct P16(REG)'!B354</f>
        <v>-21099291.729999997</v>
      </c>
      <c r="C355" s="13"/>
      <c r="D355" s="14">
        <f>+'KY_Res by Plant Acct P16(REG)'!D354</f>
        <v>-745485.23</v>
      </c>
      <c r="E355" s="13"/>
      <c r="F355" s="14">
        <f>+'KY_Res by Plant Acct P16(REG)'!F354</f>
        <v>868653.17</v>
      </c>
      <c r="G355" s="13"/>
      <c r="H355" s="14">
        <f>+'KY_Res by Plant Acct P16(REG)'!H354</f>
        <v>0</v>
      </c>
      <c r="I355" s="13"/>
      <c r="J355" s="14">
        <f>+'KY_Res by Plant Acct P16(REG)'!J354</f>
        <v>0</v>
      </c>
      <c r="K355" s="13"/>
      <c r="L355" s="14">
        <f>+'KY_Res by Plant Acct P16(REG)'!L354</f>
        <v>6367.73</v>
      </c>
      <c r="M355" s="13"/>
      <c r="N355" s="14">
        <f>+'KY_Res by Plant Acct P16(REG)'!N354</f>
        <v>0</v>
      </c>
      <c r="O355" s="13"/>
      <c r="P355" s="14">
        <f>+'KY_Res by Plant Acct P16(REG)'!P354</f>
        <v>0</v>
      </c>
      <c r="Q355" s="13"/>
      <c r="R355" s="14">
        <f t="shared" si="16"/>
        <v>-20969756.059999995</v>
      </c>
    </row>
    <row r="356" spans="1:18" outlineLevel="1" x14ac:dyDescent="0.2">
      <c r="A356" s="3" t="s">
        <v>4168</v>
      </c>
      <c r="B356" s="14">
        <f>+'KY_Res by Plant Acct P16(REG)'!B355</f>
        <v>-21653996.09999999</v>
      </c>
      <c r="C356" s="13"/>
      <c r="D356" s="14">
        <f>+'KY_Res by Plant Acct P16(REG)'!D355</f>
        <v>-978323.49</v>
      </c>
      <c r="E356" s="13"/>
      <c r="F356" s="14">
        <f>+'KY_Res by Plant Acct P16(REG)'!F355</f>
        <v>165776.68</v>
      </c>
      <c r="G356" s="13"/>
      <c r="H356" s="14">
        <f>+'KY_Res by Plant Acct P16(REG)'!H355</f>
        <v>0</v>
      </c>
      <c r="I356" s="13"/>
      <c r="J356" s="14">
        <f>+'KY_Res by Plant Acct P16(REG)'!J355</f>
        <v>0</v>
      </c>
      <c r="K356" s="13"/>
      <c r="L356" s="14">
        <f>+'KY_Res by Plant Acct P16(REG)'!L355</f>
        <v>78473.679999999993</v>
      </c>
      <c r="M356" s="13"/>
      <c r="N356" s="14">
        <f>+'KY_Res by Plant Acct P16(REG)'!N355</f>
        <v>0</v>
      </c>
      <c r="O356" s="13"/>
      <c r="P356" s="14">
        <f>+'KY_Res by Plant Acct P16(REG)'!P355</f>
        <v>0</v>
      </c>
      <c r="Q356" s="13"/>
      <c r="R356" s="14">
        <f t="shared" si="16"/>
        <v>-22388069.229999989</v>
      </c>
    </row>
    <row r="357" spans="1:18" outlineLevel="1" x14ac:dyDescent="0.2">
      <c r="A357" s="3" t="s">
        <v>4169</v>
      </c>
      <c r="B357" s="14">
        <f>+'KY_Res by Plant Acct P16(REG)'!B356</f>
        <v>-21886607.199999996</v>
      </c>
      <c r="C357" s="13"/>
      <c r="D357" s="14">
        <f>+'KY_Res by Plant Acct P16(REG)'!D356</f>
        <v>-644916.76</v>
      </c>
      <c r="E357" s="13"/>
      <c r="F357" s="14">
        <f>+'KY_Res by Plant Acct P16(REG)'!F356</f>
        <v>99616.02</v>
      </c>
      <c r="G357" s="13"/>
      <c r="H357" s="14">
        <f>+'KY_Res by Plant Acct P16(REG)'!H356</f>
        <v>0</v>
      </c>
      <c r="I357" s="13"/>
      <c r="J357" s="14">
        <f>+'KY_Res by Plant Acct P16(REG)'!J356</f>
        <v>0</v>
      </c>
      <c r="K357" s="13"/>
      <c r="L357" s="14">
        <f>+'KY_Res by Plant Acct P16(REG)'!L356</f>
        <v>8329.9699999999993</v>
      </c>
      <c r="M357" s="13"/>
      <c r="N357" s="14">
        <f>+'KY_Res by Plant Acct P16(REG)'!N356</f>
        <v>0</v>
      </c>
      <c r="O357" s="13"/>
      <c r="P357" s="14">
        <f>+'KY_Res by Plant Acct P16(REG)'!P356</f>
        <v>0</v>
      </c>
      <c r="Q357" s="13"/>
      <c r="R357" s="14">
        <f t="shared" si="16"/>
        <v>-22423577.969999999</v>
      </c>
    </row>
    <row r="358" spans="1:18" outlineLevel="1" x14ac:dyDescent="0.2">
      <c r="A358" s="3" t="s">
        <v>4170</v>
      </c>
      <c r="B358" s="14">
        <f>+'KY_Res by Plant Acct P16(REG)'!B357</f>
        <v>-30173655.120000001</v>
      </c>
      <c r="C358" s="13"/>
      <c r="D358" s="14">
        <f>+'KY_Res by Plant Acct P16(REG)'!D357</f>
        <v>-812470.5</v>
      </c>
      <c r="E358" s="13"/>
      <c r="F358" s="14">
        <f>+'KY_Res by Plant Acct P16(REG)'!F357</f>
        <v>251297</v>
      </c>
      <c r="G358" s="13"/>
      <c r="H358" s="14">
        <f>+'KY_Res by Plant Acct P16(REG)'!H357</f>
        <v>0</v>
      </c>
      <c r="I358" s="13"/>
      <c r="J358" s="14">
        <f>+'KY_Res by Plant Acct P16(REG)'!J357</f>
        <v>0</v>
      </c>
      <c r="K358" s="13"/>
      <c r="L358" s="14">
        <f>+'KY_Res by Plant Acct P16(REG)'!L357</f>
        <v>37708.720000000001</v>
      </c>
      <c r="M358" s="13"/>
      <c r="N358" s="14">
        <f>+'KY_Res by Plant Acct P16(REG)'!N357</f>
        <v>0</v>
      </c>
      <c r="O358" s="13"/>
      <c r="P358" s="14">
        <f>+'KY_Res by Plant Acct P16(REG)'!P357</f>
        <v>0</v>
      </c>
      <c r="Q358" s="13"/>
      <c r="R358" s="14">
        <f t="shared" si="16"/>
        <v>-30697119.900000002</v>
      </c>
    </row>
    <row r="359" spans="1:18" outlineLevel="1" x14ac:dyDescent="0.2">
      <c r="A359" s="3" t="s">
        <v>4171</v>
      </c>
      <c r="B359" s="14">
        <f>+'KY_Res by Plant Acct P16(REG)'!B358</f>
        <v>-34295531.009999998</v>
      </c>
      <c r="C359" s="13"/>
      <c r="D359" s="14">
        <f>+'KY_Res by Plant Acct P16(REG)'!D358</f>
        <v>-1323566.8600000001</v>
      </c>
      <c r="E359" s="13"/>
      <c r="F359" s="14">
        <f>+'KY_Res by Plant Acct P16(REG)'!F358</f>
        <v>917266.38</v>
      </c>
      <c r="G359" s="13"/>
      <c r="H359" s="14">
        <f>+'KY_Res by Plant Acct P16(REG)'!H358</f>
        <v>0</v>
      </c>
      <c r="I359" s="13"/>
      <c r="J359" s="14">
        <f>+'KY_Res by Plant Acct P16(REG)'!J358</f>
        <v>0</v>
      </c>
      <c r="K359" s="13"/>
      <c r="L359" s="14">
        <f>+'KY_Res by Plant Acct P16(REG)'!L358</f>
        <v>161261.93</v>
      </c>
      <c r="M359" s="13"/>
      <c r="N359" s="14">
        <f>+'KY_Res by Plant Acct P16(REG)'!N358</f>
        <v>0</v>
      </c>
      <c r="O359" s="13"/>
      <c r="P359" s="14">
        <f>+'KY_Res by Plant Acct P16(REG)'!P358</f>
        <v>0</v>
      </c>
      <c r="Q359" s="13"/>
      <c r="R359" s="14">
        <f t="shared" si="16"/>
        <v>-34540569.559999995</v>
      </c>
    </row>
    <row r="360" spans="1:18" outlineLevel="1" x14ac:dyDescent="0.2">
      <c r="A360" s="3" t="s">
        <v>4172</v>
      </c>
      <c r="B360" s="14">
        <f>+'KY_Res by Plant Acct P16(REG)'!B359</f>
        <v>0</v>
      </c>
      <c r="C360" s="13"/>
      <c r="D360" s="14">
        <f>+'KY_Res by Plant Acct P16(REG)'!D359</f>
        <v>0</v>
      </c>
      <c r="E360" s="13"/>
      <c r="F360" s="14">
        <f>+'KY_Res by Plant Acct P16(REG)'!F359</f>
        <v>0</v>
      </c>
      <c r="G360" s="13"/>
      <c r="H360" s="14">
        <f>+'KY_Res by Plant Acct P16(REG)'!H359</f>
        <v>0</v>
      </c>
      <c r="I360" s="13"/>
      <c r="J360" s="14">
        <f>+'KY_Res by Plant Acct P16(REG)'!J359</f>
        <v>0</v>
      </c>
      <c r="K360" s="13"/>
      <c r="L360" s="14">
        <f>+'KY_Res by Plant Acct P16(REG)'!L359</f>
        <v>0</v>
      </c>
      <c r="M360" s="13"/>
      <c r="N360" s="14">
        <f>+'KY_Res by Plant Acct P16(REG)'!N359</f>
        <v>0</v>
      </c>
      <c r="O360" s="13"/>
      <c r="P360" s="14">
        <f>+'KY_Res by Plant Acct P16(REG)'!P359</f>
        <v>0</v>
      </c>
      <c r="Q360" s="13"/>
      <c r="R360" s="14">
        <f t="shared" si="16"/>
        <v>0</v>
      </c>
    </row>
    <row r="361" spans="1:18" outlineLevel="1" x14ac:dyDescent="0.2">
      <c r="A361" s="3" t="s">
        <v>4173</v>
      </c>
      <c r="B361" s="14">
        <f>+'KY_Res by Plant Acct P16(REG)'!B360</f>
        <v>-361643.78999999957</v>
      </c>
      <c r="C361" s="13"/>
      <c r="D361" s="14">
        <f>+'KY_Res by Plant Acct P16(REG)'!D360</f>
        <v>0</v>
      </c>
      <c r="E361" s="13"/>
      <c r="F361" s="14">
        <f>+'KY_Res by Plant Acct P16(REG)'!F360</f>
        <v>0</v>
      </c>
      <c r="G361" s="13"/>
      <c r="H361" s="14">
        <f>+'KY_Res by Plant Acct P16(REG)'!H360</f>
        <v>-108261.82</v>
      </c>
      <c r="I361" s="13"/>
      <c r="J361" s="14">
        <f>+'KY_Res by Plant Acct P16(REG)'!J360</f>
        <v>0</v>
      </c>
      <c r="K361" s="13"/>
      <c r="L361" s="14">
        <f>+'KY_Res by Plant Acct P16(REG)'!L360</f>
        <v>0</v>
      </c>
      <c r="M361" s="13"/>
      <c r="N361" s="14">
        <f>+'KY_Res by Plant Acct P16(REG)'!N360</f>
        <v>0</v>
      </c>
      <c r="O361" s="13"/>
      <c r="P361" s="14">
        <f>+'KY_Res by Plant Acct P16(REG)'!P360</f>
        <v>0</v>
      </c>
      <c r="Q361" s="13"/>
      <c r="R361" s="14">
        <f t="shared" si="16"/>
        <v>-469905.60999999958</v>
      </c>
    </row>
    <row r="362" spans="1:18" outlineLevel="1" x14ac:dyDescent="0.2">
      <c r="A362" s="3" t="s">
        <v>4174</v>
      </c>
      <c r="B362" s="14">
        <f>+'KY_Res by Plant Acct P16(REG)'!B361</f>
        <v>-1227914.2400000021</v>
      </c>
      <c r="C362" s="13"/>
      <c r="D362" s="14">
        <f>+'KY_Res by Plant Acct P16(REG)'!D361</f>
        <v>0</v>
      </c>
      <c r="E362" s="13"/>
      <c r="F362" s="14">
        <f>+'KY_Res by Plant Acct P16(REG)'!F361</f>
        <v>57483.17</v>
      </c>
      <c r="G362" s="13"/>
      <c r="H362" s="14">
        <f>+'KY_Res by Plant Acct P16(REG)'!H361</f>
        <v>-105666.35</v>
      </c>
      <c r="I362" s="13"/>
      <c r="J362" s="14">
        <f>+'KY_Res by Plant Acct P16(REG)'!J361</f>
        <v>0</v>
      </c>
      <c r="K362" s="13"/>
      <c r="L362" s="14">
        <f>+'KY_Res by Plant Acct P16(REG)'!L361</f>
        <v>1204957.79</v>
      </c>
      <c r="M362" s="13"/>
      <c r="N362" s="14">
        <f>+'KY_Res by Plant Acct P16(REG)'!N361</f>
        <v>-15073.4</v>
      </c>
      <c r="O362" s="13"/>
      <c r="P362" s="14">
        <f>+'KY_Res by Plant Acct P16(REG)'!P361</f>
        <v>0</v>
      </c>
      <c r="Q362" s="13"/>
      <c r="R362" s="14">
        <f t="shared" si="16"/>
        <v>-86213.030000002211</v>
      </c>
    </row>
    <row r="363" spans="1:18" outlineLevel="1" x14ac:dyDescent="0.2">
      <c r="A363" s="3" t="s">
        <v>4175</v>
      </c>
      <c r="B363" s="14">
        <f>+'KY_Res by Plant Acct P16(REG)'!B362</f>
        <v>0</v>
      </c>
      <c r="C363" s="13"/>
      <c r="D363" s="14">
        <f>+'KY_Res by Plant Acct P16(REG)'!D362</f>
        <v>0</v>
      </c>
      <c r="E363" s="13"/>
      <c r="F363" s="14">
        <f>+'KY_Res by Plant Acct P16(REG)'!F362</f>
        <v>0</v>
      </c>
      <c r="G363" s="13"/>
      <c r="H363" s="14">
        <f>+'KY_Res by Plant Acct P16(REG)'!H362</f>
        <v>0</v>
      </c>
      <c r="I363" s="13"/>
      <c r="J363" s="14">
        <f>+'KY_Res by Plant Acct P16(REG)'!J362</f>
        <v>0</v>
      </c>
      <c r="K363" s="13"/>
      <c r="L363" s="14">
        <f>+'KY_Res by Plant Acct P16(REG)'!L362</f>
        <v>0</v>
      </c>
      <c r="M363" s="13"/>
      <c r="N363" s="14">
        <f>+'KY_Res by Plant Acct P16(REG)'!N362</f>
        <v>0</v>
      </c>
      <c r="O363" s="13"/>
      <c r="P363" s="14">
        <f>+'KY_Res by Plant Acct P16(REG)'!P362</f>
        <v>0</v>
      </c>
      <c r="Q363" s="13"/>
      <c r="R363" s="14">
        <f t="shared" si="16"/>
        <v>0</v>
      </c>
    </row>
    <row r="364" spans="1:18" outlineLevel="1" x14ac:dyDescent="0.2">
      <c r="A364" s="3" t="s">
        <v>4176</v>
      </c>
      <c r="B364" s="14">
        <f>+'KY_Res by Plant Acct P16(REG)'!B363</f>
        <v>0</v>
      </c>
      <c r="C364" s="13"/>
      <c r="D364" s="14">
        <f>+'KY_Res by Plant Acct P16(REG)'!D363</f>
        <v>0</v>
      </c>
      <c r="E364" s="13"/>
      <c r="F364" s="14">
        <f>+'KY_Res by Plant Acct P16(REG)'!F363</f>
        <v>0</v>
      </c>
      <c r="G364" s="13"/>
      <c r="H364" s="14">
        <f>+'KY_Res by Plant Acct P16(REG)'!H363</f>
        <v>0</v>
      </c>
      <c r="I364" s="13"/>
      <c r="J364" s="14">
        <f>+'KY_Res by Plant Acct P16(REG)'!J363</f>
        <v>0</v>
      </c>
      <c r="K364" s="13"/>
      <c r="L364" s="14">
        <f>+'KY_Res by Plant Acct P16(REG)'!L363</f>
        <v>0</v>
      </c>
      <c r="M364" s="13"/>
      <c r="N364" s="14">
        <f>+'KY_Res by Plant Acct P16(REG)'!N363</f>
        <v>0</v>
      </c>
      <c r="O364" s="13"/>
      <c r="P364" s="14">
        <f>+'KY_Res by Plant Acct P16(REG)'!P363</f>
        <v>0</v>
      </c>
      <c r="Q364" s="13"/>
      <c r="R364" s="14">
        <f t="shared" si="16"/>
        <v>0</v>
      </c>
    </row>
    <row r="365" spans="1:18" outlineLevel="1" x14ac:dyDescent="0.2">
      <c r="A365" s="43" t="s">
        <v>4177</v>
      </c>
      <c r="B365" s="14">
        <f>+'KY_Res by Plant Acct P16(REG)'!B364</f>
        <v>-21982917.41</v>
      </c>
      <c r="C365" s="13"/>
      <c r="D365" s="14">
        <f>+'KY_Res by Plant Acct P16(REG)'!D364</f>
        <v>-2010504.07</v>
      </c>
      <c r="E365" s="13"/>
      <c r="F365" s="14">
        <f>+'KY_Res by Plant Acct P16(REG)'!F364</f>
        <v>2079513.58</v>
      </c>
      <c r="G365" s="13"/>
      <c r="H365" s="14">
        <f>+'KY_Res by Plant Acct P16(REG)'!H364</f>
        <v>0</v>
      </c>
      <c r="I365" s="13"/>
      <c r="J365" s="14">
        <f>+'KY_Res by Plant Acct P16(REG)'!J364</f>
        <v>0</v>
      </c>
      <c r="K365" s="13"/>
      <c r="L365" s="14">
        <f>+'KY_Res by Plant Acct P16(REG)'!L364</f>
        <v>198235.78</v>
      </c>
      <c r="M365" s="13"/>
      <c r="N365" s="14">
        <f>+'KY_Res by Plant Acct P16(REG)'!N364</f>
        <v>0</v>
      </c>
      <c r="O365" s="13"/>
      <c r="P365" s="14">
        <f>+'KY_Res by Plant Acct P16(REG)'!P364</f>
        <v>-48994.879999999997</v>
      </c>
      <c r="Q365" s="13"/>
      <c r="R365" s="14">
        <f t="shared" si="16"/>
        <v>-21764666.999999996</v>
      </c>
    </row>
    <row r="366" spans="1:18" outlineLevel="1" x14ac:dyDescent="0.2">
      <c r="A366" s="3" t="s">
        <v>4178</v>
      </c>
      <c r="B366" s="14">
        <f>+'KY_Res by Plant Acct P16(REG)'!B365</f>
        <v>-332381.18999999994</v>
      </c>
      <c r="C366" s="13"/>
      <c r="D366" s="14">
        <f>+'KY_Res by Plant Acct P16(REG)'!D365</f>
        <v>0</v>
      </c>
      <c r="E366" s="13"/>
      <c r="F366" s="14">
        <f>+'KY_Res by Plant Acct P16(REG)'!F365</f>
        <v>0</v>
      </c>
      <c r="G366" s="13"/>
      <c r="H366" s="14">
        <f>+'KY_Res by Plant Acct P16(REG)'!H365</f>
        <v>0</v>
      </c>
      <c r="I366" s="13"/>
      <c r="J366" s="14">
        <f>+'KY_Res by Plant Acct P16(REG)'!J365</f>
        <v>0</v>
      </c>
      <c r="K366" s="13"/>
      <c r="L366" s="14">
        <f>+'KY_Res by Plant Acct P16(REG)'!L365</f>
        <v>0</v>
      </c>
      <c r="M366" s="13"/>
      <c r="N366" s="14">
        <f>+'KY_Res by Plant Acct P16(REG)'!N365</f>
        <v>0</v>
      </c>
      <c r="O366" s="13"/>
      <c r="P366" s="14">
        <f>+'KY_Res by Plant Acct P16(REG)'!P365</f>
        <v>0</v>
      </c>
      <c r="Q366" s="13"/>
      <c r="R366" s="14">
        <f t="shared" si="16"/>
        <v>-332381.18999999994</v>
      </c>
    </row>
    <row r="367" spans="1:18" outlineLevel="1" x14ac:dyDescent="0.2">
      <c r="A367" s="3" t="s">
        <v>4179</v>
      </c>
      <c r="B367" s="14">
        <f>+'KY_Res by Plant Acct P16(REG)'!B366</f>
        <v>-416110.01999999909</v>
      </c>
      <c r="C367" s="13"/>
      <c r="D367" s="14">
        <f>+'KY_Res by Plant Acct P16(REG)'!D366</f>
        <v>0</v>
      </c>
      <c r="E367" s="13"/>
      <c r="F367" s="14">
        <f>+'KY_Res by Plant Acct P16(REG)'!F366</f>
        <v>0</v>
      </c>
      <c r="G367" s="13"/>
      <c r="H367" s="14">
        <f>+'KY_Res by Plant Acct P16(REG)'!H366</f>
        <v>0</v>
      </c>
      <c r="I367" s="13"/>
      <c r="J367" s="14">
        <f>+'KY_Res by Plant Acct P16(REG)'!J366</f>
        <v>0</v>
      </c>
      <c r="K367" s="13"/>
      <c r="L367" s="14">
        <f>+'KY_Res by Plant Acct P16(REG)'!L366</f>
        <v>0</v>
      </c>
      <c r="M367" s="13"/>
      <c r="N367" s="14">
        <f>+'KY_Res by Plant Acct P16(REG)'!N366</f>
        <v>0</v>
      </c>
      <c r="O367" s="13"/>
      <c r="P367" s="14">
        <f>+'KY_Res by Plant Acct P16(REG)'!P366</f>
        <v>0</v>
      </c>
      <c r="Q367" s="13"/>
      <c r="R367" s="14">
        <f t="shared" si="16"/>
        <v>-416110.01999999909</v>
      </c>
    </row>
    <row r="368" spans="1:18" x14ac:dyDescent="0.2">
      <c r="A368" s="3" t="s">
        <v>4180</v>
      </c>
      <c r="B368" s="14">
        <f>SUM(B353:B367)</f>
        <v>-166320490.67999998</v>
      </c>
      <c r="C368" s="13"/>
      <c r="D368" s="14">
        <f>SUM(D353:D367)</f>
        <v>-7025939.3100000005</v>
      </c>
      <c r="E368" s="13"/>
      <c r="F368" s="14">
        <f>SUM(F353:F367)</f>
        <v>4439606</v>
      </c>
      <c r="G368" s="13"/>
      <c r="H368" s="14">
        <f>SUM(H353:H367)</f>
        <v>-213928.17</v>
      </c>
      <c r="I368" s="13"/>
      <c r="J368" s="14">
        <f>SUM(J353:J367)</f>
        <v>0</v>
      </c>
      <c r="K368" s="13"/>
      <c r="L368" s="14">
        <f>SUM(L353:L367)</f>
        <v>1695335.6</v>
      </c>
      <c r="M368" s="13"/>
      <c r="N368" s="14">
        <f>SUM(N353:N367)</f>
        <v>-15073.4</v>
      </c>
      <c r="O368" s="13"/>
      <c r="P368" s="14">
        <f>SUM(P353:P367)</f>
        <v>-48994.879999999997</v>
      </c>
      <c r="Q368" s="13"/>
      <c r="R368" s="14">
        <f>SUM(R353:R367)</f>
        <v>-167489484.84</v>
      </c>
    </row>
    <row r="369" spans="1:18" x14ac:dyDescent="0.2">
      <c r="A369" s="3" t="s">
        <v>4406</v>
      </c>
      <c r="B369" s="14">
        <f>+'KY_Res by Plant Acct P16(REG)'!B368</f>
        <v>0</v>
      </c>
      <c r="C369" s="13"/>
      <c r="D369" s="14">
        <f>+'KY_Res by Plant Acct P16(REG)'!D368</f>
        <v>0</v>
      </c>
      <c r="E369" s="13"/>
      <c r="F369" s="14">
        <f>+'KY_Res by Plant Acct P16(REG)'!F368</f>
        <v>0</v>
      </c>
      <c r="G369" s="13"/>
      <c r="H369" s="14">
        <f>+'KY_Res by Plant Acct P16(REG)'!H368</f>
        <v>0</v>
      </c>
      <c r="I369" s="13"/>
      <c r="J369" s="14">
        <f>+'KY_Res by Plant Acct P16(REG)'!J368</f>
        <v>0</v>
      </c>
      <c r="K369" s="13"/>
      <c r="L369" s="14">
        <f>+'KY_Res by Plant Acct P16(REG)'!L368</f>
        <v>0</v>
      </c>
      <c r="M369" s="13"/>
      <c r="N369" s="14">
        <f>+'KY_Res by Plant Acct P16(REG)'!N368</f>
        <v>0</v>
      </c>
      <c r="O369" s="13"/>
      <c r="P369" s="14">
        <f>+'KY_Res by Plant Acct P16(REG)'!P368</f>
        <v>0</v>
      </c>
      <c r="Q369" s="13"/>
      <c r="R369" s="14">
        <f t="shared" ref="R369:R405" si="17">SUM(B369:P369)</f>
        <v>0</v>
      </c>
    </row>
    <row r="370" spans="1:18" outlineLevel="1" x14ac:dyDescent="0.2">
      <c r="A370" s="3" t="s">
        <v>4182</v>
      </c>
      <c r="B370" s="14">
        <f>+'KY_Res by Plant Acct P16(REG)'!B369</f>
        <v>-3269299.6799999992</v>
      </c>
      <c r="C370" s="13"/>
      <c r="D370" s="14">
        <f>+'KY_Res by Plant Acct P16(REG)'!D369</f>
        <v>-53811.89</v>
      </c>
      <c r="E370" s="13"/>
      <c r="F370" s="14">
        <f>+'KY_Res by Plant Acct P16(REG)'!F369</f>
        <v>19084.61</v>
      </c>
      <c r="G370" s="13"/>
      <c r="H370" s="14">
        <f>+'KY_Res by Plant Acct P16(REG)'!H369</f>
        <v>0</v>
      </c>
      <c r="I370" s="13"/>
      <c r="J370" s="14">
        <f>+'KY_Res by Plant Acct P16(REG)'!J369</f>
        <v>0</v>
      </c>
      <c r="K370" s="13"/>
      <c r="L370" s="14">
        <f>+'KY_Res by Plant Acct P16(REG)'!L369</f>
        <v>1669.08</v>
      </c>
      <c r="M370" s="13"/>
      <c r="N370" s="14">
        <f>+'KY_Res by Plant Acct P16(REG)'!N369</f>
        <v>0</v>
      </c>
      <c r="O370" s="13"/>
      <c r="P370" s="14">
        <f>+'KY_Res by Plant Acct P16(REG)'!P369</f>
        <v>0</v>
      </c>
      <c r="Q370" s="13"/>
      <c r="R370" s="14">
        <f t="shared" si="17"/>
        <v>-3302357.8799999994</v>
      </c>
    </row>
    <row r="371" spans="1:18" outlineLevel="1" x14ac:dyDescent="0.2">
      <c r="A371" s="3" t="s">
        <v>4407</v>
      </c>
      <c r="B371" s="14">
        <f>+'KY_Res by Plant Acct P16(REG)'!B370</f>
        <v>-1450828.4400000002</v>
      </c>
      <c r="C371" s="13"/>
      <c r="D371" s="14">
        <f>+'KY_Res by Plant Acct P16(REG)'!D370</f>
        <v>-48570.3</v>
      </c>
      <c r="E371" s="13"/>
      <c r="F371" s="14">
        <f>+'KY_Res by Plant Acct P16(REG)'!F370</f>
        <v>0</v>
      </c>
      <c r="G371" s="13"/>
      <c r="H371" s="14">
        <f>+'KY_Res by Plant Acct P16(REG)'!H370</f>
        <v>0</v>
      </c>
      <c r="I371" s="13"/>
      <c r="J371" s="14">
        <f>+'KY_Res by Plant Acct P16(REG)'!J370</f>
        <v>0</v>
      </c>
      <c r="K371" s="13"/>
      <c r="L371" s="14">
        <f>+'KY_Res by Plant Acct P16(REG)'!L370</f>
        <v>0</v>
      </c>
      <c r="M371" s="13"/>
      <c r="N371" s="14">
        <f>+'KY_Res by Plant Acct P16(REG)'!N370</f>
        <v>0</v>
      </c>
      <c r="O371" s="13"/>
      <c r="P371" s="14">
        <f>+'KY_Res by Plant Acct P16(REG)'!P370</f>
        <v>0</v>
      </c>
      <c r="Q371" s="13"/>
      <c r="R371" s="14">
        <f t="shared" si="17"/>
        <v>-1499398.7400000002</v>
      </c>
    </row>
    <row r="372" spans="1:18" outlineLevel="1" x14ac:dyDescent="0.2">
      <c r="A372" s="3" t="s">
        <v>4184</v>
      </c>
      <c r="B372" s="14">
        <f>+'KY_Res by Plant Acct P16(REG)'!B371</f>
        <v>0</v>
      </c>
      <c r="C372" s="13"/>
      <c r="D372" s="14">
        <f>+'KY_Res by Plant Acct P16(REG)'!D371</f>
        <v>0</v>
      </c>
      <c r="E372" s="13"/>
      <c r="F372" s="14">
        <f>+'KY_Res by Plant Acct P16(REG)'!F371</f>
        <v>0</v>
      </c>
      <c r="G372" s="13"/>
      <c r="H372" s="14">
        <f>+'KY_Res by Plant Acct P16(REG)'!H371</f>
        <v>0</v>
      </c>
      <c r="I372" s="13"/>
      <c r="J372" s="14">
        <f>+'KY_Res by Plant Acct P16(REG)'!J371</f>
        <v>0</v>
      </c>
      <c r="K372" s="13"/>
      <c r="L372" s="14">
        <f>+'KY_Res by Plant Acct P16(REG)'!L371</f>
        <v>0</v>
      </c>
      <c r="M372" s="13"/>
      <c r="N372" s="14">
        <f>+'KY_Res by Plant Acct P16(REG)'!N371</f>
        <v>0</v>
      </c>
      <c r="O372" s="13"/>
      <c r="P372" s="14">
        <f>+'KY_Res by Plant Acct P16(REG)'!P371</f>
        <v>0</v>
      </c>
      <c r="Q372" s="13"/>
      <c r="R372" s="14">
        <f t="shared" si="17"/>
        <v>0</v>
      </c>
    </row>
    <row r="373" spans="1:18" outlineLevel="1" x14ac:dyDescent="0.2">
      <c r="A373" s="3" t="s">
        <v>4408</v>
      </c>
      <c r="B373" s="14">
        <f>+'KY_Res by Plant Acct P16(REG)'!B372</f>
        <v>-6841847.0900000026</v>
      </c>
      <c r="C373" s="13"/>
      <c r="D373" s="14">
        <f>+'KY_Res by Plant Acct P16(REG)'!D372</f>
        <v>-113341.08</v>
      </c>
      <c r="E373" s="13"/>
      <c r="F373" s="14">
        <f>+'KY_Res by Plant Acct P16(REG)'!F372</f>
        <v>0</v>
      </c>
      <c r="G373" s="13"/>
      <c r="H373" s="14">
        <f>+'KY_Res by Plant Acct P16(REG)'!H372</f>
        <v>0</v>
      </c>
      <c r="I373" s="13"/>
      <c r="J373" s="14">
        <f>+'KY_Res by Plant Acct P16(REG)'!J372</f>
        <v>0</v>
      </c>
      <c r="K373" s="13"/>
      <c r="L373" s="14">
        <f>+'KY_Res by Plant Acct P16(REG)'!L372</f>
        <v>0</v>
      </c>
      <c r="M373" s="13"/>
      <c r="N373" s="14">
        <f>+'KY_Res by Plant Acct P16(REG)'!N372</f>
        <v>0</v>
      </c>
      <c r="O373" s="13"/>
      <c r="P373" s="14">
        <f>+'KY_Res by Plant Acct P16(REG)'!P372</f>
        <v>0</v>
      </c>
      <c r="Q373" s="13"/>
      <c r="R373" s="14">
        <f t="shared" si="17"/>
        <v>-6955188.1700000027</v>
      </c>
    </row>
    <row r="374" spans="1:18" outlineLevel="1" x14ac:dyDescent="0.2">
      <c r="A374" s="3" t="s">
        <v>4186</v>
      </c>
      <c r="B374" s="14">
        <f>+'KY_Res by Plant Acct P16(REG)'!B373</f>
        <v>0</v>
      </c>
      <c r="C374" s="13"/>
      <c r="D374" s="14">
        <f>+'KY_Res by Plant Acct P16(REG)'!D373</f>
        <v>0</v>
      </c>
      <c r="E374" s="13"/>
      <c r="F374" s="14">
        <f>+'KY_Res by Plant Acct P16(REG)'!F373</f>
        <v>0</v>
      </c>
      <c r="G374" s="13"/>
      <c r="H374" s="14">
        <f>+'KY_Res by Plant Acct P16(REG)'!H373</f>
        <v>0</v>
      </c>
      <c r="I374" s="13"/>
      <c r="J374" s="14">
        <f>+'KY_Res by Plant Acct P16(REG)'!J373</f>
        <v>0</v>
      </c>
      <c r="K374" s="13"/>
      <c r="L374" s="14">
        <f>+'KY_Res by Plant Acct P16(REG)'!L373</f>
        <v>0</v>
      </c>
      <c r="M374" s="13"/>
      <c r="N374" s="14">
        <f>+'KY_Res by Plant Acct P16(REG)'!N373</f>
        <v>0</v>
      </c>
      <c r="O374" s="13"/>
      <c r="P374" s="14">
        <f>+'KY_Res by Plant Acct P16(REG)'!P373</f>
        <v>0</v>
      </c>
      <c r="Q374" s="13"/>
      <c r="R374" s="14">
        <f>SUM(B374:P374)</f>
        <v>0</v>
      </c>
    </row>
    <row r="375" spans="1:18" outlineLevel="1" x14ac:dyDescent="0.2">
      <c r="B375" s="14">
        <f>+'KY_Res by Plant Acct P16(REG)'!B374</f>
        <v>0</v>
      </c>
      <c r="C375" s="13"/>
      <c r="D375" s="14">
        <f>+'KY_Res by Plant Acct P16(REG)'!D374</f>
        <v>-39771.980000000003</v>
      </c>
      <c r="E375" s="13"/>
      <c r="F375" s="14">
        <f>+'KY_Res by Plant Acct P16(REG)'!F374</f>
        <v>0</v>
      </c>
      <c r="G375" s="13"/>
      <c r="H375" s="14">
        <f>+'KY_Res by Plant Acct P16(REG)'!H374</f>
        <v>0</v>
      </c>
      <c r="I375" s="13"/>
      <c r="J375" s="14">
        <f>+'KY_Res by Plant Acct P16(REG)'!J374</f>
        <v>0</v>
      </c>
      <c r="K375" s="13"/>
      <c r="L375" s="14">
        <f>+'KY_Res by Plant Acct P16(REG)'!L374</f>
        <v>0</v>
      </c>
      <c r="M375" s="13"/>
      <c r="N375" s="14">
        <f>+'KY_Res by Plant Acct P16(REG)'!N374</f>
        <v>0</v>
      </c>
      <c r="O375" s="13"/>
      <c r="P375" s="14">
        <f>+'KY_Res by Plant Acct P16(REG)'!P374</f>
        <v>0</v>
      </c>
      <c r="Q375" s="13"/>
      <c r="R375" s="14">
        <f>SUM(B375:P375)</f>
        <v>-39771.980000000003</v>
      </c>
    </row>
    <row r="376" spans="1:18" outlineLevel="1" x14ac:dyDescent="0.2">
      <c r="A376" s="3" t="s">
        <v>4188</v>
      </c>
      <c r="B376" s="14">
        <f>+'KY_Res by Plant Acct P16(REG)'!B375</f>
        <v>-6985257.4299999997</v>
      </c>
      <c r="C376" s="13"/>
      <c r="D376" s="14">
        <f>+'KY_Res by Plant Acct P16(REG)'!D375</f>
        <v>-1324792.8</v>
      </c>
      <c r="E376" s="13"/>
      <c r="F376" s="14">
        <f>+'KY_Res by Plant Acct P16(REG)'!F375</f>
        <v>0</v>
      </c>
      <c r="G376" s="13"/>
      <c r="H376" s="14">
        <f>+'KY_Res by Plant Acct P16(REG)'!H375</f>
        <v>0</v>
      </c>
      <c r="I376" s="13"/>
      <c r="J376" s="14">
        <f>+'KY_Res by Plant Acct P16(REG)'!J375</f>
        <v>0</v>
      </c>
      <c r="K376" s="13"/>
      <c r="L376" s="14">
        <f>+'KY_Res by Plant Acct P16(REG)'!L375</f>
        <v>0</v>
      </c>
      <c r="M376" s="13"/>
      <c r="N376" s="14">
        <f>+'KY_Res by Plant Acct P16(REG)'!N375</f>
        <v>0</v>
      </c>
      <c r="O376" s="13"/>
      <c r="P376" s="14">
        <f>+'KY_Res by Plant Acct P16(REG)'!P375</f>
        <v>0</v>
      </c>
      <c r="Q376" s="13"/>
      <c r="R376" s="14">
        <f>SUM(B376:P376)</f>
        <v>-8310050.2299999995</v>
      </c>
    </row>
    <row r="377" spans="1:18" outlineLevel="1" x14ac:dyDescent="0.2">
      <c r="A377" s="3" t="s">
        <v>4189</v>
      </c>
      <c r="B377" s="14">
        <f>+'KY_Res by Plant Acct P16(REG)'!B376</f>
        <v>0</v>
      </c>
      <c r="C377" s="13"/>
      <c r="D377" s="14">
        <f>+'KY_Res by Plant Acct P16(REG)'!D376</f>
        <v>0</v>
      </c>
      <c r="E377" s="13"/>
      <c r="F377" s="14">
        <f>+'KY_Res by Plant Acct P16(REG)'!F376</f>
        <v>0</v>
      </c>
      <c r="G377" s="13"/>
      <c r="H377" s="14">
        <f>+'KY_Res by Plant Acct P16(REG)'!H376</f>
        <v>0</v>
      </c>
      <c r="I377" s="13"/>
      <c r="J377" s="14">
        <f>+'KY_Res by Plant Acct P16(REG)'!J376</f>
        <v>0</v>
      </c>
      <c r="K377" s="13"/>
      <c r="L377" s="14">
        <f>+'KY_Res by Plant Acct P16(REG)'!L376</f>
        <v>0</v>
      </c>
      <c r="M377" s="13"/>
      <c r="N377" s="14">
        <f>+'KY_Res by Plant Acct P16(REG)'!N376</f>
        <v>0</v>
      </c>
      <c r="O377" s="13"/>
      <c r="P377" s="14">
        <f>+'KY_Res by Plant Acct P16(REG)'!P376</f>
        <v>0</v>
      </c>
      <c r="Q377" s="13"/>
      <c r="R377" s="14">
        <f>SUM(B377:P377)</f>
        <v>0</v>
      </c>
    </row>
    <row r="378" spans="1:18" outlineLevel="1" x14ac:dyDescent="0.2">
      <c r="A378" s="3" t="s">
        <v>4190</v>
      </c>
      <c r="B378" s="14">
        <f>+'KY_Res by Plant Acct P16(REG)'!B377</f>
        <v>-22314.04</v>
      </c>
      <c r="C378" s="13"/>
      <c r="D378" s="14">
        <f>+'KY_Res by Plant Acct P16(REG)'!D377</f>
        <v>-14718.84</v>
      </c>
      <c r="E378" s="14">
        <f>+'KY_Res by Plant Acct P16(REG)'!E377</f>
        <v>0</v>
      </c>
      <c r="F378" s="14">
        <f>+'KY_Res by Plant Acct P16(REG)'!F377</f>
        <v>0</v>
      </c>
      <c r="G378" s="14">
        <f>+'KY_Res by Plant Acct P16(REG)'!G377</f>
        <v>0</v>
      </c>
      <c r="H378" s="14">
        <f>+'KY_Res by Plant Acct P16(REG)'!H377</f>
        <v>0</v>
      </c>
      <c r="I378" s="14">
        <f>+'KY_Res by Plant Acct P16(REG)'!I377</f>
        <v>0</v>
      </c>
      <c r="J378" s="14">
        <f>+'KY_Res by Plant Acct P16(REG)'!J377</f>
        <v>0</v>
      </c>
      <c r="K378" s="14">
        <f>+'KY_Res by Plant Acct P16(REG)'!K377</f>
        <v>0</v>
      </c>
      <c r="L378" s="14">
        <f>+'KY_Res by Plant Acct P16(REG)'!L377</f>
        <v>0</v>
      </c>
      <c r="M378" s="14">
        <f>+'KY_Res by Plant Acct P16(REG)'!M377</f>
        <v>0</v>
      </c>
      <c r="N378" s="14">
        <f>+'KY_Res by Plant Acct P16(REG)'!N377</f>
        <v>0</v>
      </c>
      <c r="O378" s="14">
        <f>+'KY_Res by Plant Acct P16(REG)'!O377</f>
        <v>0</v>
      </c>
      <c r="P378" s="14">
        <f>+'KY_Res by Plant Acct P16(REG)'!P377</f>
        <v>0</v>
      </c>
      <c r="Q378" s="13"/>
      <c r="R378" s="14">
        <f>SUM(B378:P378)</f>
        <v>-37032.880000000005</v>
      </c>
    </row>
    <row r="379" spans="1:18" outlineLevel="1" x14ac:dyDescent="0.2">
      <c r="A379" s="3" t="s">
        <v>4409</v>
      </c>
      <c r="B379" s="14">
        <f>+'KY_Res by Plant Acct P16(REG)'!B378</f>
        <v>-8495696.0400000028</v>
      </c>
      <c r="C379" s="13"/>
      <c r="D379" s="14">
        <f>+'KY_Res by Plant Acct P16(REG)'!D378</f>
        <v>-54681.21</v>
      </c>
      <c r="E379" s="13"/>
      <c r="F379" s="14">
        <f>+'KY_Res by Plant Acct P16(REG)'!F378</f>
        <v>9360.74</v>
      </c>
      <c r="G379" s="13"/>
      <c r="H379" s="14">
        <f>+'KY_Res by Plant Acct P16(REG)'!H378</f>
        <v>0</v>
      </c>
      <c r="I379" s="13"/>
      <c r="J379" s="14">
        <f>+'KY_Res by Plant Acct P16(REG)'!J378</f>
        <v>0</v>
      </c>
      <c r="K379" s="13"/>
      <c r="L379" s="14">
        <f>+'KY_Res by Plant Acct P16(REG)'!L378</f>
        <v>6545.88</v>
      </c>
      <c r="M379" s="13"/>
      <c r="N379" s="14">
        <f>+'KY_Res by Plant Acct P16(REG)'!N378</f>
        <v>0</v>
      </c>
      <c r="O379" s="13"/>
      <c r="P379" s="14">
        <f>+'KY_Res by Plant Acct P16(REG)'!P378</f>
        <v>0</v>
      </c>
      <c r="Q379" s="13"/>
      <c r="R379" s="14">
        <f t="shared" si="17"/>
        <v>-8534470.6300000027</v>
      </c>
    </row>
    <row r="380" spans="1:18" outlineLevel="1" x14ac:dyDescent="0.2">
      <c r="A380" s="3" t="s">
        <v>4192</v>
      </c>
      <c r="B380" s="14">
        <f>+'KY_Res by Plant Acct P16(REG)'!B379</f>
        <v>-5300971.120000001</v>
      </c>
      <c r="C380" s="13"/>
      <c r="D380" s="14">
        <f>+'KY_Res by Plant Acct P16(REG)'!D379</f>
        <v>-465710.76</v>
      </c>
      <c r="E380" s="13"/>
      <c r="F380" s="14">
        <f>+'KY_Res by Plant Acct P16(REG)'!F379</f>
        <v>0</v>
      </c>
      <c r="G380" s="13"/>
      <c r="H380" s="14">
        <f>+'KY_Res by Plant Acct P16(REG)'!H379</f>
        <v>0</v>
      </c>
      <c r="I380" s="13"/>
      <c r="J380" s="14">
        <f>+'KY_Res by Plant Acct P16(REG)'!J379</f>
        <v>0</v>
      </c>
      <c r="K380" s="13"/>
      <c r="L380" s="14">
        <f>+'KY_Res by Plant Acct P16(REG)'!L379</f>
        <v>0</v>
      </c>
      <c r="M380" s="13"/>
      <c r="N380" s="14">
        <f>+'KY_Res by Plant Acct P16(REG)'!N379</f>
        <v>0</v>
      </c>
      <c r="O380" s="13"/>
      <c r="P380" s="14">
        <f>+'KY_Res by Plant Acct P16(REG)'!P379</f>
        <v>0</v>
      </c>
      <c r="Q380" s="13"/>
      <c r="R380" s="14">
        <f t="shared" si="17"/>
        <v>-5766681.8800000008</v>
      </c>
    </row>
    <row r="381" spans="1:18" outlineLevel="1" x14ac:dyDescent="0.2">
      <c r="A381" s="3" t="s">
        <v>4193</v>
      </c>
      <c r="B381" s="14">
        <f>+'KY_Res by Plant Acct P16(REG)'!B380</f>
        <v>0</v>
      </c>
      <c r="C381" s="13"/>
      <c r="D381" s="14">
        <f>+'KY_Res by Plant Acct P16(REG)'!D380</f>
        <v>0</v>
      </c>
      <c r="E381" s="13"/>
      <c r="F381" s="14">
        <f>+'KY_Res by Plant Acct P16(REG)'!F380</f>
        <v>0</v>
      </c>
      <c r="G381" s="13"/>
      <c r="H381" s="14">
        <f>+'KY_Res by Plant Acct P16(REG)'!H380</f>
        <v>0</v>
      </c>
      <c r="I381" s="13"/>
      <c r="J381" s="14">
        <f>+'KY_Res by Plant Acct P16(REG)'!J380</f>
        <v>0</v>
      </c>
      <c r="K381" s="13"/>
      <c r="L381" s="14">
        <f>+'KY_Res by Plant Acct P16(REG)'!L380</f>
        <v>0</v>
      </c>
      <c r="M381" s="13"/>
      <c r="N381" s="14">
        <f>+'KY_Res by Plant Acct P16(REG)'!N380</f>
        <v>0</v>
      </c>
      <c r="O381" s="13"/>
      <c r="P381" s="14">
        <f>+'KY_Res by Plant Acct P16(REG)'!P380</f>
        <v>0</v>
      </c>
      <c r="Q381" s="13"/>
      <c r="R381" s="14">
        <f t="shared" si="17"/>
        <v>0</v>
      </c>
    </row>
    <row r="382" spans="1:18" outlineLevel="1" x14ac:dyDescent="0.2">
      <c r="A382" s="3" t="s">
        <v>4194</v>
      </c>
      <c r="B382" s="14">
        <f>+'KY_Res by Plant Acct P16(REG)'!B381</f>
        <v>-3024.54</v>
      </c>
      <c r="C382" s="13"/>
      <c r="D382" s="14">
        <f>+'KY_Res by Plant Acct P16(REG)'!D381</f>
        <v>-3173.82</v>
      </c>
      <c r="E382" s="13"/>
      <c r="F382" s="14">
        <f>+'KY_Res by Plant Acct P16(REG)'!F381</f>
        <v>0</v>
      </c>
      <c r="G382" s="13"/>
      <c r="H382" s="14">
        <f>+'KY_Res by Plant Acct P16(REG)'!H381</f>
        <v>0</v>
      </c>
      <c r="I382" s="13"/>
      <c r="J382" s="14">
        <f>+'KY_Res by Plant Acct P16(REG)'!J381</f>
        <v>0</v>
      </c>
      <c r="K382" s="13"/>
      <c r="L382" s="14">
        <f>+'KY_Res by Plant Acct P16(REG)'!L381</f>
        <v>0</v>
      </c>
      <c r="M382" s="13"/>
      <c r="N382" s="14">
        <f>+'KY_Res by Plant Acct P16(REG)'!N381</f>
        <v>0</v>
      </c>
      <c r="O382" s="13"/>
      <c r="P382" s="14">
        <f>+'KY_Res by Plant Acct P16(REG)'!P381</f>
        <v>0</v>
      </c>
      <c r="Q382" s="13"/>
      <c r="R382" s="14">
        <f t="shared" si="17"/>
        <v>-6198.3600000000006</v>
      </c>
    </row>
    <row r="383" spans="1:18" outlineLevel="1" x14ac:dyDescent="0.2">
      <c r="A383" s="3" t="s">
        <v>4410</v>
      </c>
      <c r="B383" s="14">
        <f>+'KY_Res by Plant Acct P16(REG)'!B382</f>
        <v>-11376035.420000002</v>
      </c>
      <c r="C383" s="13"/>
      <c r="D383" s="14">
        <f>+'KY_Res by Plant Acct P16(REG)'!D382</f>
        <v>-196529.16</v>
      </c>
      <c r="E383" s="13"/>
      <c r="F383" s="14">
        <f>+'KY_Res by Plant Acct P16(REG)'!F382</f>
        <v>0</v>
      </c>
      <c r="G383" s="13"/>
      <c r="H383" s="14">
        <f>+'KY_Res by Plant Acct P16(REG)'!H382</f>
        <v>0</v>
      </c>
      <c r="I383" s="13"/>
      <c r="J383" s="14">
        <f>+'KY_Res by Plant Acct P16(REG)'!J382</f>
        <v>0</v>
      </c>
      <c r="K383" s="13"/>
      <c r="L383" s="14">
        <f>+'KY_Res by Plant Acct P16(REG)'!L382</f>
        <v>0</v>
      </c>
      <c r="M383" s="13"/>
      <c r="N383" s="14">
        <f>+'KY_Res by Plant Acct P16(REG)'!N382</f>
        <v>0</v>
      </c>
      <c r="O383" s="13"/>
      <c r="P383" s="14">
        <f>+'KY_Res by Plant Acct P16(REG)'!P382</f>
        <v>0</v>
      </c>
      <c r="Q383" s="13"/>
      <c r="R383" s="14">
        <f t="shared" si="17"/>
        <v>-11572564.580000002</v>
      </c>
    </row>
    <row r="384" spans="1:18" outlineLevel="1" x14ac:dyDescent="0.2">
      <c r="A384" s="3" t="s">
        <v>4411</v>
      </c>
      <c r="B384" s="14">
        <f>+'KY_Res by Plant Acct P16(REG)'!B383</f>
        <v>-222383.37</v>
      </c>
      <c r="C384" s="13"/>
      <c r="D384" s="14">
        <f>+'KY_Res by Plant Acct P16(REG)'!D383</f>
        <v>-44325.9</v>
      </c>
      <c r="E384" s="13"/>
      <c r="F384" s="14">
        <f>+'KY_Res by Plant Acct P16(REG)'!F383</f>
        <v>0</v>
      </c>
      <c r="G384" s="13"/>
      <c r="H384" s="14">
        <f>+'KY_Res by Plant Acct P16(REG)'!H383</f>
        <v>0</v>
      </c>
      <c r="I384" s="13"/>
      <c r="J384" s="14">
        <f>+'KY_Res by Plant Acct P16(REG)'!J383</f>
        <v>0</v>
      </c>
      <c r="K384" s="13"/>
      <c r="L384" s="14">
        <f>+'KY_Res by Plant Acct P16(REG)'!L383</f>
        <v>0</v>
      </c>
      <c r="M384" s="13"/>
      <c r="N384" s="14">
        <f>+'KY_Res by Plant Acct P16(REG)'!N383</f>
        <v>0</v>
      </c>
      <c r="O384" s="13"/>
      <c r="P384" s="14">
        <f>+'KY_Res by Plant Acct P16(REG)'!P383</f>
        <v>0</v>
      </c>
      <c r="Q384" s="13"/>
      <c r="R384" s="14">
        <f t="shared" si="17"/>
        <v>-266709.27</v>
      </c>
    </row>
    <row r="385" spans="1:18" outlineLevel="1" x14ac:dyDescent="0.2">
      <c r="A385" s="3" t="s">
        <v>4412</v>
      </c>
      <c r="B385" s="14">
        <f>+'KY_Res by Plant Acct P16(REG)'!B384</f>
        <v>0</v>
      </c>
      <c r="C385" s="13"/>
      <c r="D385" s="14">
        <f>+'KY_Res by Plant Acct P16(REG)'!D384</f>
        <v>0</v>
      </c>
      <c r="E385" s="13"/>
      <c r="F385" s="14">
        <f>+'KY_Res by Plant Acct P16(REG)'!F384</f>
        <v>0</v>
      </c>
      <c r="G385" s="13"/>
      <c r="H385" s="14">
        <f>+'KY_Res by Plant Acct P16(REG)'!H384</f>
        <v>0</v>
      </c>
      <c r="I385" s="13"/>
      <c r="J385" s="14">
        <f>+'KY_Res by Plant Acct P16(REG)'!J384</f>
        <v>0</v>
      </c>
      <c r="K385" s="13"/>
      <c r="L385" s="14">
        <f>+'KY_Res by Plant Acct P16(REG)'!L384</f>
        <v>0</v>
      </c>
      <c r="M385" s="13"/>
      <c r="N385" s="14">
        <f>+'KY_Res by Plant Acct P16(REG)'!N384</f>
        <v>0</v>
      </c>
      <c r="O385" s="13"/>
      <c r="P385" s="14">
        <f>+'KY_Res by Plant Acct P16(REG)'!P384</f>
        <v>0</v>
      </c>
      <c r="Q385" s="13"/>
      <c r="R385" s="14">
        <f t="shared" si="17"/>
        <v>0</v>
      </c>
    </row>
    <row r="386" spans="1:18" outlineLevel="1" x14ac:dyDescent="0.2">
      <c r="A386" s="43" t="s">
        <v>4198</v>
      </c>
      <c r="B386" s="14">
        <f>+'KY_Res by Plant Acct P16(REG)'!B385</f>
        <v>-78823.01999999999</v>
      </c>
      <c r="C386" s="13"/>
      <c r="D386" s="14">
        <f>+'KY_Res by Plant Acct P16(REG)'!D385</f>
        <v>-34752.239999999998</v>
      </c>
      <c r="E386" s="13"/>
      <c r="F386" s="14">
        <f>+'KY_Res by Plant Acct P16(REG)'!F385</f>
        <v>0</v>
      </c>
      <c r="G386" s="13"/>
      <c r="H386" s="14">
        <f>+'KY_Res by Plant Acct P16(REG)'!H385</f>
        <v>0</v>
      </c>
      <c r="I386" s="13"/>
      <c r="J386" s="14">
        <f>+'KY_Res by Plant Acct P16(REG)'!J385</f>
        <v>0</v>
      </c>
      <c r="K386" s="13"/>
      <c r="L386" s="14">
        <f>+'KY_Res by Plant Acct P16(REG)'!L385</f>
        <v>0</v>
      </c>
      <c r="M386" s="13"/>
      <c r="N386" s="14">
        <f>+'KY_Res by Plant Acct P16(REG)'!N385</f>
        <v>0</v>
      </c>
      <c r="O386" s="13"/>
      <c r="P386" s="14">
        <f>+'KY_Res by Plant Acct P16(REG)'!P385</f>
        <v>0</v>
      </c>
      <c r="Q386" s="13"/>
      <c r="R386" s="14">
        <f>SUM(B386:P386)</f>
        <v>-113575.25999999998</v>
      </c>
    </row>
    <row r="387" spans="1:18" outlineLevel="1" x14ac:dyDescent="0.2">
      <c r="A387" s="3" t="s">
        <v>4413</v>
      </c>
      <c r="B387" s="14">
        <f>+'KY_Res by Plant Acct P16(REG)'!B386</f>
        <v>-24754868.030000001</v>
      </c>
      <c r="C387" s="13"/>
      <c r="D387" s="14">
        <f>+'KY_Res by Plant Acct P16(REG)'!D386</f>
        <v>-425077.44</v>
      </c>
      <c r="E387" s="13"/>
      <c r="F387" s="14">
        <f>+'KY_Res by Plant Acct P16(REG)'!F386</f>
        <v>0</v>
      </c>
      <c r="G387" s="13"/>
      <c r="H387" s="14">
        <f>+'KY_Res by Plant Acct P16(REG)'!H386</f>
        <v>0</v>
      </c>
      <c r="I387" s="13"/>
      <c r="J387" s="14">
        <f>+'KY_Res by Plant Acct P16(REG)'!J386</f>
        <v>0</v>
      </c>
      <c r="K387" s="13"/>
      <c r="L387" s="14">
        <f>+'KY_Res by Plant Acct P16(REG)'!L386</f>
        <v>0</v>
      </c>
      <c r="M387" s="13"/>
      <c r="N387" s="14">
        <f>+'KY_Res by Plant Acct P16(REG)'!N386</f>
        <v>0</v>
      </c>
      <c r="O387" s="13"/>
      <c r="P387" s="14">
        <f>+'KY_Res by Plant Acct P16(REG)'!P386</f>
        <v>0</v>
      </c>
      <c r="Q387" s="13"/>
      <c r="R387" s="14">
        <f>SUM(B387:P387)</f>
        <v>-25179945.470000003</v>
      </c>
    </row>
    <row r="388" spans="1:18" outlineLevel="1" x14ac:dyDescent="0.2">
      <c r="A388" s="43" t="s">
        <v>4200</v>
      </c>
      <c r="B388" s="14">
        <f>+'KY_Res by Plant Acct P16(REG)'!B387</f>
        <v>-1431.0900000000001</v>
      </c>
      <c r="C388" s="14">
        <f>'KY_Res by Plant Acct P16(REG)'!C386</f>
        <v>0</v>
      </c>
      <c r="D388" s="14">
        <f>+'KY_Res by Plant Acct P16(REG)'!D387</f>
        <v>-71525.429999999993</v>
      </c>
      <c r="E388" s="13"/>
      <c r="F388" s="14">
        <f>+'KY_Res by Plant Acct P16(REG)'!F387</f>
        <v>31821.919999999998</v>
      </c>
      <c r="G388" s="13"/>
      <c r="H388" s="14">
        <f>+'KY_Res by Plant Acct P16(REG)'!H387</f>
        <v>0</v>
      </c>
      <c r="I388" s="13"/>
      <c r="J388" s="14">
        <f>+'KY_Res by Plant Acct P16(REG)'!J387</f>
        <v>0</v>
      </c>
      <c r="K388" s="13"/>
      <c r="L388" s="14">
        <f>+'KY_Res by Plant Acct P16(REG)'!L387</f>
        <v>2194.58</v>
      </c>
      <c r="M388" s="13"/>
      <c r="N388" s="14">
        <f>+'KY_Res by Plant Acct P16(REG)'!N387</f>
        <v>0</v>
      </c>
      <c r="O388" s="13"/>
      <c r="P388" s="14">
        <f>+'KY_Res by Plant Acct P16(REG)'!P387</f>
        <v>0</v>
      </c>
      <c r="Q388" s="13"/>
      <c r="R388" s="14">
        <f>SUM(B388:P388)</f>
        <v>-38940.01999999999</v>
      </c>
    </row>
    <row r="389" spans="1:18" outlineLevel="1" x14ac:dyDescent="0.2">
      <c r="A389" s="76" t="s">
        <v>4201</v>
      </c>
      <c r="B389" s="14">
        <f>+'KY_Res by Plant Acct P16(REG)'!B388</f>
        <v>-83488.73000000001</v>
      </c>
      <c r="C389" s="14">
        <f>'KY_Res by Plant Acct P16(REG)'!C387</f>
        <v>0</v>
      </c>
      <c r="D389" s="14">
        <f>+'KY_Res by Plant Acct P16(REG)'!D388</f>
        <v>-44922.9</v>
      </c>
      <c r="E389" s="13"/>
      <c r="F389" s="14">
        <f>+'KY_Res by Plant Acct P16(REG)'!F388</f>
        <v>0</v>
      </c>
      <c r="G389" s="13"/>
      <c r="H389" s="14">
        <f>+'KY_Res by Plant Acct P16(REG)'!H388</f>
        <v>0</v>
      </c>
      <c r="I389" s="13"/>
      <c r="J389" s="14">
        <f>+'KY_Res by Plant Acct P16(REG)'!J388</f>
        <v>0</v>
      </c>
      <c r="K389" s="13"/>
      <c r="L389" s="14">
        <f>+'KY_Res by Plant Acct P16(REG)'!L388</f>
        <v>0</v>
      </c>
      <c r="M389" s="13"/>
      <c r="N389" s="14">
        <f>+'KY_Res by Plant Acct P16(REG)'!N388</f>
        <v>0</v>
      </c>
      <c r="O389" s="13"/>
      <c r="P389" s="14">
        <f>+'KY_Res by Plant Acct P16(REG)'!P388</f>
        <v>0</v>
      </c>
      <c r="Q389" s="13"/>
      <c r="R389" s="14">
        <f>SUM(B389:P389)</f>
        <v>-128411.63</v>
      </c>
    </row>
    <row r="390" spans="1:18" outlineLevel="1" x14ac:dyDescent="0.2">
      <c r="A390" s="3" t="s">
        <v>4414</v>
      </c>
      <c r="B390" s="14">
        <f>+'KY_Res by Plant Acct P16(REG)'!B389</f>
        <v>-18298951.539999995</v>
      </c>
      <c r="C390" s="13"/>
      <c r="D390" s="14">
        <f>+'KY_Res by Plant Acct P16(REG)'!D389</f>
        <v>-410056.07</v>
      </c>
      <c r="E390" s="13"/>
      <c r="F390" s="14">
        <f>+'KY_Res by Plant Acct P16(REG)'!F389</f>
        <v>54797.61</v>
      </c>
      <c r="G390" s="13"/>
      <c r="H390" s="14">
        <f>+'KY_Res by Plant Acct P16(REG)'!H389</f>
        <v>0</v>
      </c>
      <c r="I390" s="13"/>
      <c r="J390" s="14">
        <f>+'KY_Res by Plant Acct P16(REG)'!J389</f>
        <v>0</v>
      </c>
      <c r="K390" s="13"/>
      <c r="L390" s="14">
        <f>+'KY_Res by Plant Acct P16(REG)'!L389</f>
        <v>5248.59</v>
      </c>
      <c r="M390" s="13"/>
      <c r="N390" s="14">
        <f>+'KY_Res by Plant Acct P16(REG)'!N389</f>
        <v>0</v>
      </c>
      <c r="O390" s="13"/>
      <c r="P390" s="14">
        <f>+'KY_Res by Plant Acct P16(REG)'!P389</f>
        <v>0</v>
      </c>
      <c r="Q390" s="13"/>
      <c r="R390" s="14">
        <f t="shared" si="17"/>
        <v>-18648961.409999996</v>
      </c>
    </row>
    <row r="391" spans="1:18" outlineLevel="1" x14ac:dyDescent="0.2">
      <c r="A391" s="3" t="s">
        <v>4415</v>
      </c>
      <c r="B391" s="14">
        <f>+'KY_Res by Plant Acct P16(REG)'!B390</f>
        <v>-3988744.95</v>
      </c>
      <c r="C391" s="13"/>
      <c r="D391" s="14">
        <f>+'KY_Res by Plant Acct P16(REG)'!D390</f>
        <v>-444349.74</v>
      </c>
      <c r="E391" s="13"/>
      <c r="F391" s="14">
        <f>+'KY_Res by Plant Acct P16(REG)'!F390</f>
        <v>0</v>
      </c>
      <c r="G391" s="13"/>
      <c r="H391" s="14">
        <f>+'KY_Res by Plant Acct P16(REG)'!H390</f>
        <v>0</v>
      </c>
      <c r="I391" s="13"/>
      <c r="J391" s="14">
        <f>+'KY_Res by Plant Acct P16(REG)'!J390</f>
        <v>0</v>
      </c>
      <c r="K391" s="13"/>
      <c r="L391" s="14">
        <f>+'KY_Res by Plant Acct P16(REG)'!L390</f>
        <v>0</v>
      </c>
      <c r="M391" s="13"/>
      <c r="N391" s="14">
        <f>+'KY_Res by Plant Acct P16(REG)'!N390</f>
        <v>0</v>
      </c>
      <c r="O391" s="13"/>
      <c r="P391" s="14">
        <f>+'KY_Res by Plant Acct P16(REG)'!P390</f>
        <v>0</v>
      </c>
      <c r="Q391" s="13"/>
      <c r="R391" s="14">
        <f t="shared" si="17"/>
        <v>-4433094.6900000004</v>
      </c>
    </row>
    <row r="392" spans="1:18" outlineLevel="1" x14ac:dyDescent="0.2">
      <c r="A392" s="3" t="s">
        <v>4204</v>
      </c>
      <c r="B392" s="14">
        <f>+'KY_Res by Plant Acct P16(REG)'!B391</f>
        <v>0</v>
      </c>
      <c r="C392" s="13"/>
      <c r="D392" s="14">
        <f>+'KY_Res by Plant Acct P16(REG)'!D391</f>
        <v>0</v>
      </c>
      <c r="E392" s="13"/>
      <c r="F392" s="14">
        <f>+'KY_Res by Plant Acct P16(REG)'!F391</f>
        <v>0</v>
      </c>
      <c r="G392" s="13"/>
      <c r="H392" s="14">
        <f>+'KY_Res by Plant Acct P16(REG)'!H391</f>
        <v>0</v>
      </c>
      <c r="I392" s="13"/>
      <c r="J392" s="14">
        <f>+'KY_Res by Plant Acct P16(REG)'!J391</f>
        <v>0</v>
      </c>
      <c r="K392" s="13"/>
      <c r="L392" s="14">
        <f>+'KY_Res by Plant Acct P16(REG)'!L391</f>
        <v>0</v>
      </c>
      <c r="M392" s="13"/>
      <c r="N392" s="14">
        <f>+'KY_Res by Plant Acct P16(REG)'!N391</f>
        <v>0</v>
      </c>
      <c r="O392" s="13"/>
      <c r="P392" s="14">
        <f>+'KY_Res by Plant Acct P16(REG)'!P391</f>
        <v>0</v>
      </c>
      <c r="Q392" s="13"/>
      <c r="R392" s="14">
        <f t="shared" si="17"/>
        <v>0</v>
      </c>
    </row>
    <row r="393" spans="1:18" outlineLevel="1" x14ac:dyDescent="0.2">
      <c r="A393" s="3" t="s">
        <v>4205</v>
      </c>
      <c r="B393" s="14">
        <f>+'KY_Res by Plant Acct P16(REG)'!B392</f>
        <v>-2901693.2800000003</v>
      </c>
      <c r="C393" s="13"/>
      <c r="D393" s="14">
        <f>+'KY_Res by Plant Acct P16(REG)'!D392</f>
        <v>-578655.18000000005</v>
      </c>
      <c r="E393" s="13"/>
      <c r="F393" s="14">
        <f>+'KY_Res by Plant Acct P16(REG)'!F392</f>
        <v>0</v>
      </c>
      <c r="G393" s="13"/>
      <c r="H393" s="14">
        <f>+'KY_Res by Plant Acct P16(REG)'!H392</f>
        <v>0</v>
      </c>
      <c r="I393" s="13"/>
      <c r="J393" s="14">
        <f>+'KY_Res by Plant Acct P16(REG)'!J392</f>
        <v>0</v>
      </c>
      <c r="K393" s="13"/>
      <c r="L393" s="14">
        <f>+'KY_Res by Plant Acct P16(REG)'!L392</f>
        <v>0</v>
      </c>
      <c r="M393" s="13"/>
      <c r="N393" s="14">
        <f>+'KY_Res by Plant Acct P16(REG)'!N392</f>
        <v>0</v>
      </c>
      <c r="O393" s="13"/>
      <c r="P393" s="14">
        <f>+'KY_Res by Plant Acct P16(REG)'!P392</f>
        <v>0</v>
      </c>
      <c r="Q393" s="13"/>
      <c r="R393" s="14">
        <f t="shared" si="17"/>
        <v>-3480348.4600000004</v>
      </c>
    </row>
    <row r="394" spans="1:18" outlineLevel="1" x14ac:dyDescent="0.2">
      <c r="A394" s="3" t="s">
        <v>4206</v>
      </c>
      <c r="B394" s="14">
        <f>+'KY_Res by Plant Acct P16(REG)'!B393</f>
        <v>0</v>
      </c>
      <c r="C394" s="13"/>
      <c r="D394" s="14">
        <f>+'KY_Res by Plant Acct P16(REG)'!D393</f>
        <v>0</v>
      </c>
      <c r="E394" s="13"/>
      <c r="F394" s="14">
        <f>+'KY_Res by Plant Acct P16(REG)'!F393</f>
        <v>0</v>
      </c>
      <c r="G394" s="13"/>
      <c r="H394" s="14">
        <f>+'KY_Res by Plant Acct P16(REG)'!H393</f>
        <v>0</v>
      </c>
      <c r="I394" s="13"/>
      <c r="J394" s="14">
        <f>+'KY_Res by Plant Acct P16(REG)'!J393</f>
        <v>0</v>
      </c>
      <c r="K394" s="13"/>
      <c r="L394" s="14">
        <f>+'KY_Res by Plant Acct P16(REG)'!L393</f>
        <v>0</v>
      </c>
      <c r="M394" s="13"/>
      <c r="N394" s="14">
        <f>+'KY_Res by Plant Acct P16(REG)'!N393</f>
        <v>0</v>
      </c>
      <c r="O394" s="13"/>
      <c r="P394" s="14">
        <f>+'KY_Res by Plant Acct P16(REG)'!P393</f>
        <v>0</v>
      </c>
      <c r="Q394" s="13"/>
      <c r="R394" s="14">
        <f t="shared" si="17"/>
        <v>0</v>
      </c>
    </row>
    <row r="395" spans="1:18" outlineLevel="1" x14ac:dyDescent="0.2">
      <c r="A395" s="3" t="s">
        <v>4207</v>
      </c>
      <c r="B395" s="14">
        <f>+'KY_Res by Plant Acct P16(REG)'!B394</f>
        <v>0</v>
      </c>
      <c r="C395" s="13"/>
      <c r="D395" s="14">
        <f>+'KY_Res by Plant Acct P16(REG)'!D394</f>
        <v>0</v>
      </c>
      <c r="E395" s="13"/>
      <c r="F395" s="14">
        <f>+'KY_Res by Plant Acct P16(REG)'!F394</f>
        <v>0</v>
      </c>
      <c r="G395" s="13"/>
      <c r="H395" s="14">
        <f>+'KY_Res by Plant Acct P16(REG)'!H394</f>
        <v>0</v>
      </c>
      <c r="I395" s="13"/>
      <c r="J395" s="14">
        <f>+'KY_Res by Plant Acct P16(REG)'!J394</f>
        <v>0</v>
      </c>
      <c r="K395" s="13"/>
      <c r="L395" s="14">
        <f>+'KY_Res by Plant Acct P16(REG)'!L394</f>
        <v>0</v>
      </c>
      <c r="M395" s="13"/>
      <c r="N395" s="14">
        <f>+'KY_Res by Plant Acct P16(REG)'!N394</f>
        <v>0</v>
      </c>
      <c r="O395" s="13"/>
      <c r="P395" s="14">
        <f>+'KY_Res by Plant Acct P16(REG)'!P394</f>
        <v>0</v>
      </c>
      <c r="Q395" s="13"/>
      <c r="R395" s="14">
        <f t="shared" si="17"/>
        <v>0</v>
      </c>
    </row>
    <row r="396" spans="1:18" outlineLevel="1" x14ac:dyDescent="0.2">
      <c r="A396" s="3" t="s">
        <v>4416</v>
      </c>
      <c r="B396" s="14">
        <f>+'KY_Res by Plant Acct P16(REG)'!B395</f>
        <v>-251124.69999999992</v>
      </c>
      <c r="C396" s="13"/>
      <c r="D396" s="14">
        <f>+'KY_Res by Plant Acct P16(REG)'!D395</f>
        <v>-11699.58</v>
      </c>
      <c r="E396" s="13"/>
      <c r="F396" s="14">
        <f>+'KY_Res by Plant Acct P16(REG)'!F395</f>
        <v>0</v>
      </c>
      <c r="G396" s="13"/>
      <c r="H396" s="14">
        <f>+'KY_Res by Plant Acct P16(REG)'!H395</f>
        <v>0</v>
      </c>
      <c r="I396" s="13"/>
      <c r="J396" s="14">
        <f>+'KY_Res by Plant Acct P16(REG)'!J395</f>
        <v>0</v>
      </c>
      <c r="K396" s="13"/>
      <c r="L396" s="14">
        <f>+'KY_Res by Plant Acct P16(REG)'!L395</f>
        <v>0</v>
      </c>
      <c r="M396" s="13"/>
      <c r="N396" s="14">
        <f>+'KY_Res by Plant Acct P16(REG)'!N395</f>
        <v>0</v>
      </c>
      <c r="O396" s="13"/>
      <c r="P396" s="14">
        <f>+'KY_Res by Plant Acct P16(REG)'!P395</f>
        <v>0</v>
      </c>
      <c r="Q396" s="13"/>
      <c r="R396" s="14">
        <f t="shared" si="17"/>
        <v>-262824.27999999991</v>
      </c>
    </row>
    <row r="397" spans="1:18" outlineLevel="1" x14ac:dyDescent="0.2">
      <c r="A397" s="3" t="s">
        <v>4417</v>
      </c>
      <c r="B397" s="14">
        <f>+'KY_Res by Plant Acct P16(REG)'!B396</f>
        <v>-428325.13000000012</v>
      </c>
      <c r="C397" s="13"/>
      <c r="D397" s="14">
        <f>+'KY_Res by Plant Acct P16(REG)'!D396</f>
        <v>-20394.36</v>
      </c>
      <c r="E397" s="13"/>
      <c r="F397" s="14">
        <f>+'KY_Res by Plant Acct P16(REG)'!F396</f>
        <v>0</v>
      </c>
      <c r="G397" s="13"/>
      <c r="H397" s="14">
        <f>+'KY_Res by Plant Acct P16(REG)'!H396</f>
        <v>0</v>
      </c>
      <c r="I397" s="13"/>
      <c r="J397" s="14">
        <f>+'KY_Res by Plant Acct P16(REG)'!J396</f>
        <v>0</v>
      </c>
      <c r="K397" s="13"/>
      <c r="L397" s="14">
        <f>+'KY_Res by Plant Acct P16(REG)'!L396</f>
        <v>0</v>
      </c>
      <c r="M397" s="13"/>
      <c r="N397" s="14">
        <f>+'KY_Res by Plant Acct P16(REG)'!N396</f>
        <v>0</v>
      </c>
      <c r="O397" s="13"/>
      <c r="P397" s="14">
        <f>+'KY_Res by Plant Acct P16(REG)'!P396</f>
        <v>0</v>
      </c>
      <c r="Q397" s="13"/>
      <c r="R397" s="14">
        <f t="shared" si="17"/>
        <v>-448719.49000000011</v>
      </c>
    </row>
    <row r="398" spans="1:18" outlineLevel="1" x14ac:dyDescent="0.2">
      <c r="A398" s="3" t="s">
        <v>4210</v>
      </c>
      <c r="B398" s="14">
        <f>+'KY_Res by Plant Acct P16(REG)'!B397</f>
        <v>0</v>
      </c>
      <c r="C398" s="13"/>
      <c r="D398" s="14">
        <f>+'KY_Res by Plant Acct P16(REG)'!D397</f>
        <v>0</v>
      </c>
      <c r="E398" s="13"/>
      <c r="F398" s="14">
        <f>+'KY_Res by Plant Acct P16(REG)'!F397</f>
        <v>0</v>
      </c>
      <c r="G398" s="13"/>
      <c r="H398" s="14">
        <f>+'KY_Res by Plant Acct P16(REG)'!H397</f>
        <v>0</v>
      </c>
      <c r="I398" s="13"/>
      <c r="J398" s="14">
        <f>+'KY_Res by Plant Acct P16(REG)'!J397</f>
        <v>0</v>
      </c>
      <c r="K398" s="13"/>
      <c r="L398" s="14">
        <f>+'KY_Res by Plant Acct P16(REG)'!L397</f>
        <v>0</v>
      </c>
      <c r="M398" s="13"/>
      <c r="N398" s="14">
        <f>+'KY_Res by Plant Acct P16(REG)'!N397</f>
        <v>0</v>
      </c>
      <c r="O398" s="13"/>
      <c r="P398" s="14">
        <f>+'KY_Res by Plant Acct P16(REG)'!P397</f>
        <v>0</v>
      </c>
      <c r="Q398" s="13"/>
      <c r="R398" s="14">
        <f t="shared" si="17"/>
        <v>0</v>
      </c>
    </row>
    <row r="399" spans="1:18" outlineLevel="1" x14ac:dyDescent="0.2">
      <c r="A399" s="3" t="s">
        <v>4418</v>
      </c>
      <c r="B399" s="14">
        <f>+'KY_Res by Plant Acct P16(REG)'!B398</f>
        <v>0</v>
      </c>
      <c r="C399" s="13"/>
      <c r="D399" s="14">
        <f>+'KY_Res by Plant Acct P16(REG)'!D398</f>
        <v>0</v>
      </c>
      <c r="E399" s="13"/>
      <c r="F399" s="14">
        <f>+'KY_Res by Plant Acct P16(REG)'!F398</f>
        <v>0</v>
      </c>
      <c r="G399" s="13"/>
      <c r="H399" s="14">
        <f>+'KY_Res by Plant Acct P16(REG)'!H398</f>
        <v>0</v>
      </c>
      <c r="I399" s="13"/>
      <c r="J399" s="14">
        <f>+'KY_Res by Plant Acct P16(REG)'!J398</f>
        <v>0</v>
      </c>
      <c r="K399" s="13"/>
      <c r="L399" s="14">
        <f>+'KY_Res by Plant Acct P16(REG)'!L398</f>
        <v>0</v>
      </c>
      <c r="M399" s="13"/>
      <c r="N399" s="14">
        <f>+'KY_Res by Plant Acct P16(REG)'!N398</f>
        <v>0</v>
      </c>
      <c r="O399" s="13"/>
      <c r="P399" s="14">
        <f>+'KY_Res by Plant Acct P16(REG)'!P398</f>
        <v>0</v>
      </c>
      <c r="Q399" s="13"/>
      <c r="R399" s="14">
        <f t="shared" si="17"/>
        <v>0</v>
      </c>
    </row>
    <row r="400" spans="1:18" outlineLevel="1" x14ac:dyDescent="0.2">
      <c r="A400" s="3" t="s">
        <v>4419</v>
      </c>
      <c r="B400" s="14">
        <f>+'KY_Res by Plant Acct P16(REG)'!B399</f>
        <v>-8941298.4600000009</v>
      </c>
      <c r="C400" s="13"/>
      <c r="D400" s="14">
        <f>+'KY_Res by Plant Acct P16(REG)'!D399</f>
        <v>-913965.19</v>
      </c>
      <c r="E400" s="13"/>
      <c r="F400" s="14">
        <f>+'KY_Res by Plant Acct P16(REG)'!F399</f>
        <v>0</v>
      </c>
      <c r="G400" s="13"/>
      <c r="H400" s="14">
        <f>+'KY_Res by Plant Acct P16(REG)'!H399</f>
        <v>0</v>
      </c>
      <c r="I400" s="13"/>
      <c r="J400" s="14">
        <f>+'KY_Res by Plant Acct P16(REG)'!J399</f>
        <v>0</v>
      </c>
      <c r="K400" s="13"/>
      <c r="L400" s="14">
        <f>+'KY_Res by Plant Acct P16(REG)'!L399</f>
        <v>0</v>
      </c>
      <c r="M400" s="13"/>
      <c r="N400" s="14">
        <f>+'KY_Res by Plant Acct P16(REG)'!N399</f>
        <v>0</v>
      </c>
      <c r="O400" s="13"/>
      <c r="P400" s="14">
        <f>+'KY_Res by Plant Acct P16(REG)'!P399</f>
        <v>0</v>
      </c>
      <c r="Q400" s="13"/>
      <c r="R400" s="14">
        <f>SUM(B400:P400)</f>
        <v>-9855263.6500000004</v>
      </c>
    </row>
    <row r="401" spans="1:18" outlineLevel="1" x14ac:dyDescent="0.2">
      <c r="A401" s="3" t="s">
        <v>4213</v>
      </c>
      <c r="B401" s="14">
        <f>+'KY_Res by Plant Acct P16(REG)'!B400</f>
        <v>0</v>
      </c>
      <c r="C401" s="13"/>
      <c r="D401" s="14">
        <f>+'KY_Res by Plant Acct P16(REG)'!D400</f>
        <v>0</v>
      </c>
      <c r="E401" s="13"/>
      <c r="F401" s="14">
        <f>+'KY_Res by Plant Acct P16(REG)'!F400</f>
        <v>0</v>
      </c>
      <c r="G401" s="13"/>
      <c r="H401" s="14">
        <f>+'KY_Res by Plant Acct P16(REG)'!H400</f>
        <v>0</v>
      </c>
      <c r="I401" s="13"/>
      <c r="J401" s="14">
        <f>+'KY_Res by Plant Acct P16(REG)'!J400</f>
        <v>0</v>
      </c>
      <c r="K401" s="13"/>
      <c r="L401" s="14">
        <f>+'KY_Res by Plant Acct P16(REG)'!L400</f>
        <v>0</v>
      </c>
      <c r="M401" s="13"/>
      <c r="N401" s="14">
        <f>+'KY_Res by Plant Acct P16(REG)'!N400</f>
        <v>0</v>
      </c>
      <c r="O401" s="13"/>
      <c r="P401" s="14">
        <f>+'KY_Res by Plant Acct P16(REG)'!P400</f>
        <v>0</v>
      </c>
      <c r="Q401" s="13"/>
      <c r="R401" s="14">
        <f>SUM(B401:P401)</f>
        <v>0</v>
      </c>
    </row>
    <row r="402" spans="1:18" outlineLevel="1" x14ac:dyDescent="0.2">
      <c r="A402" s="3" t="s">
        <v>4214</v>
      </c>
      <c r="B402" s="14">
        <f>+'KY_Res by Plant Acct P16(REG)'!B401</f>
        <v>-44740.08</v>
      </c>
      <c r="C402" s="13"/>
      <c r="D402" s="14">
        <f>+'KY_Res by Plant Acct P16(REG)'!D401</f>
        <v>-25984.2</v>
      </c>
      <c r="E402" s="13"/>
      <c r="F402" s="14">
        <f>+'KY_Res by Plant Acct P16(REG)'!F401</f>
        <v>0</v>
      </c>
      <c r="G402" s="13"/>
      <c r="H402" s="14">
        <f>+'KY_Res by Plant Acct P16(REG)'!H401</f>
        <v>0</v>
      </c>
      <c r="I402" s="13"/>
      <c r="J402" s="14">
        <f>+'KY_Res by Plant Acct P16(REG)'!J401</f>
        <v>0</v>
      </c>
      <c r="K402" s="13"/>
      <c r="L402" s="14">
        <f>+'KY_Res by Plant Acct P16(REG)'!L401</f>
        <v>0</v>
      </c>
      <c r="M402" s="13"/>
      <c r="N402" s="14">
        <f>+'KY_Res by Plant Acct P16(REG)'!N401</f>
        <v>0</v>
      </c>
      <c r="O402" s="13"/>
      <c r="P402" s="14">
        <f>+'KY_Res by Plant Acct P16(REG)'!P401</f>
        <v>0</v>
      </c>
      <c r="Q402" s="13"/>
      <c r="R402" s="14">
        <f>SUM(B402:P402)</f>
        <v>-70724.28</v>
      </c>
    </row>
    <row r="403" spans="1:18" outlineLevel="1" x14ac:dyDescent="0.2">
      <c r="A403" s="43" t="s">
        <v>4420</v>
      </c>
      <c r="B403" s="14">
        <f>+'KY_Res by Plant Acct P16(REG)'!B402</f>
        <v>-771825.53999999992</v>
      </c>
      <c r="C403" s="13"/>
      <c r="D403" s="14">
        <f>+'KY_Res by Plant Acct P16(REG)'!D402</f>
        <v>-22152.12</v>
      </c>
      <c r="E403" s="13"/>
      <c r="F403" s="14">
        <f>+'KY_Res by Plant Acct P16(REG)'!F402</f>
        <v>0</v>
      </c>
      <c r="G403" s="13"/>
      <c r="H403" s="14">
        <f>+'KY_Res by Plant Acct P16(REG)'!H402</f>
        <v>0</v>
      </c>
      <c r="I403" s="13"/>
      <c r="J403" s="14">
        <f>+'KY_Res by Plant Acct P16(REG)'!J402</f>
        <v>0</v>
      </c>
      <c r="K403" s="13"/>
      <c r="L403" s="14">
        <f>+'KY_Res by Plant Acct P16(REG)'!L402</f>
        <v>0</v>
      </c>
      <c r="M403" s="13"/>
      <c r="N403" s="14">
        <f>+'KY_Res by Plant Acct P16(REG)'!N402</f>
        <v>0</v>
      </c>
      <c r="O403" s="13"/>
      <c r="P403" s="14">
        <f>+'KY_Res by Plant Acct P16(REG)'!P402</f>
        <v>0</v>
      </c>
      <c r="Q403" s="13"/>
      <c r="R403" s="14">
        <f>SUM(B403:P403)</f>
        <v>-793977.65999999992</v>
      </c>
    </row>
    <row r="404" spans="1:18" outlineLevel="1" x14ac:dyDescent="0.2">
      <c r="A404" s="3" t="s">
        <v>4216</v>
      </c>
      <c r="B404" s="14">
        <f>+'KY_Res by Plant Acct P16(REG)'!B403</f>
        <v>-16664.670000000002</v>
      </c>
      <c r="C404" s="13"/>
      <c r="D404" s="14">
        <f>+'KY_Res by Plant Acct P16(REG)'!D403</f>
        <v>0</v>
      </c>
      <c r="E404" s="13"/>
      <c r="F404" s="14">
        <f>+'KY_Res by Plant Acct P16(REG)'!F403</f>
        <v>0</v>
      </c>
      <c r="G404" s="13"/>
      <c r="H404" s="14">
        <f>+'KY_Res by Plant Acct P16(REG)'!H403</f>
        <v>0</v>
      </c>
      <c r="I404" s="13"/>
      <c r="J404" s="14">
        <f>+'KY_Res by Plant Acct P16(REG)'!J403</f>
        <v>0</v>
      </c>
      <c r="K404" s="13"/>
      <c r="L404" s="14">
        <f>+'KY_Res by Plant Acct P16(REG)'!L403</f>
        <v>0</v>
      </c>
      <c r="M404" s="13"/>
      <c r="N404" s="14">
        <f>+'KY_Res by Plant Acct P16(REG)'!N403</f>
        <v>0</v>
      </c>
      <c r="O404" s="13"/>
      <c r="P404" s="14">
        <f>+'KY_Res by Plant Acct P16(REG)'!P403</f>
        <v>0</v>
      </c>
      <c r="Q404" s="13"/>
      <c r="R404" s="14">
        <f t="shared" si="17"/>
        <v>-16664.670000000002</v>
      </c>
    </row>
    <row r="405" spans="1:18" outlineLevel="1" x14ac:dyDescent="0.2">
      <c r="A405" s="3" t="s">
        <v>4421</v>
      </c>
      <c r="B405" s="14">
        <f>+'KY_Res by Plant Acct P16(REG)'!B404</f>
        <v>-95323.099999999962</v>
      </c>
      <c r="C405" s="13"/>
      <c r="D405" s="14">
        <f>+'KY_Res by Plant Acct P16(REG)'!D404</f>
        <v>-1588.02</v>
      </c>
      <c r="E405" s="13"/>
      <c r="F405" s="14">
        <f>+'KY_Res by Plant Acct P16(REG)'!F404</f>
        <v>411.31</v>
      </c>
      <c r="G405" s="13"/>
      <c r="H405" s="14">
        <f>+'KY_Res by Plant Acct P16(REG)'!H404</f>
        <v>0</v>
      </c>
      <c r="I405" s="13"/>
      <c r="J405" s="14">
        <f>+'KY_Res by Plant Acct P16(REG)'!J404</f>
        <v>0</v>
      </c>
      <c r="K405" s="13"/>
      <c r="L405" s="14">
        <f>+'KY_Res by Plant Acct P16(REG)'!L404</f>
        <v>3310.81</v>
      </c>
      <c r="M405" s="13"/>
      <c r="N405" s="14">
        <f>+'KY_Res by Plant Acct P16(REG)'!N404</f>
        <v>-19968.599999999999</v>
      </c>
      <c r="O405" s="13"/>
      <c r="P405" s="14">
        <f>+'KY_Res by Plant Acct P16(REG)'!P404</f>
        <v>0</v>
      </c>
      <c r="Q405" s="13"/>
      <c r="R405" s="14">
        <f t="shared" si="17"/>
        <v>-113157.59999999998</v>
      </c>
    </row>
    <row r="406" spans="1:18" x14ac:dyDescent="0.2">
      <c r="A406" s="3" t="s">
        <v>4218</v>
      </c>
      <c r="B406" s="14">
        <f>SUM(B370:B405)</f>
        <v>-104624959.48999999</v>
      </c>
      <c r="C406" s="13"/>
      <c r="D406" s="14">
        <f>SUM(D370:D405)</f>
        <v>-5364550.2100000009</v>
      </c>
      <c r="E406" s="13"/>
      <c r="F406" s="14">
        <f>SUM(F370:F405)</f>
        <v>115476.19</v>
      </c>
      <c r="G406" s="13"/>
      <c r="H406" s="14">
        <f>SUM(H370:H405)</f>
        <v>0</v>
      </c>
      <c r="I406" s="13"/>
      <c r="J406" s="14">
        <f>SUM(J370:J405)</f>
        <v>0</v>
      </c>
      <c r="K406" s="13"/>
      <c r="L406" s="14">
        <f>SUM(L370:L405)</f>
        <v>18968.939999999999</v>
      </c>
      <c r="M406" s="13"/>
      <c r="N406" s="14">
        <f>SUM(N370:N405)</f>
        <v>-19968.599999999999</v>
      </c>
      <c r="O406" s="13"/>
      <c r="P406" s="14">
        <f>SUM(P370:P405)</f>
        <v>0</v>
      </c>
      <c r="Q406" s="13"/>
      <c r="R406" s="14">
        <f>SUM(R370:R405)</f>
        <v>-109875033.16999999</v>
      </c>
    </row>
    <row r="407" spans="1:18" outlineLevel="1" x14ac:dyDescent="0.2">
      <c r="A407" s="3" t="s">
        <v>4422</v>
      </c>
      <c r="B407" s="14">
        <f>+'KY_Res by Plant Acct P16(REG)'!B406</f>
        <v>0</v>
      </c>
      <c r="C407" s="13"/>
      <c r="D407" s="14">
        <f>+'KY_Res by Plant Acct P16(REG)'!D406</f>
        <v>0</v>
      </c>
      <c r="E407" s="13"/>
      <c r="F407" s="14">
        <f>+'KY_Res by Plant Acct P16(REG)'!F406</f>
        <v>0</v>
      </c>
      <c r="G407" s="13"/>
      <c r="H407" s="14">
        <f>+'KY_Res by Plant Acct P16(REG)'!H406</f>
        <v>0</v>
      </c>
      <c r="I407" s="13"/>
      <c r="J407" s="14">
        <f>+'KY_Res by Plant Acct P16(REG)'!J406</f>
        <v>0</v>
      </c>
      <c r="K407" s="13"/>
      <c r="L407" s="14">
        <f>+'KY_Res by Plant Acct P16(REG)'!L406</f>
        <v>0</v>
      </c>
      <c r="M407" s="13"/>
      <c r="N407" s="14">
        <f>+'KY_Res by Plant Acct P16(REG)'!N406</f>
        <v>0</v>
      </c>
      <c r="O407" s="13"/>
      <c r="P407" s="14">
        <f>+'KY_Res by Plant Acct P16(REG)'!P406</f>
        <v>0</v>
      </c>
      <c r="Q407" s="13"/>
      <c r="R407" s="14">
        <f t="shared" ref="R407:R415" si="18">SUM(B407:P407)</f>
        <v>0</v>
      </c>
    </row>
    <row r="408" spans="1:18" outlineLevel="1" x14ac:dyDescent="0.2">
      <c r="A408" s="3" t="s">
        <v>4423</v>
      </c>
      <c r="B408" s="14">
        <f>+'KY_Res by Plant Acct P16(REG)'!B407</f>
        <v>0</v>
      </c>
      <c r="C408" s="13"/>
      <c r="D408" s="14">
        <f>+'KY_Res by Plant Acct P16(REG)'!D407</f>
        <v>0</v>
      </c>
      <c r="E408" s="13"/>
      <c r="F408" s="14">
        <f>+'KY_Res by Plant Acct P16(REG)'!F407</f>
        <v>0</v>
      </c>
      <c r="G408" s="13"/>
      <c r="H408" s="14">
        <f>+'KY_Res by Plant Acct P16(REG)'!H407</f>
        <v>0</v>
      </c>
      <c r="I408" s="13"/>
      <c r="J408" s="14">
        <f>+'KY_Res by Plant Acct P16(REG)'!J407</f>
        <v>0</v>
      </c>
      <c r="K408" s="13"/>
      <c r="L408" s="14">
        <f>+'KY_Res by Plant Acct P16(REG)'!L407</f>
        <v>0</v>
      </c>
      <c r="M408" s="13"/>
      <c r="N408" s="14">
        <f>+'KY_Res by Plant Acct P16(REG)'!N407</f>
        <v>0</v>
      </c>
      <c r="O408" s="13"/>
      <c r="P408" s="14">
        <f>+'KY_Res by Plant Acct P16(REG)'!P407</f>
        <v>0</v>
      </c>
      <c r="Q408" s="13"/>
      <c r="R408" s="14">
        <f t="shared" si="18"/>
        <v>0</v>
      </c>
    </row>
    <row r="409" spans="1:18" outlineLevel="1" x14ac:dyDescent="0.2">
      <c r="A409" s="3" t="s">
        <v>4424</v>
      </c>
      <c r="B409" s="14">
        <f>+'KY_Res by Plant Acct P16(REG)'!B408</f>
        <v>0</v>
      </c>
      <c r="C409" s="13"/>
      <c r="D409" s="14">
        <f>+'KY_Res by Plant Acct P16(REG)'!D408</f>
        <v>0</v>
      </c>
      <c r="E409" s="13"/>
      <c r="F409" s="14">
        <f>+'KY_Res by Plant Acct P16(REG)'!F408</f>
        <v>0</v>
      </c>
      <c r="G409" s="13"/>
      <c r="H409" s="14">
        <f>+'KY_Res by Plant Acct P16(REG)'!H408</f>
        <v>0</v>
      </c>
      <c r="I409" s="13"/>
      <c r="J409" s="14">
        <f>+'KY_Res by Plant Acct P16(REG)'!J408</f>
        <v>0</v>
      </c>
      <c r="K409" s="13"/>
      <c r="L409" s="14">
        <f>+'KY_Res by Plant Acct P16(REG)'!L408</f>
        <v>0</v>
      </c>
      <c r="M409" s="13"/>
      <c r="N409" s="14">
        <f>+'KY_Res by Plant Acct P16(REG)'!N408</f>
        <v>0</v>
      </c>
      <c r="O409" s="13"/>
      <c r="P409" s="14">
        <f>+'KY_Res by Plant Acct P16(REG)'!P408</f>
        <v>0</v>
      </c>
      <c r="Q409" s="13"/>
      <c r="R409" s="14">
        <f t="shared" si="18"/>
        <v>0</v>
      </c>
    </row>
    <row r="410" spans="1:18" outlineLevel="1" x14ac:dyDescent="0.2">
      <c r="A410" s="3" t="s">
        <v>4425</v>
      </c>
      <c r="B410" s="14">
        <f>+'KY_Res by Plant Acct P16(REG)'!B409</f>
        <v>0</v>
      </c>
      <c r="C410" s="13"/>
      <c r="D410" s="14">
        <f>+'KY_Res by Plant Acct P16(REG)'!D409</f>
        <v>0</v>
      </c>
      <c r="E410" s="13"/>
      <c r="F410" s="14">
        <f>+'KY_Res by Plant Acct P16(REG)'!F409</f>
        <v>0</v>
      </c>
      <c r="G410" s="13"/>
      <c r="H410" s="14">
        <f>+'KY_Res by Plant Acct P16(REG)'!H409</f>
        <v>0</v>
      </c>
      <c r="I410" s="13"/>
      <c r="J410" s="14">
        <f>+'KY_Res by Plant Acct P16(REG)'!J409</f>
        <v>0</v>
      </c>
      <c r="K410" s="13"/>
      <c r="L410" s="14">
        <f>+'KY_Res by Plant Acct P16(REG)'!L409</f>
        <v>0</v>
      </c>
      <c r="M410" s="13"/>
      <c r="N410" s="14">
        <f>+'KY_Res by Plant Acct P16(REG)'!N409</f>
        <v>0</v>
      </c>
      <c r="O410" s="13"/>
      <c r="P410" s="14">
        <f>+'KY_Res by Plant Acct P16(REG)'!P409</f>
        <v>0</v>
      </c>
      <c r="Q410" s="13"/>
      <c r="R410" s="14">
        <f t="shared" si="18"/>
        <v>0</v>
      </c>
    </row>
    <row r="411" spans="1:18" outlineLevel="1" x14ac:dyDescent="0.2">
      <c r="A411" s="3" t="s">
        <v>4426</v>
      </c>
      <c r="B411" s="14">
        <f>+'KY_Res by Plant Acct P16(REG)'!B410</f>
        <v>0</v>
      </c>
      <c r="C411" s="13"/>
      <c r="D411" s="14">
        <f>+'KY_Res by Plant Acct P16(REG)'!D410</f>
        <v>0</v>
      </c>
      <c r="E411" s="13"/>
      <c r="F411" s="14">
        <f>+'KY_Res by Plant Acct P16(REG)'!F410</f>
        <v>0</v>
      </c>
      <c r="G411" s="13"/>
      <c r="H411" s="14">
        <f>+'KY_Res by Plant Acct P16(REG)'!H410</f>
        <v>0</v>
      </c>
      <c r="I411" s="13"/>
      <c r="J411" s="14">
        <f>+'KY_Res by Plant Acct P16(REG)'!J410</f>
        <v>0</v>
      </c>
      <c r="K411" s="13"/>
      <c r="L411" s="14">
        <f>+'KY_Res by Plant Acct P16(REG)'!L410</f>
        <v>0</v>
      </c>
      <c r="M411" s="13"/>
      <c r="N411" s="14">
        <f>+'KY_Res by Plant Acct P16(REG)'!N410</f>
        <v>0</v>
      </c>
      <c r="O411" s="13"/>
      <c r="P411" s="14">
        <f>+'KY_Res by Plant Acct P16(REG)'!P410</f>
        <v>0</v>
      </c>
      <c r="Q411" s="13"/>
      <c r="R411" s="14">
        <f t="shared" si="18"/>
        <v>0</v>
      </c>
    </row>
    <row r="412" spans="1:18" outlineLevel="1" x14ac:dyDescent="0.2">
      <c r="A412" s="3" t="s">
        <v>4427</v>
      </c>
      <c r="B412" s="14">
        <f>+'KY_Res by Plant Acct P16(REG)'!B411</f>
        <v>0</v>
      </c>
      <c r="C412" s="13"/>
      <c r="D412" s="14">
        <f>+'KY_Res by Plant Acct P16(REG)'!D411</f>
        <v>0</v>
      </c>
      <c r="E412" s="13"/>
      <c r="F412" s="14">
        <f>+'KY_Res by Plant Acct P16(REG)'!F411</f>
        <v>0</v>
      </c>
      <c r="G412" s="13"/>
      <c r="H412" s="14">
        <f>+'KY_Res by Plant Acct P16(REG)'!H411</f>
        <v>0</v>
      </c>
      <c r="I412" s="13"/>
      <c r="J412" s="14">
        <f>+'KY_Res by Plant Acct P16(REG)'!J411</f>
        <v>0</v>
      </c>
      <c r="K412" s="13"/>
      <c r="L412" s="14">
        <f>+'KY_Res by Plant Acct P16(REG)'!L411</f>
        <v>0</v>
      </c>
      <c r="M412" s="13"/>
      <c r="N412" s="14">
        <f>+'KY_Res by Plant Acct P16(REG)'!N411</f>
        <v>0</v>
      </c>
      <c r="O412" s="13"/>
      <c r="P412" s="14">
        <f>+'KY_Res by Plant Acct P16(REG)'!P411</f>
        <v>0</v>
      </c>
      <c r="Q412" s="13"/>
      <c r="R412" s="14">
        <f t="shared" si="18"/>
        <v>0</v>
      </c>
    </row>
    <row r="413" spans="1:18" outlineLevel="1" x14ac:dyDescent="0.2">
      <c r="A413" s="3" t="s">
        <v>4428</v>
      </c>
      <c r="B413" s="14">
        <f>+'KY_Res by Plant Acct P16(REG)'!B412</f>
        <v>0</v>
      </c>
      <c r="C413" s="13"/>
      <c r="D413" s="14">
        <f>+'KY_Res by Plant Acct P16(REG)'!D412</f>
        <v>0</v>
      </c>
      <c r="E413" s="13"/>
      <c r="F413" s="14">
        <f>+'KY_Res by Plant Acct P16(REG)'!F412</f>
        <v>0</v>
      </c>
      <c r="G413" s="13"/>
      <c r="H413" s="14">
        <f>+'KY_Res by Plant Acct P16(REG)'!H412</f>
        <v>0</v>
      </c>
      <c r="I413" s="13"/>
      <c r="J413" s="14">
        <f>+'KY_Res by Plant Acct P16(REG)'!J412</f>
        <v>0</v>
      </c>
      <c r="K413" s="13"/>
      <c r="L413" s="14">
        <f>+'KY_Res by Plant Acct P16(REG)'!L412</f>
        <v>0</v>
      </c>
      <c r="M413" s="13"/>
      <c r="N413" s="14">
        <f>+'KY_Res by Plant Acct P16(REG)'!N412</f>
        <v>0</v>
      </c>
      <c r="O413" s="13"/>
      <c r="P413" s="14">
        <f>+'KY_Res by Plant Acct P16(REG)'!P412</f>
        <v>0</v>
      </c>
      <c r="Q413" s="13"/>
      <c r="R413" s="14">
        <f t="shared" si="18"/>
        <v>0</v>
      </c>
    </row>
    <row r="414" spans="1:18" outlineLevel="1" x14ac:dyDescent="0.2">
      <c r="A414" s="3" t="s">
        <v>4429</v>
      </c>
      <c r="B414" s="14">
        <f>+'KY_Res by Plant Acct P16(REG)'!B413</f>
        <v>0</v>
      </c>
      <c r="C414" s="13"/>
      <c r="D414" s="14">
        <f>+'KY_Res by Plant Acct P16(REG)'!D413</f>
        <v>0</v>
      </c>
      <c r="E414" s="13"/>
      <c r="F414" s="14">
        <f>+'KY_Res by Plant Acct P16(REG)'!F413</f>
        <v>0</v>
      </c>
      <c r="G414" s="13"/>
      <c r="H414" s="14">
        <f>+'KY_Res by Plant Acct P16(REG)'!H413</f>
        <v>0</v>
      </c>
      <c r="I414" s="13"/>
      <c r="J414" s="14">
        <f>+'KY_Res by Plant Acct P16(REG)'!J413</f>
        <v>0</v>
      </c>
      <c r="K414" s="13"/>
      <c r="L414" s="14">
        <f>+'KY_Res by Plant Acct P16(REG)'!L413</f>
        <v>0</v>
      </c>
      <c r="M414" s="13"/>
      <c r="N414" s="14">
        <f>+'KY_Res by Plant Acct P16(REG)'!N413</f>
        <v>0</v>
      </c>
      <c r="O414" s="13"/>
      <c r="P414" s="14">
        <f>+'KY_Res by Plant Acct P16(REG)'!P413</f>
        <v>0</v>
      </c>
      <c r="Q414" s="13"/>
      <c r="R414" s="14">
        <f t="shared" si="18"/>
        <v>0</v>
      </c>
    </row>
    <row r="415" spans="1:18" outlineLevel="1" x14ac:dyDescent="0.2">
      <c r="A415" s="3" t="s">
        <v>4430</v>
      </c>
      <c r="B415" s="14">
        <f>+'KY_Res by Plant Acct P16(REG)'!B414</f>
        <v>0</v>
      </c>
      <c r="C415" s="13"/>
      <c r="D415" s="14">
        <f>+'KY_Res by Plant Acct P16(REG)'!D414</f>
        <v>0</v>
      </c>
      <c r="E415" s="13"/>
      <c r="F415" s="14">
        <f>+'KY_Res by Plant Acct P16(REG)'!F414</f>
        <v>0</v>
      </c>
      <c r="G415" s="13"/>
      <c r="H415" s="14">
        <f>+'KY_Res by Plant Acct P16(REG)'!H414</f>
        <v>0</v>
      </c>
      <c r="I415" s="13"/>
      <c r="J415" s="14">
        <f>+'KY_Res by Plant Acct P16(REG)'!J414</f>
        <v>0</v>
      </c>
      <c r="K415" s="13"/>
      <c r="L415" s="14">
        <f>+'KY_Res by Plant Acct P16(REG)'!L414</f>
        <v>0</v>
      </c>
      <c r="M415" s="13"/>
      <c r="N415" s="14">
        <f>+'KY_Res by Plant Acct P16(REG)'!N414</f>
        <v>0</v>
      </c>
      <c r="O415" s="13"/>
      <c r="P415" s="14">
        <f>+'KY_Res by Plant Acct P16(REG)'!P414</f>
        <v>0</v>
      </c>
      <c r="Q415" s="13"/>
      <c r="R415" s="14">
        <f t="shared" si="18"/>
        <v>0</v>
      </c>
    </row>
    <row r="416" spans="1:18" x14ac:dyDescent="0.2">
      <c r="A416" s="3" t="s">
        <v>4431</v>
      </c>
      <c r="B416" s="14">
        <f>SUM(B407:B415)</f>
        <v>0</v>
      </c>
      <c r="C416" s="13"/>
      <c r="D416" s="14">
        <f>SUM(D407:D415)</f>
        <v>0</v>
      </c>
      <c r="E416" s="13"/>
      <c r="F416" s="14">
        <f>SUM(F407:F415)</f>
        <v>0</v>
      </c>
      <c r="G416" s="13"/>
      <c r="H416" s="14">
        <f>SUM(H407:H415)</f>
        <v>0</v>
      </c>
      <c r="I416" s="13"/>
      <c r="J416" s="14">
        <f>SUM(J407:J415)</f>
        <v>0</v>
      </c>
      <c r="K416" s="13"/>
      <c r="L416" s="14">
        <f>SUM(L407:L415)</f>
        <v>0</v>
      </c>
      <c r="M416" s="13"/>
      <c r="N416" s="14">
        <f>SUM(N407:N415)</f>
        <v>0</v>
      </c>
      <c r="O416" s="13"/>
      <c r="P416" s="14">
        <f>SUM(P407:P415)</f>
        <v>0</v>
      </c>
      <c r="Q416" s="13"/>
      <c r="R416" s="14">
        <f>SUM(R407:R415)</f>
        <v>0</v>
      </c>
    </row>
    <row r="417" spans="1:18" outlineLevel="1" x14ac:dyDescent="0.2">
      <c r="A417" s="3" t="s">
        <v>4229</v>
      </c>
      <c r="B417" s="14">
        <f>+'KY_Res by Plant Acct P16(REG)'!B416</f>
        <v>-297011.13000000006</v>
      </c>
      <c r="C417" s="13"/>
      <c r="D417" s="14">
        <f>+'KY_Res by Plant Acct P16(REG)'!D416</f>
        <v>-5897.16</v>
      </c>
      <c r="E417" s="13"/>
      <c r="F417" s="14">
        <f>+'KY_Res by Plant Acct P16(REG)'!F416</f>
        <v>1581.94</v>
      </c>
      <c r="G417" s="13"/>
      <c r="H417" s="14">
        <f>+'KY_Res by Plant Acct P16(REG)'!H416</f>
        <v>0</v>
      </c>
      <c r="I417" s="13"/>
      <c r="J417" s="14">
        <f>+'KY_Res by Plant Acct P16(REG)'!J416</f>
        <v>0</v>
      </c>
      <c r="K417" s="13"/>
      <c r="L417" s="14">
        <f>+'KY_Res by Plant Acct P16(REG)'!L416</f>
        <v>941</v>
      </c>
      <c r="M417" s="13"/>
      <c r="N417" s="14">
        <f>+'KY_Res by Plant Acct P16(REG)'!N416</f>
        <v>0</v>
      </c>
      <c r="O417" s="13"/>
      <c r="P417" s="14">
        <f>+'KY_Res by Plant Acct P16(REG)'!P416</f>
        <v>0</v>
      </c>
      <c r="Q417" s="13"/>
      <c r="R417" s="14">
        <f t="shared" ref="R417:R434" si="19">SUM(B417:P417)</f>
        <v>-300385.35000000003</v>
      </c>
    </row>
    <row r="418" spans="1:18" outlineLevel="1" x14ac:dyDescent="0.2">
      <c r="A418" s="3" t="s">
        <v>4230</v>
      </c>
      <c r="B418" s="14">
        <f>+'KY_Res by Plant Acct P16(REG)'!B417</f>
        <v>-107112.75</v>
      </c>
      <c r="C418" s="13"/>
      <c r="D418" s="14">
        <f>+'KY_Res by Plant Acct P16(REG)'!D417</f>
        <v>-67.680000000000007</v>
      </c>
      <c r="E418" s="13"/>
      <c r="F418" s="14">
        <f>+'KY_Res by Plant Acct P16(REG)'!F417</f>
        <v>0</v>
      </c>
      <c r="G418" s="13"/>
      <c r="H418" s="14">
        <f>+'KY_Res by Plant Acct P16(REG)'!H417</f>
        <v>0</v>
      </c>
      <c r="I418" s="13"/>
      <c r="J418" s="14">
        <f>+'KY_Res by Plant Acct P16(REG)'!J417</f>
        <v>0</v>
      </c>
      <c r="K418" s="13"/>
      <c r="L418" s="14">
        <f>+'KY_Res by Plant Acct P16(REG)'!L417</f>
        <v>0</v>
      </c>
      <c r="M418" s="13"/>
      <c r="N418" s="14">
        <f>+'KY_Res by Plant Acct P16(REG)'!N417</f>
        <v>0</v>
      </c>
      <c r="O418" s="13"/>
      <c r="P418" s="14">
        <f>+'KY_Res by Plant Acct P16(REG)'!P417</f>
        <v>0</v>
      </c>
      <c r="Q418" s="13"/>
      <c r="R418" s="14">
        <f t="shared" si="19"/>
        <v>-107180.43</v>
      </c>
    </row>
    <row r="419" spans="1:18" outlineLevel="1" x14ac:dyDescent="0.2">
      <c r="A419" s="3" t="s">
        <v>4231</v>
      </c>
      <c r="B419" s="14">
        <f>+'KY_Res by Plant Acct P16(REG)'!B418</f>
        <v>-3265906.8300000005</v>
      </c>
      <c r="C419" s="13"/>
      <c r="D419" s="14">
        <f>+'KY_Res by Plant Acct P16(REG)'!D418</f>
        <v>-141325.57</v>
      </c>
      <c r="E419" s="13"/>
      <c r="F419" s="14">
        <f>+'KY_Res by Plant Acct P16(REG)'!F418</f>
        <v>70561.899999999994</v>
      </c>
      <c r="G419" s="13"/>
      <c r="H419" s="14">
        <f>+'KY_Res by Plant Acct P16(REG)'!H418</f>
        <v>0</v>
      </c>
      <c r="I419" s="13"/>
      <c r="J419" s="14">
        <f>+'KY_Res by Plant Acct P16(REG)'!J418</f>
        <v>0</v>
      </c>
      <c r="K419" s="13"/>
      <c r="L419" s="14">
        <f>+'KY_Res by Plant Acct P16(REG)'!L418</f>
        <v>10182.790000000001</v>
      </c>
      <c r="M419" s="13"/>
      <c r="N419" s="14">
        <f>+'KY_Res by Plant Acct P16(REG)'!N418</f>
        <v>0</v>
      </c>
      <c r="O419" s="13"/>
      <c r="P419" s="14">
        <f>+'KY_Res by Plant Acct P16(REG)'!P418</f>
        <v>0</v>
      </c>
      <c r="Q419" s="13"/>
      <c r="R419" s="14">
        <f t="shared" si="19"/>
        <v>-3326487.7100000004</v>
      </c>
    </row>
    <row r="420" spans="1:18" outlineLevel="1" x14ac:dyDescent="0.2">
      <c r="A420" s="3" t="s">
        <v>4232</v>
      </c>
      <c r="B420" s="14">
        <f>+'KY_Res by Plant Acct P16(REG)'!B419</f>
        <v>-1675386.24</v>
      </c>
      <c r="C420" s="13"/>
      <c r="D420" s="14">
        <f>+'KY_Res by Plant Acct P16(REG)'!D419</f>
        <v>-13761.56</v>
      </c>
      <c r="E420" s="13"/>
      <c r="F420" s="14">
        <f>+'KY_Res by Plant Acct P16(REG)'!F419</f>
        <v>4684.47</v>
      </c>
      <c r="G420" s="13"/>
      <c r="H420" s="14">
        <f>+'KY_Res by Plant Acct P16(REG)'!H419</f>
        <v>0</v>
      </c>
      <c r="I420" s="13"/>
      <c r="J420" s="14">
        <f>+'KY_Res by Plant Acct P16(REG)'!J419</f>
        <v>0</v>
      </c>
      <c r="K420" s="13"/>
      <c r="L420" s="14">
        <f>+'KY_Res by Plant Acct P16(REG)'!L419</f>
        <v>0</v>
      </c>
      <c r="M420" s="13"/>
      <c r="N420" s="14">
        <f>+'KY_Res by Plant Acct P16(REG)'!N419</f>
        <v>0</v>
      </c>
      <c r="O420" s="13"/>
      <c r="P420" s="14">
        <f>+'KY_Res by Plant Acct P16(REG)'!P419</f>
        <v>0</v>
      </c>
      <c r="Q420" s="13"/>
      <c r="R420" s="14">
        <f t="shared" si="19"/>
        <v>-1684463.33</v>
      </c>
    </row>
    <row r="421" spans="1:18" outlineLevel="1" x14ac:dyDescent="0.2">
      <c r="A421" s="3" t="s">
        <v>4432</v>
      </c>
      <c r="B421" s="14">
        <f>+'KY_Res by Plant Acct P16(REG)'!B420</f>
        <v>-889286.09000000008</v>
      </c>
      <c r="C421" s="13"/>
      <c r="D421" s="14">
        <f>+'KY_Res by Plant Acct P16(REG)'!D420</f>
        <v>-11544.12</v>
      </c>
      <c r="E421" s="13"/>
      <c r="F421" s="14">
        <f>+'KY_Res by Plant Acct P16(REG)'!F420</f>
        <v>0</v>
      </c>
      <c r="G421" s="13"/>
      <c r="H421" s="14">
        <f>+'KY_Res by Plant Acct P16(REG)'!H420</f>
        <v>0</v>
      </c>
      <c r="I421" s="13"/>
      <c r="J421" s="14">
        <f>+'KY_Res by Plant Acct P16(REG)'!J420</f>
        <v>0</v>
      </c>
      <c r="K421" s="13"/>
      <c r="L421" s="14">
        <f>+'KY_Res by Plant Acct P16(REG)'!L420</f>
        <v>0</v>
      </c>
      <c r="M421" s="13"/>
      <c r="N421" s="14">
        <f>+'KY_Res by Plant Acct P16(REG)'!N420</f>
        <v>0</v>
      </c>
      <c r="O421" s="13"/>
      <c r="P421" s="14">
        <f>+'KY_Res by Plant Acct P16(REG)'!P420</f>
        <v>0</v>
      </c>
      <c r="Q421" s="13"/>
      <c r="R421" s="14">
        <f t="shared" si="19"/>
        <v>-900830.21000000008</v>
      </c>
    </row>
    <row r="422" spans="1:18" outlineLevel="1" x14ac:dyDescent="0.2">
      <c r="A422" s="3" t="s">
        <v>4234</v>
      </c>
      <c r="B422" s="14">
        <f>+'KY_Res by Plant Acct P16(REG)'!B421</f>
        <v>-1458363.0699999996</v>
      </c>
      <c r="C422" s="13"/>
      <c r="D422" s="14">
        <f>+'KY_Res by Plant Acct P16(REG)'!D421</f>
        <v>-9423.2900000000009</v>
      </c>
      <c r="E422" s="13"/>
      <c r="F422" s="14">
        <f>+'KY_Res by Plant Acct P16(REG)'!F421</f>
        <v>4419.13</v>
      </c>
      <c r="G422" s="13"/>
      <c r="H422" s="14">
        <f>+'KY_Res by Plant Acct P16(REG)'!H421</f>
        <v>0</v>
      </c>
      <c r="I422" s="13"/>
      <c r="J422" s="14">
        <f>+'KY_Res by Plant Acct P16(REG)'!J421</f>
        <v>0</v>
      </c>
      <c r="K422" s="13"/>
      <c r="L422" s="14">
        <f>+'KY_Res by Plant Acct P16(REG)'!L421</f>
        <v>2543.5100000000002</v>
      </c>
      <c r="M422" s="13"/>
      <c r="N422" s="14">
        <f>+'KY_Res by Plant Acct P16(REG)'!N421</f>
        <v>0</v>
      </c>
      <c r="O422" s="13"/>
      <c r="P422" s="14">
        <f>+'KY_Res by Plant Acct P16(REG)'!P421</f>
        <v>0</v>
      </c>
      <c r="Q422" s="13"/>
      <c r="R422" s="14">
        <f t="shared" si="19"/>
        <v>-1460823.7199999997</v>
      </c>
    </row>
    <row r="423" spans="1:18" outlineLevel="1" x14ac:dyDescent="0.2">
      <c r="A423" s="3" t="s">
        <v>4235</v>
      </c>
      <c r="B423" s="14">
        <f>+'KY_Res by Plant Acct P16(REG)'!B422</f>
        <v>-2673300.600000001</v>
      </c>
      <c r="C423" s="13"/>
      <c r="D423" s="14">
        <f>+'KY_Res by Plant Acct P16(REG)'!D422</f>
        <v>-36205.94</v>
      </c>
      <c r="E423" s="13"/>
      <c r="F423" s="14">
        <f>+'KY_Res by Plant Acct P16(REG)'!F422</f>
        <v>2913.24</v>
      </c>
      <c r="G423" s="13"/>
      <c r="H423" s="14">
        <f>+'KY_Res by Plant Acct P16(REG)'!H422</f>
        <v>0</v>
      </c>
      <c r="I423" s="13"/>
      <c r="J423" s="14">
        <f>+'KY_Res by Plant Acct P16(REG)'!J422</f>
        <v>0</v>
      </c>
      <c r="K423" s="13"/>
      <c r="L423" s="14">
        <f>+'KY_Res by Plant Acct P16(REG)'!L422</f>
        <v>1942.76</v>
      </c>
      <c r="M423" s="13"/>
      <c r="N423" s="14">
        <f>+'KY_Res by Plant Acct P16(REG)'!N422</f>
        <v>0</v>
      </c>
      <c r="O423" s="13"/>
      <c r="P423" s="14">
        <f>+'KY_Res by Plant Acct P16(REG)'!P422</f>
        <v>0</v>
      </c>
      <c r="Q423" s="13"/>
      <c r="R423" s="14">
        <f t="shared" si="19"/>
        <v>-2704650.540000001</v>
      </c>
    </row>
    <row r="424" spans="1:18" outlineLevel="1" x14ac:dyDescent="0.2">
      <c r="A424" s="73" t="s">
        <v>4236</v>
      </c>
      <c r="B424" s="14">
        <f>+'KY_Res by Plant Acct P16(REG)'!B423</f>
        <v>-15852.64</v>
      </c>
      <c r="C424" s="13"/>
      <c r="D424" s="14">
        <f>+'KY_Res by Plant Acct P16(REG)'!D423</f>
        <v>-9321.7199999999993</v>
      </c>
      <c r="E424" s="13"/>
      <c r="F424" s="14">
        <f>+'KY_Res by Plant Acct P16(REG)'!F423</f>
        <v>0</v>
      </c>
      <c r="G424" s="13"/>
      <c r="H424" s="14">
        <f>+'KY_Res by Plant Acct P16(REG)'!H423</f>
        <v>0</v>
      </c>
      <c r="I424" s="13"/>
      <c r="J424" s="14">
        <f>+'KY_Res by Plant Acct P16(REG)'!J423</f>
        <v>0</v>
      </c>
      <c r="K424" s="13"/>
      <c r="L424" s="14">
        <f>+'KY_Res by Plant Acct P16(REG)'!L423</f>
        <v>0</v>
      </c>
      <c r="M424" s="13"/>
      <c r="N424" s="14">
        <f>+'KY_Res by Plant Acct P16(REG)'!N423</f>
        <v>0</v>
      </c>
      <c r="O424" s="13"/>
      <c r="P424" s="14">
        <f>+'KY_Res by Plant Acct P16(REG)'!P423</f>
        <v>0</v>
      </c>
      <c r="Q424" s="13"/>
      <c r="R424" s="14">
        <f t="shared" si="19"/>
        <v>-25174.36</v>
      </c>
    </row>
    <row r="425" spans="1:18" outlineLevel="1" x14ac:dyDescent="0.2">
      <c r="A425" s="3" t="s">
        <v>4237</v>
      </c>
      <c r="B425" s="14">
        <f>+'KY_Res by Plant Acct P16(REG)'!B424</f>
        <v>-3705385.189999999</v>
      </c>
      <c r="C425" s="13"/>
      <c r="D425" s="14">
        <f>+'KY_Res by Plant Acct P16(REG)'!D424</f>
        <v>-265677.21999999997</v>
      </c>
      <c r="E425" s="13"/>
      <c r="F425" s="14">
        <f>+'KY_Res by Plant Acct P16(REG)'!F424</f>
        <v>133520.45000000001</v>
      </c>
      <c r="G425" s="13"/>
      <c r="H425" s="14">
        <f>+'KY_Res by Plant Acct P16(REG)'!H424</f>
        <v>0</v>
      </c>
      <c r="I425" s="13"/>
      <c r="J425" s="14">
        <f>+'KY_Res by Plant Acct P16(REG)'!J424</f>
        <v>0</v>
      </c>
      <c r="K425" s="13"/>
      <c r="L425" s="14">
        <f>+'KY_Res by Plant Acct P16(REG)'!L424</f>
        <v>7168.03</v>
      </c>
      <c r="M425" s="13"/>
      <c r="N425" s="14">
        <f>+'KY_Res by Plant Acct P16(REG)'!N424</f>
        <v>-27560</v>
      </c>
      <c r="O425" s="13"/>
      <c r="P425" s="14">
        <f>+'KY_Res by Plant Acct P16(REG)'!P424</f>
        <v>0</v>
      </c>
      <c r="Q425" s="13"/>
      <c r="R425" s="14">
        <f t="shared" si="19"/>
        <v>-3857933.9299999992</v>
      </c>
    </row>
    <row r="426" spans="1:18" outlineLevel="1" x14ac:dyDescent="0.2">
      <c r="A426" s="3" t="s">
        <v>4433</v>
      </c>
      <c r="B426" s="14">
        <f>+'KY_Res by Plant Acct P16(REG)'!B425</f>
        <v>-57147.330000000009</v>
      </c>
      <c r="C426" s="13"/>
      <c r="D426" s="14">
        <f>+'KY_Res by Plant Acct P16(REG)'!D425</f>
        <v>0</v>
      </c>
      <c r="E426" s="13"/>
      <c r="F426" s="14">
        <f>+'KY_Res by Plant Acct P16(REG)'!F425</f>
        <v>0</v>
      </c>
      <c r="G426" s="13"/>
      <c r="H426" s="14">
        <f>+'KY_Res by Plant Acct P16(REG)'!H425</f>
        <v>0</v>
      </c>
      <c r="I426" s="13"/>
      <c r="J426" s="14">
        <f>+'KY_Res by Plant Acct P16(REG)'!J425</f>
        <v>0</v>
      </c>
      <c r="K426" s="13"/>
      <c r="L426" s="14">
        <f>+'KY_Res by Plant Acct P16(REG)'!L425</f>
        <v>0</v>
      </c>
      <c r="M426" s="13"/>
      <c r="N426" s="14">
        <f>+'KY_Res by Plant Acct P16(REG)'!N425</f>
        <v>0</v>
      </c>
      <c r="O426" s="13"/>
      <c r="P426" s="14">
        <f>+'KY_Res by Plant Acct P16(REG)'!P425</f>
        <v>0</v>
      </c>
      <c r="Q426" s="13"/>
      <c r="R426" s="14">
        <f t="shared" si="19"/>
        <v>-57147.330000000009</v>
      </c>
    </row>
    <row r="427" spans="1:18" outlineLevel="1" x14ac:dyDescent="0.2">
      <c r="A427" s="3" t="s">
        <v>4239</v>
      </c>
      <c r="B427" s="14">
        <f>+'KY_Res by Plant Acct P16(REG)'!B426</f>
        <v>12426.699999999983</v>
      </c>
      <c r="C427" s="13"/>
      <c r="D427" s="14">
        <f>+'KY_Res by Plant Acct P16(REG)'!D426</f>
        <v>0</v>
      </c>
      <c r="E427" s="13"/>
      <c r="F427" s="14">
        <f>+'KY_Res by Plant Acct P16(REG)'!F426</f>
        <v>0</v>
      </c>
      <c r="G427" s="13"/>
      <c r="H427" s="14">
        <f>+'KY_Res by Plant Acct P16(REG)'!H426</f>
        <v>-23114.36</v>
      </c>
      <c r="I427" s="13"/>
      <c r="J427" s="14">
        <f>+'KY_Res by Plant Acct P16(REG)'!J426</f>
        <v>0</v>
      </c>
      <c r="K427" s="13"/>
      <c r="L427" s="14">
        <f>+'KY_Res by Plant Acct P16(REG)'!L426</f>
        <v>0</v>
      </c>
      <c r="M427" s="13"/>
      <c r="N427" s="14">
        <f>+'KY_Res by Plant Acct P16(REG)'!N426</f>
        <v>0</v>
      </c>
      <c r="O427" s="13"/>
      <c r="P427" s="14">
        <f>+'KY_Res by Plant Acct P16(REG)'!P426</f>
        <v>0</v>
      </c>
      <c r="Q427" s="13"/>
      <c r="R427" s="14">
        <f t="shared" si="19"/>
        <v>-10687.660000000018</v>
      </c>
    </row>
    <row r="428" spans="1:18" outlineLevel="1" x14ac:dyDescent="0.2">
      <c r="A428" s="3" t="s">
        <v>4240</v>
      </c>
      <c r="B428" s="14">
        <f>+'KY_Res by Plant Acct P16(REG)'!B427</f>
        <v>-181178.06999999977</v>
      </c>
      <c r="C428" s="13"/>
      <c r="D428" s="14">
        <f>+'KY_Res by Plant Acct P16(REG)'!D427</f>
        <v>-20712.900000000001</v>
      </c>
      <c r="E428" s="13"/>
      <c r="F428" s="14">
        <f>+'KY_Res by Plant Acct P16(REG)'!F427</f>
        <v>40627.06</v>
      </c>
      <c r="G428" s="13"/>
      <c r="H428" s="14">
        <f>+'KY_Res by Plant Acct P16(REG)'!H427</f>
        <v>0</v>
      </c>
      <c r="I428" s="13"/>
      <c r="J428" s="14">
        <f>+'KY_Res by Plant Acct P16(REG)'!J427</f>
        <v>0</v>
      </c>
      <c r="K428" s="13"/>
      <c r="L428" s="14">
        <f>+'KY_Res by Plant Acct P16(REG)'!L427</f>
        <v>0</v>
      </c>
      <c r="M428" s="13"/>
      <c r="N428" s="14">
        <f>+'KY_Res by Plant Acct P16(REG)'!N427</f>
        <v>0</v>
      </c>
      <c r="O428" s="13"/>
      <c r="P428" s="14">
        <f>+'KY_Res by Plant Acct P16(REG)'!P427</f>
        <v>0</v>
      </c>
      <c r="Q428" s="13"/>
      <c r="R428" s="14">
        <f t="shared" si="19"/>
        <v>-161263.90999999977</v>
      </c>
    </row>
    <row r="429" spans="1:18" outlineLevel="1" x14ac:dyDescent="0.2">
      <c r="A429" s="3" t="s">
        <v>4241</v>
      </c>
      <c r="B429" s="14">
        <f>+'KY_Res by Plant Acct P16(REG)'!B428</f>
        <v>0</v>
      </c>
      <c r="C429" s="13"/>
      <c r="D429" s="14">
        <f>+'KY_Res by Plant Acct P16(REG)'!D428</f>
        <v>0</v>
      </c>
      <c r="E429" s="13"/>
      <c r="F429" s="14">
        <f>+'KY_Res by Plant Acct P16(REG)'!F428</f>
        <v>0</v>
      </c>
      <c r="G429" s="13"/>
      <c r="H429" s="14">
        <f>+'KY_Res by Plant Acct P16(REG)'!H428</f>
        <v>0</v>
      </c>
      <c r="I429" s="13"/>
      <c r="J429" s="14">
        <f>+'KY_Res by Plant Acct P16(REG)'!J428</f>
        <v>0</v>
      </c>
      <c r="K429" s="13"/>
      <c r="L429" s="14">
        <f>+'KY_Res by Plant Acct P16(REG)'!L428</f>
        <v>0</v>
      </c>
      <c r="M429" s="13"/>
      <c r="N429" s="14">
        <f>+'KY_Res by Plant Acct P16(REG)'!N428</f>
        <v>0</v>
      </c>
      <c r="O429" s="13"/>
      <c r="P429" s="14">
        <f>+'KY_Res by Plant Acct P16(REG)'!P428</f>
        <v>0</v>
      </c>
      <c r="Q429" s="13"/>
      <c r="R429" s="14">
        <f t="shared" si="19"/>
        <v>0</v>
      </c>
    </row>
    <row r="430" spans="1:18" outlineLevel="1" x14ac:dyDescent="0.2">
      <c r="A430" s="3" t="s">
        <v>4242</v>
      </c>
      <c r="B430" s="14">
        <f>+'KY_Res by Plant Acct P16(REG)'!B429</f>
        <v>0</v>
      </c>
      <c r="C430" s="13"/>
      <c r="D430" s="14">
        <f>+'KY_Res by Plant Acct P16(REG)'!D429</f>
        <v>0</v>
      </c>
      <c r="E430" s="13"/>
      <c r="F430" s="14">
        <f>+'KY_Res by Plant Acct P16(REG)'!F429</f>
        <v>0</v>
      </c>
      <c r="G430" s="13"/>
      <c r="H430" s="14">
        <f>+'KY_Res by Plant Acct P16(REG)'!H429</f>
        <v>0</v>
      </c>
      <c r="I430" s="13"/>
      <c r="J430" s="14">
        <f>+'KY_Res by Plant Acct P16(REG)'!J429</f>
        <v>0</v>
      </c>
      <c r="K430" s="13"/>
      <c r="L430" s="14">
        <f>+'KY_Res by Plant Acct P16(REG)'!L429</f>
        <v>0</v>
      </c>
      <c r="M430" s="13"/>
      <c r="N430" s="14">
        <f>+'KY_Res by Plant Acct P16(REG)'!N429</f>
        <v>0</v>
      </c>
      <c r="O430" s="13"/>
      <c r="P430" s="14">
        <f>+'KY_Res by Plant Acct P16(REG)'!P429</f>
        <v>0</v>
      </c>
      <c r="Q430" s="13"/>
      <c r="R430" s="14">
        <f t="shared" si="19"/>
        <v>0</v>
      </c>
    </row>
    <row r="431" spans="1:18" outlineLevel="1" x14ac:dyDescent="0.2">
      <c r="A431" s="3" t="s">
        <v>4243</v>
      </c>
      <c r="B431" s="14">
        <f>+'KY_Res by Plant Acct P16(REG)'!B430</f>
        <v>-975325.46999999974</v>
      </c>
      <c r="C431" s="13"/>
      <c r="D431" s="14">
        <f>+'KY_Res by Plant Acct P16(REG)'!D430</f>
        <v>-99291.28</v>
      </c>
      <c r="E431" s="13"/>
      <c r="F431" s="14">
        <f>+'KY_Res by Plant Acct P16(REG)'!F430</f>
        <v>140966.95000000001</v>
      </c>
      <c r="G431" s="13"/>
      <c r="H431" s="14">
        <f>+'KY_Res by Plant Acct P16(REG)'!H430</f>
        <v>0</v>
      </c>
      <c r="I431" s="13"/>
      <c r="J431" s="14">
        <f>+'KY_Res by Plant Acct P16(REG)'!J430</f>
        <v>0</v>
      </c>
      <c r="K431" s="13"/>
      <c r="L431" s="14">
        <f>+'KY_Res by Plant Acct P16(REG)'!L430</f>
        <v>0</v>
      </c>
      <c r="M431" s="13"/>
      <c r="N431" s="14">
        <f>+'KY_Res by Plant Acct P16(REG)'!N430</f>
        <v>0</v>
      </c>
      <c r="O431" s="13"/>
      <c r="P431" s="14">
        <f>+'KY_Res by Plant Acct P16(REG)'!P430</f>
        <v>0</v>
      </c>
      <c r="Q431" s="13"/>
      <c r="R431" s="14">
        <f t="shared" si="19"/>
        <v>-933649.79999999981</v>
      </c>
    </row>
    <row r="432" spans="1:18" outlineLevel="1" x14ac:dyDescent="0.2">
      <c r="A432" s="43" t="s">
        <v>4434</v>
      </c>
      <c r="B432" s="14">
        <f>+'KY_Res by Plant Acct P16(REG)'!B431</f>
        <v>-865869.48</v>
      </c>
      <c r="C432" s="13"/>
      <c r="D432" s="14">
        <f>+'KY_Res by Plant Acct P16(REG)'!D431</f>
        <v>-165472.48000000001</v>
      </c>
      <c r="E432" s="13"/>
      <c r="F432" s="14">
        <f>+'KY_Res by Plant Acct P16(REG)'!F431</f>
        <v>17191.810000000001</v>
      </c>
      <c r="G432" s="13"/>
      <c r="H432" s="14">
        <f>+'KY_Res by Plant Acct P16(REG)'!H431</f>
        <v>0</v>
      </c>
      <c r="I432" s="13"/>
      <c r="J432" s="14">
        <f>+'KY_Res by Plant Acct P16(REG)'!J431</f>
        <v>0</v>
      </c>
      <c r="K432" s="13"/>
      <c r="L432" s="14">
        <f>+'KY_Res by Plant Acct P16(REG)'!L431</f>
        <v>0</v>
      </c>
      <c r="M432" s="13"/>
      <c r="N432" s="14">
        <f>+'KY_Res by Plant Acct P16(REG)'!N431</f>
        <v>0</v>
      </c>
      <c r="O432" s="13"/>
      <c r="P432" s="14">
        <f>+'KY_Res by Plant Acct P16(REG)'!P431</f>
        <v>0</v>
      </c>
      <c r="Q432" s="13"/>
      <c r="R432" s="14">
        <f t="shared" si="19"/>
        <v>-1014150.1499999999</v>
      </c>
    </row>
    <row r="433" spans="1:18" outlineLevel="1" x14ac:dyDescent="0.2">
      <c r="A433" s="3" t="s">
        <v>4435</v>
      </c>
      <c r="B433" s="14">
        <f>+'KY_Res by Plant Acct P16(REG)'!B432</f>
        <v>-7239.7099999999991</v>
      </c>
      <c r="C433" s="13"/>
      <c r="D433" s="14">
        <f>+'KY_Res by Plant Acct P16(REG)'!D432</f>
        <v>0</v>
      </c>
      <c r="E433" s="13"/>
      <c r="F433" s="14">
        <f>+'KY_Res by Plant Acct P16(REG)'!F432</f>
        <v>0</v>
      </c>
      <c r="G433" s="13"/>
      <c r="H433" s="14">
        <f>+'KY_Res by Plant Acct P16(REG)'!H432</f>
        <v>0</v>
      </c>
      <c r="I433" s="13"/>
      <c r="J433" s="14">
        <f>+'KY_Res by Plant Acct P16(REG)'!J432</f>
        <v>0</v>
      </c>
      <c r="K433" s="13"/>
      <c r="L433" s="14">
        <f>+'KY_Res by Plant Acct P16(REG)'!L432</f>
        <v>0</v>
      </c>
      <c r="M433" s="13"/>
      <c r="N433" s="14">
        <f>+'KY_Res by Plant Acct P16(REG)'!N432</f>
        <v>0</v>
      </c>
      <c r="O433" s="13"/>
      <c r="P433" s="14">
        <f>+'KY_Res by Plant Acct P16(REG)'!P432</f>
        <v>0</v>
      </c>
      <c r="Q433" s="13"/>
      <c r="R433" s="14">
        <f t="shared" si="19"/>
        <v>-7239.7099999999991</v>
      </c>
    </row>
    <row r="434" spans="1:18" outlineLevel="1" x14ac:dyDescent="0.2">
      <c r="A434" s="3" t="s">
        <v>4246</v>
      </c>
      <c r="B434" s="14">
        <f>+'KY_Res by Plant Acct P16(REG)'!B433</f>
        <v>-42822.319999999876</v>
      </c>
      <c r="C434" s="13"/>
      <c r="D434" s="14">
        <f>+'KY_Res by Plant Acct P16(REG)'!D433</f>
        <v>-5408.1</v>
      </c>
      <c r="E434" s="13"/>
      <c r="F434" s="14">
        <f>+'KY_Res by Plant Acct P16(REG)'!F433</f>
        <v>0</v>
      </c>
      <c r="G434" s="13"/>
      <c r="H434" s="14">
        <f>+'KY_Res by Plant Acct P16(REG)'!H433</f>
        <v>0</v>
      </c>
      <c r="I434" s="13"/>
      <c r="J434" s="14">
        <f>+'KY_Res by Plant Acct P16(REG)'!J433</f>
        <v>0</v>
      </c>
      <c r="K434" s="13"/>
      <c r="L434" s="14">
        <f>+'KY_Res by Plant Acct P16(REG)'!L433</f>
        <v>0</v>
      </c>
      <c r="M434" s="13"/>
      <c r="N434" s="14">
        <f>+'KY_Res by Plant Acct P16(REG)'!N433</f>
        <v>0</v>
      </c>
      <c r="O434" s="13"/>
      <c r="P434" s="14">
        <f>+'KY_Res by Plant Acct P16(REG)'!P433</f>
        <v>0</v>
      </c>
      <c r="Q434" s="13"/>
      <c r="R434" s="14">
        <f t="shared" si="19"/>
        <v>-48230.419999999875</v>
      </c>
    </row>
    <row r="435" spans="1:18" x14ac:dyDescent="0.2">
      <c r="A435" s="3" t="s">
        <v>4247</v>
      </c>
      <c r="B435" s="14">
        <f>SUM(B417:B434)</f>
        <v>-16204760.220000003</v>
      </c>
      <c r="C435" s="13"/>
      <c r="D435" s="14">
        <f>SUM(D417:D434)</f>
        <v>-784109.02</v>
      </c>
      <c r="E435" s="13"/>
      <c r="F435" s="14">
        <f>SUM(F417:F434)</f>
        <v>416466.95</v>
      </c>
      <c r="G435" s="13"/>
      <c r="H435" s="14">
        <f>SUM(H417:H434)</f>
        <v>-23114.36</v>
      </c>
      <c r="I435" s="13"/>
      <c r="J435" s="14">
        <f>SUM(J417:J434)</f>
        <v>0</v>
      </c>
      <c r="K435" s="13"/>
      <c r="L435" s="14">
        <f>SUM(L417:L434)</f>
        <v>22778.09</v>
      </c>
      <c r="M435" s="13"/>
      <c r="N435" s="14">
        <f>SUM(N417:N434)</f>
        <v>-27560</v>
      </c>
      <c r="O435" s="13"/>
      <c r="P435" s="14">
        <f>SUM(P417:P434)</f>
        <v>0</v>
      </c>
      <c r="Q435" s="13"/>
      <c r="R435" s="14">
        <f>SUM(R417:R434)</f>
        <v>-16600298.560000002</v>
      </c>
    </row>
    <row r="436" spans="1:18" x14ac:dyDescent="0.2">
      <c r="A436" s="3" t="s">
        <v>4248</v>
      </c>
      <c r="B436" s="17">
        <f>+'KY_Res by Plant Acct P16(REG)'!B435</f>
        <v>-2815947.9499999881</v>
      </c>
      <c r="C436" s="94"/>
      <c r="D436" s="17">
        <f>+'KY_Res by Plant Acct P16(REG)'!D435</f>
        <v>-3996950.19</v>
      </c>
      <c r="E436" s="94"/>
      <c r="F436" s="17">
        <f>+'KY_Res by Plant Acct P16(REG)'!F435</f>
        <v>203134</v>
      </c>
      <c r="G436" s="94"/>
      <c r="H436" s="17">
        <f>+'KY_Res by Plant Acct P16(REG)'!H435</f>
        <v>-331684.03999999998</v>
      </c>
      <c r="I436" s="94"/>
      <c r="J436" s="17">
        <f>+'KY_Res by Plant Acct P16(REG)'!J435</f>
        <v>0</v>
      </c>
      <c r="K436" s="94"/>
      <c r="L436" s="17">
        <f>+'KY_Res by Plant Acct P16(REG)'!L435</f>
        <v>0</v>
      </c>
      <c r="M436" s="94"/>
      <c r="N436" s="17">
        <f>+'KY_Res by Plant Acct P16(REG)'!N435</f>
        <v>0</v>
      </c>
      <c r="O436" s="94"/>
      <c r="P436" s="17">
        <f>+'KY_Res by Plant Acct P16(REG)'!P435</f>
        <v>0</v>
      </c>
      <c r="Q436" s="94"/>
      <c r="R436" s="17">
        <f>SUM(B436:P436)</f>
        <v>-6941448.1799999876</v>
      </c>
    </row>
    <row r="437" spans="1:18" x14ac:dyDescent="0.2">
      <c r="A437" s="43" t="s">
        <v>4249</v>
      </c>
      <c r="B437" s="16">
        <f>+'KY_Res by Plant Acct P16(REG)'!B436</f>
        <v>-90540910.780000001</v>
      </c>
      <c r="C437" s="13"/>
      <c r="D437" s="16">
        <f>+'KY_Res by Plant Acct P16(REG)'!D436</f>
        <v>-16834616.390000001</v>
      </c>
      <c r="E437" s="13"/>
      <c r="F437" s="16">
        <f>+'KY_Res by Plant Acct P16(REG)'!F436</f>
        <v>0</v>
      </c>
      <c r="G437" s="13"/>
      <c r="H437" s="16">
        <f>+'KY_Res by Plant Acct P16(REG)'!H436</f>
        <v>331684.03999999998</v>
      </c>
      <c r="I437" s="13"/>
      <c r="J437" s="16">
        <f>+'KY_Res by Plant Acct P16(REG)'!J436</f>
        <v>0</v>
      </c>
      <c r="K437" s="13"/>
      <c r="L437" s="16">
        <f>+'KY_Res by Plant Acct P16(REG)'!L436</f>
        <v>0</v>
      </c>
      <c r="M437" s="13"/>
      <c r="N437" s="16">
        <f>+'KY_Res by Plant Acct P16(REG)'!N436</f>
        <v>0</v>
      </c>
      <c r="O437" s="13"/>
      <c r="P437" s="16">
        <f>+'KY_Res by Plant Acct P16(REG)'!P436</f>
        <v>0</v>
      </c>
      <c r="Q437" s="13"/>
      <c r="R437" s="16">
        <f>SUM(B437:P437)</f>
        <v>-107043843.13</v>
      </c>
    </row>
    <row r="438" spans="1:18" x14ac:dyDescent="0.2">
      <c r="A438" s="3" t="s">
        <v>4250</v>
      </c>
      <c r="B438" s="17">
        <f>B436+B435+B406+B369+B368+B352+B341+B276+B267+B232+B416+B437</f>
        <v>-1667911158.6300001</v>
      </c>
      <c r="C438" s="13"/>
      <c r="D438" s="17">
        <f>D436+D435+D406+D369+D368+D352+D341+D276+D267+D232+D416+D437</f>
        <v>-146733250.28999999</v>
      </c>
      <c r="E438" s="13"/>
      <c r="F438" s="17">
        <f>F436+F435+F406+F369+F368+F352+F341+F276+F267+F232+F416+F437</f>
        <v>14556935.390000001</v>
      </c>
      <c r="G438" s="13"/>
      <c r="H438" s="17">
        <f>H436+H435+H406+H369+H368+H352+H341+H276+H267+H232+H416+H437</f>
        <v>0</v>
      </c>
      <c r="I438" s="13"/>
      <c r="J438" s="17">
        <f>J436+J435+J406+J369+J368+J352+J341+J276+J267+J232+J416+J437</f>
        <v>0</v>
      </c>
      <c r="K438" s="13"/>
      <c r="L438" s="17">
        <f>L436+L435+L406+L369+L368+L352+L341+L276+L267+L232+L416+L437</f>
        <v>7763019.1799999978</v>
      </c>
      <c r="M438" s="17">
        <f>M436+M435+M406+M369+M368+M352+M341+M276+M267+M232</f>
        <v>0</v>
      </c>
      <c r="N438" s="17">
        <f>N436+N435+N406+N369+N368+N352+N341+N276+N267+N232+N416+N437</f>
        <v>-93042.37</v>
      </c>
      <c r="O438" s="17">
        <f>O436+O435+O406+O369+O368+O352+O341+O276+O267+O232</f>
        <v>0</v>
      </c>
      <c r="P438" s="17">
        <f>P436+P435+P406+P369+P368+P352+P341+P276+P267+P232+P416+P437</f>
        <v>-151771.82999999999</v>
      </c>
      <c r="Q438" s="13"/>
      <c r="R438" s="17">
        <f>R436+R435+R406+R369+R368+R352+R341+R276+R267+R232+R416+R437</f>
        <v>-1792569268.5499997</v>
      </c>
    </row>
    <row r="439" spans="1:18" x14ac:dyDescent="0.2">
      <c r="C439" s="13"/>
      <c r="E439" s="13"/>
      <c r="G439" s="13"/>
      <c r="I439" s="13"/>
      <c r="K439" s="13"/>
      <c r="M439" s="13"/>
      <c r="O439" s="13"/>
      <c r="Q439" s="13"/>
    </row>
    <row r="440" spans="1:18" x14ac:dyDescent="0.2">
      <c r="A440" s="12" t="s">
        <v>18</v>
      </c>
      <c r="C440" s="13"/>
      <c r="E440" s="13"/>
      <c r="G440" s="13"/>
      <c r="I440" s="13"/>
      <c r="K440" s="13"/>
      <c r="M440" s="13"/>
      <c r="O440" s="13"/>
      <c r="Q440" s="13"/>
    </row>
    <row r="441" spans="1:18" x14ac:dyDescent="0.2">
      <c r="A441" s="3" t="s">
        <v>4436</v>
      </c>
      <c r="B441" s="14">
        <f>+'KY_Res by Plant Acct P16(REG)'!B440+'VA_Res by Plant Acct P17(REG)'!B45+'TN_Res by Plant Acct P18(REG)'!B25</f>
        <v>-17326777.960000001</v>
      </c>
      <c r="C441" s="13"/>
      <c r="D441" s="14">
        <f>+'KY_Res by Plant Acct P16(REG)'!D440+'VA_Res by Plant Acct P17(REG)'!D45+'TN_Res by Plant Acct P18(REG)'!D25</f>
        <v>-268721.46000000002</v>
      </c>
      <c r="E441" s="13"/>
      <c r="F441" s="14">
        <f>+'KY_Res by Plant Acct P16(REG)'!F440+'VA_Res by Plant Acct P17(REG)'!F45+'TN_Res by Plant Acct P18(REG)'!F25</f>
        <v>0</v>
      </c>
      <c r="G441" s="13"/>
      <c r="H441" s="14">
        <f>+'KY_Res by Plant Acct P16(REG)'!H440+'VA_Res by Plant Acct P17(REG)'!H45+'TN_Res by Plant Acct P18(REG)'!H25</f>
        <v>0</v>
      </c>
      <c r="I441" s="13"/>
      <c r="J441" s="14">
        <f>+'KY_Res by Plant Acct P16(REG)'!J440+'VA_Res by Plant Acct P17(REG)'!J45+'TN_Res by Plant Acct P18(REG)'!J25</f>
        <v>0</v>
      </c>
      <c r="K441" s="13"/>
      <c r="L441" s="14">
        <f>+'KY_Res by Plant Acct P16(REG)'!L440+'VA_Res by Plant Acct P17(REG)'!L45+'TN_Res by Plant Acct P18(REG)'!L25</f>
        <v>0</v>
      </c>
      <c r="M441" s="13"/>
      <c r="N441" s="14">
        <f>+'KY_Res by Plant Acct P16(REG)'!N440+'VA_Res by Plant Acct P17(REG)'!N45+'TN_Res by Plant Acct P18(REG)'!N25</f>
        <v>0</v>
      </c>
      <c r="O441" s="13"/>
      <c r="P441" s="14">
        <f>+'KY_Res by Plant Acct P16(REG)'!P440+'VA_Res by Plant Acct P17(REG)'!P45+'TN_Res by Plant Acct P18(REG)'!P25</f>
        <v>0</v>
      </c>
      <c r="Q441" s="13"/>
      <c r="R441" s="14">
        <f t="shared" ref="R441:R466" si="20">SUM(B441:P441)</f>
        <v>-17595499.420000002</v>
      </c>
    </row>
    <row r="442" spans="1:18" x14ac:dyDescent="0.2">
      <c r="A442" s="3" t="s">
        <v>4252</v>
      </c>
      <c r="B442" s="14">
        <f>+'KY_Res by Plant Acct P16(REG)'!B441</f>
        <v>0</v>
      </c>
      <c r="C442" s="13"/>
      <c r="D442" s="14">
        <f>+'KY_Res by Plant Acct P16(REG)'!D441</f>
        <v>0</v>
      </c>
      <c r="E442" s="13"/>
      <c r="F442" s="14">
        <f>+'KY_Res by Plant Acct P16(REG)'!F441</f>
        <v>0</v>
      </c>
      <c r="G442" s="13"/>
      <c r="H442" s="14">
        <f>+'KY_Res by Plant Acct P16(REG)'!H441</f>
        <v>0</v>
      </c>
      <c r="I442" s="13"/>
      <c r="J442" s="14">
        <f>+'KY_Res by Plant Acct P16(REG)'!J441</f>
        <v>0</v>
      </c>
      <c r="K442" s="13"/>
      <c r="L442" s="14">
        <f>+'KY_Res by Plant Acct P16(REG)'!L441</f>
        <v>0</v>
      </c>
      <c r="M442" s="13"/>
      <c r="N442" s="14">
        <f>+'KY_Res by Plant Acct P16(REG)'!N441</f>
        <v>0</v>
      </c>
      <c r="O442" s="13"/>
      <c r="P442" s="14">
        <f>+'KY_Res by Plant Acct P16(REG)'!P441</f>
        <v>0</v>
      </c>
      <c r="Q442" s="13"/>
      <c r="R442" s="14">
        <f t="shared" si="20"/>
        <v>0</v>
      </c>
    </row>
    <row r="443" spans="1:18" x14ac:dyDescent="0.2">
      <c r="A443" s="3" t="s">
        <v>4437</v>
      </c>
      <c r="B443" s="14">
        <f>+'KY_Res by Plant Acct P16(REG)'!B442</f>
        <v>0</v>
      </c>
      <c r="C443" s="13"/>
      <c r="D443" s="14">
        <f>+'KY_Res by Plant Acct P16(REG)'!D442</f>
        <v>0</v>
      </c>
      <c r="E443" s="13"/>
      <c r="F443" s="14">
        <f>+'KY_Res by Plant Acct P16(REG)'!F442</f>
        <v>0</v>
      </c>
      <c r="G443" s="13"/>
      <c r="H443" s="14">
        <f>+'KY_Res by Plant Acct P16(REG)'!H442</f>
        <v>0</v>
      </c>
      <c r="I443" s="13"/>
      <c r="J443" s="14">
        <f>+'KY_Res by Plant Acct P16(REG)'!J442</f>
        <v>0</v>
      </c>
      <c r="K443" s="13"/>
      <c r="L443" s="14">
        <f>+'KY_Res by Plant Acct P16(REG)'!L442</f>
        <v>0</v>
      </c>
      <c r="M443" s="13"/>
      <c r="N443" s="14">
        <f>+'KY_Res by Plant Acct P16(REG)'!N442</f>
        <v>0</v>
      </c>
      <c r="O443" s="13"/>
      <c r="P443" s="14">
        <f>+'KY_Res by Plant Acct P16(REG)'!P442</f>
        <v>0</v>
      </c>
      <c r="Q443" s="13"/>
      <c r="R443" s="14">
        <f t="shared" si="20"/>
        <v>0</v>
      </c>
    </row>
    <row r="444" spans="1:18" x14ac:dyDescent="0.2">
      <c r="A444" s="3" t="s">
        <v>4438</v>
      </c>
      <c r="B444" s="14">
        <f>+'KY_Res by Plant Acct P16(REG)'!B443</f>
        <v>0</v>
      </c>
      <c r="C444" s="13"/>
      <c r="D444" s="14">
        <f>+'KY_Res by Plant Acct P16(REG)'!D443</f>
        <v>0</v>
      </c>
      <c r="E444" s="13"/>
      <c r="F444" s="14">
        <f>+'KY_Res by Plant Acct P16(REG)'!F443</f>
        <v>0</v>
      </c>
      <c r="G444" s="13"/>
      <c r="H444" s="14">
        <f>+'KY_Res by Plant Acct P16(REG)'!H443</f>
        <v>0</v>
      </c>
      <c r="I444" s="13"/>
      <c r="J444" s="14">
        <f>+'KY_Res by Plant Acct P16(REG)'!J443</f>
        <v>0</v>
      </c>
      <c r="K444" s="13"/>
      <c r="L444" s="14">
        <f>+'KY_Res by Plant Acct P16(REG)'!L443</f>
        <v>0</v>
      </c>
      <c r="M444" s="13"/>
      <c r="N444" s="14">
        <f>+'KY_Res by Plant Acct P16(REG)'!N443</f>
        <v>0</v>
      </c>
      <c r="O444" s="13"/>
      <c r="P444" s="14">
        <f>+'KY_Res by Plant Acct P16(REG)'!P443</f>
        <v>0</v>
      </c>
      <c r="Q444" s="13"/>
      <c r="R444" s="14">
        <f t="shared" si="20"/>
        <v>0</v>
      </c>
    </row>
    <row r="445" spans="1:18" x14ac:dyDescent="0.2">
      <c r="A445" s="3" t="s">
        <v>4439</v>
      </c>
      <c r="B445" s="14">
        <f>+'KY_Res by Plant Acct P16(REG)'!B444+'VA_Res by Plant Acct P17(REG)'!B46</f>
        <v>-5993635.9000000004</v>
      </c>
      <c r="C445" s="13"/>
      <c r="D445" s="14">
        <f>+'KY_Res by Plant Acct P16(REG)'!D444+'VA_Res by Plant Acct P17(REG)'!D46</f>
        <v>-473938.43</v>
      </c>
      <c r="E445" s="13"/>
      <c r="F445" s="14">
        <f>+'KY_Res by Plant Acct P16(REG)'!F444+'VA_Res by Plant Acct P17(REG)'!F46</f>
        <v>86566.9</v>
      </c>
      <c r="G445" s="13"/>
      <c r="H445" s="14">
        <f>+'KY_Res by Plant Acct P16(REG)'!H444+'VA_Res by Plant Acct P17(REG)'!H46</f>
        <v>-10863.43</v>
      </c>
      <c r="I445" s="13"/>
      <c r="J445" s="14">
        <f>+'KY_Res by Plant Acct P16(REG)'!J444+'VA_Res by Plant Acct P17(REG)'!J46</f>
        <v>0</v>
      </c>
      <c r="K445" s="13"/>
      <c r="L445" s="14">
        <f>+'KY_Res by Plant Acct P16(REG)'!L444+'VA_Res by Plant Acct P17(REG)'!L46</f>
        <v>97029.829999999987</v>
      </c>
      <c r="M445" s="13"/>
      <c r="N445" s="14">
        <f>+'KY_Res by Plant Acct P16(REG)'!N444+'VA_Res by Plant Acct P17(REG)'!N46</f>
        <v>-1377.84</v>
      </c>
      <c r="O445" s="13"/>
      <c r="P445" s="14">
        <f>+'KY_Res by Plant Acct P16(REG)'!P444+'VA_Res by Plant Acct P17(REG)'!P46</f>
        <v>0</v>
      </c>
      <c r="Q445" s="13"/>
      <c r="R445" s="14">
        <f t="shared" si="20"/>
        <v>-6296218.8699999992</v>
      </c>
    </row>
    <row r="446" spans="1:18" x14ac:dyDescent="0.2">
      <c r="A446" s="108" t="s">
        <v>4440</v>
      </c>
      <c r="B446" s="14">
        <f>+'KY_Res by Plant Acct P16(REG)'!B445</f>
        <v>-869225.68</v>
      </c>
      <c r="C446" s="13"/>
      <c r="D446" s="14">
        <f>+'KY_Res by Plant Acct P16(REG)'!D445</f>
        <v>-20960.939999999999</v>
      </c>
      <c r="E446" s="13"/>
      <c r="F446" s="14">
        <f>+'KY_Res by Plant Acct P16(REG)'!F445</f>
        <v>26247.7</v>
      </c>
      <c r="G446" s="13"/>
      <c r="H446" s="14">
        <f>+'KY_Res by Plant Acct P16(REG)'!H445</f>
        <v>0</v>
      </c>
      <c r="I446" s="13"/>
      <c r="J446" s="14">
        <f>+'KY_Res by Plant Acct P16(REG)'!J445</f>
        <v>0</v>
      </c>
      <c r="K446" s="13"/>
      <c r="L446" s="14">
        <f>+'KY_Res by Plant Acct P16(REG)'!L445</f>
        <v>4860</v>
      </c>
      <c r="M446" s="13"/>
      <c r="N446" s="14">
        <f>+'KY_Res by Plant Acct P16(REG)'!N445</f>
        <v>0</v>
      </c>
      <c r="O446" s="13"/>
      <c r="P446" s="14">
        <f>+'KY_Res by Plant Acct P16(REG)'!P445</f>
        <v>0</v>
      </c>
      <c r="Q446" s="13"/>
      <c r="R446" s="14">
        <f>+'KY_Res by Plant Acct P16(REG)'!R445</f>
        <v>-859078.92</v>
      </c>
    </row>
    <row r="447" spans="1:18" x14ac:dyDescent="0.2">
      <c r="A447" s="3" t="s">
        <v>4441</v>
      </c>
      <c r="B447" s="14">
        <f>+'KY_Res by Plant Acct P16(REG)'!B446</f>
        <v>-75023.19</v>
      </c>
      <c r="C447" s="13"/>
      <c r="D447" s="14">
        <f>+'KY_Res by Plant Acct P16(REG)'!D446</f>
        <v>-2659.06</v>
      </c>
      <c r="E447" s="13"/>
      <c r="F447" s="14">
        <f>+'KY_Res by Plant Acct P16(REG)'!F446</f>
        <v>32410.2</v>
      </c>
      <c r="G447" s="13"/>
      <c r="H447" s="14">
        <f>+'KY_Res by Plant Acct P16(REG)'!H446</f>
        <v>8519.39</v>
      </c>
      <c r="I447" s="13"/>
      <c r="J447" s="14">
        <f>+'KY_Res by Plant Acct P16(REG)'!J446</f>
        <v>0</v>
      </c>
      <c r="K447" s="13"/>
      <c r="L447" s="14">
        <f>+'KY_Res by Plant Acct P16(REG)'!L446</f>
        <v>0</v>
      </c>
      <c r="M447" s="13"/>
      <c r="N447" s="14">
        <f>+'KY_Res by Plant Acct P16(REG)'!N446</f>
        <v>0</v>
      </c>
      <c r="O447" s="13"/>
      <c r="P447" s="14">
        <f>+'KY_Res by Plant Acct P16(REG)'!P446</f>
        <v>0</v>
      </c>
      <c r="Q447" s="13"/>
      <c r="R447" s="14">
        <f t="shared" si="20"/>
        <v>-36752.660000000003</v>
      </c>
    </row>
    <row r="448" spans="1:18" x14ac:dyDescent="0.2">
      <c r="A448" s="3" t="s">
        <v>4442</v>
      </c>
      <c r="B448" s="14">
        <f>+'KY_Res by Plant Acct P16(REG)'!B447</f>
        <v>0</v>
      </c>
      <c r="C448" s="13"/>
      <c r="D448" s="14">
        <f>+'KY_Res by Plant Acct P16(REG)'!D447</f>
        <v>0</v>
      </c>
      <c r="E448" s="13"/>
      <c r="F448" s="14">
        <f>+'KY_Res by Plant Acct P16(REG)'!F447</f>
        <v>0</v>
      </c>
      <c r="G448" s="13"/>
      <c r="H448" s="14">
        <f>+'KY_Res by Plant Acct P16(REG)'!H447</f>
        <v>0</v>
      </c>
      <c r="I448" s="13"/>
      <c r="J448" s="14">
        <f>+'KY_Res by Plant Acct P16(REG)'!J447</f>
        <v>0</v>
      </c>
      <c r="K448" s="13"/>
      <c r="L448" s="14">
        <f>+'KY_Res by Plant Acct P16(REG)'!L447</f>
        <v>0</v>
      </c>
      <c r="M448" s="13"/>
      <c r="N448" s="14">
        <f>+'KY_Res by Plant Acct P16(REG)'!N447</f>
        <v>0</v>
      </c>
      <c r="O448" s="13"/>
      <c r="P448" s="14">
        <f>+'KY_Res by Plant Acct P16(REG)'!P447</f>
        <v>0</v>
      </c>
      <c r="Q448" s="13"/>
      <c r="R448" s="14">
        <f t="shared" si="20"/>
        <v>0</v>
      </c>
    </row>
    <row r="449" spans="1:18" x14ac:dyDescent="0.2">
      <c r="A449" s="3" t="s">
        <v>4443</v>
      </c>
      <c r="B449" s="14">
        <f>+'KY_Res by Plant Acct P16(REG)'!B448+'VA_Res by Plant Acct P17(REG)'!B47</f>
        <v>-71403710.279999971</v>
      </c>
      <c r="C449" s="13"/>
      <c r="D449" s="14">
        <f>+'KY_Res by Plant Acct P16(REG)'!D448+'VA_Res by Plant Acct P17(REG)'!D47</f>
        <v>-5043652.0200000005</v>
      </c>
      <c r="E449" s="13"/>
      <c r="F449" s="14">
        <f>+'KY_Res by Plant Acct P16(REG)'!F448+'VA_Res by Plant Acct P17(REG)'!F47</f>
        <v>2380835.6399999997</v>
      </c>
      <c r="G449" s="13"/>
      <c r="H449" s="14">
        <f>+'KY_Res by Plant Acct P16(REG)'!H448+'VA_Res by Plant Acct P17(REG)'!H47</f>
        <v>-168803.78</v>
      </c>
      <c r="I449" s="13"/>
      <c r="J449" s="14">
        <f>+'KY_Res by Plant Acct P16(REG)'!J448+'VA_Res by Plant Acct P17(REG)'!J47</f>
        <v>0</v>
      </c>
      <c r="K449" s="13"/>
      <c r="L449" s="14">
        <f>+'KY_Res by Plant Acct P16(REG)'!L448+'VA_Res by Plant Acct P17(REG)'!L47</f>
        <v>693602.61</v>
      </c>
      <c r="M449" s="13"/>
      <c r="N449" s="14">
        <f>+'KY_Res by Plant Acct P16(REG)'!N448+'VA_Res by Plant Acct P17(REG)'!N47</f>
        <v>-10987.85</v>
      </c>
      <c r="O449" s="13"/>
      <c r="P449" s="14">
        <f>+'KY_Res by Plant Acct P16(REG)'!P448+'VA_Res by Plant Acct P17(REG)'!P47</f>
        <v>0</v>
      </c>
      <c r="Q449" s="13"/>
      <c r="R449" s="14">
        <f t="shared" si="20"/>
        <v>-73552715.679999962</v>
      </c>
    </row>
    <row r="450" spans="1:18" x14ac:dyDescent="0.2">
      <c r="A450" s="3" t="s">
        <v>4260</v>
      </c>
      <c r="B450" s="14">
        <f>+'KY_Res by Plant Acct P16(REG)'!B449</f>
        <v>-1.1641532182693481E-10</v>
      </c>
      <c r="C450" s="13"/>
      <c r="D450" s="14">
        <f>+'KY_Res by Plant Acct P16(REG)'!D449</f>
        <v>0</v>
      </c>
      <c r="E450" s="13"/>
      <c r="F450" s="14">
        <f>+'KY_Res by Plant Acct P16(REG)'!F449</f>
        <v>0</v>
      </c>
      <c r="G450" s="13"/>
      <c r="H450" s="14">
        <f>+'KY_Res by Plant Acct P16(REG)'!H449</f>
        <v>0</v>
      </c>
      <c r="I450" s="13"/>
      <c r="J450" s="14">
        <f>+'KY_Res by Plant Acct P16(REG)'!J449</f>
        <v>0</v>
      </c>
      <c r="K450" s="13"/>
      <c r="L450" s="14">
        <f>+'KY_Res by Plant Acct P16(REG)'!L449</f>
        <v>0</v>
      </c>
      <c r="M450" s="13"/>
      <c r="N450" s="14">
        <f>+'KY_Res by Plant Acct P16(REG)'!N449</f>
        <v>0</v>
      </c>
      <c r="O450" s="13"/>
      <c r="P450" s="14">
        <f>+'KY_Res by Plant Acct P16(REG)'!P449</f>
        <v>0</v>
      </c>
      <c r="Q450" s="13"/>
      <c r="R450" s="14">
        <f t="shared" si="20"/>
        <v>-1.1641532182693481E-10</v>
      </c>
    </row>
    <row r="451" spans="1:18" x14ac:dyDescent="0.2">
      <c r="A451" s="3" t="s">
        <v>4261</v>
      </c>
      <c r="B451" s="14">
        <f>+'KY_Res by Plant Acct P16(REG)'!B450</f>
        <v>-9686201.4800000004</v>
      </c>
      <c r="C451" s="13"/>
      <c r="D451" s="14">
        <f>+'KY_Res by Plant Acct P16(REG)'!D450</f>
        <v>0</v>
      </c>
      <c r="E451" s="13"/>
      <c r="F451" s="14">
        <f>+'KY_Res by Plant Acct P16(REG)'!F450</f>
        <v>3949271.49</v>
      </c>
      <c r="G451" s="13"/>
      <c r="H451" s="14">
        <f>+'KY_Res by Plant Acct P16(REG)'!H450</f>
        <v>3555.72</v>
      </c>
      <c r="I451" s="13"/>
      <c r="J451" s="14">
        <f>+'KY_Res by Plant Acct P16(REG)'!J450</f>
        <v>0</v>
      </c>
      <c r="K451" s="13"/>
      <c r="L451" s="14">
        <f>+'KY_Res by Plant Acct P16(REG)'!L450</f>
        <v>7166.25</v>
      </c>
      <c r="M451" s="13"/>
      <c r="N451" s="14">
        <f>+'KY_Res by Plant Acct P16(REG)'!N450</f>
        <v>0</v>
      </c>
      <c r="O451" s="13"/>
      <c r="P451" s="14">
        <f>+'KY_Res by Plant Acct P16(REG)'!P450</f>
        <v>0</v>
      </c>
      <c r="Q451" s="13"/>
      <c r="R451" s="14">
        <f t="shared" si="20"/>
        <v>-5726208.0200000005</v>
      </c>
    </row>
    <row r="452" spans="1:18" outlineLevel="1" x14ac:dyDescent="0.2">
      <c r="A452" s="43" t="s">
        <v>4444</v>
      </c>
      <c r="B452" s="14">
        <f>+'KY_Res by Plant Acct P16(REG)'!B451+'VA_Res by Plant Acct P17(REG)'!B48</f>
        <v>-50144404.949999988</v>
      </c>
      <c r="C452" s="13"/>
      <c r="D452" s="14">
        <f>+'KY_Res by Plant Acct P16(REG)'!D451+'VA_Res by Plant Acct P17(REG)'!D48</f>
        <v>-1180449.31</v>
      </c>
      <c r="E452" s="13"/>
      <c r="F452" s="14">
        <f>+'KY_Res by Plant Acct P16(REG)'!F451+'VA_Res by Plant Acct P17(REG)'!F48</f>
        <v>18956.650000000001</v>
      </c>
      <c r="G452" s="13"/>
      <c r="H452" s="14">
        <f>+'KY_Res by Plant Acct P16(REG)'!H451+'VA_Res by Plant Acct P17(REG)'!H48</f>
        <v>0</v>
      </c>
      <c r="I452" s="13"/>
      <c r="J452" s="14">
        <f>+'KY_Res by Plant Acct P16(REG)'!J451+'VA_Res by Plant Acct P17(REG)'!J48</f>
        <v>0</v>
      </c>
      <c r="K452" s="13"/>
      <c r="L452" s="14">
        <f>+'KY_Res by Plant Acct P16(REG)'!L451+'VA_Res by Plant Acct P17(REG)'!L48</f>
        <v>145665.53999999998</v>
      </c>
      <c r="M452" s="13"/>
      <c r="N452" s="14">
        <f>+'KY_Res by Plant Acct P16(REG)'!N451+'VA_Res by Plant Acct P17(REG)'!N48</f>
        <v>-1517.76</v>
      </c>
      <c r="O452" s="13"/>
      <c r="P452" s="14">
        <f>+'KY_Res by Plant Acct P16(REG)'!P451+'VA_Res by Plant Acct P17(REG)'!P48</f>
        <v>10205.700000000001</v>
      </c>
      <c r="Q452" s="13"/>
      <c r="R452" s="14">
        <f>SUM(B452:P452)</f>
        <v>-51151544.129999988</v>
      </c>
    </row>
    <row r="453" spans="1:18" outlineLevel="1" x14ac:dyDescent="0.2">
      <c r="A453" s="43" t="s">
        <v>4445</v>
      </c>
      <c r="B453" s="14">
        <f>+'KY_Res by Plant Acct P16(REG)'!B452</f>
        <v>-3.637978807091713E-12</v>
      </c>
      <c r="C453" s="13"/>
      <c r="D453" s="14">
        <f>+'KY_Res by Plant Acct P16(REG)'!D452</f>
        <v>0</v>
      </c>
      <c r="E453" s="13"/>
      <c r="F453" s="14">
        <f>+'KY_Res by Plant Acct P16(REG)'!F452</f>
        <v>0</v>
      </c>
      <c r="G453" s="13"/>
      <c r="H453" s="14">
        <f>+'KY_Res by Plant Acct P16(REG)'!H452</f>
        <v>0</v>
      </c>
      <c r="I453" s="13"/>
      <c r="J453" s="14">
        <f>+'KY_Res by Plant Acct P16(REG)'!J452</f>
        <v>0</v>
      </c>
      <c r="K453" s="13"/>
      <c r="L453" s="14">
        <f>+'KY_Res by Plant Acct P16(REG)'!L452</f>
        <v>0</v>
      </c>
      <c r="M453" s="13"/>
      <c r="N453" s="14">
        <f>+'KY_Res by Plant Acct P16(REG)'!N452</f>
        <v>0</v>
      </c>
      <c r="O453" s="13"/>
      <c r="P453" s="14">
        <f>+'KY_Res by Plant Acct P16(REG)'!P452</f>
        <v>0</v>
      </c>
      <c r="Q453" s="13"/>
      <c r="R453" s="14">
        <f>SUM(B453:P453)</f>
        <v>-3.637978807091713E-12</v>
      </c>
    </row>
    <row r="454" spans="1:18" x14ac:dyDescent="0.2">
      <c r="A454" s="3" t="s">
        <v>4446</v>
      </c>
      <c r="B454" s="14">
        <f>SUM(B452:B453)</f>
        <v>-50144404.949999988</v>
      </c>
      <c r="C454" s="13"/>
      <c r="D454" s="14">
        <f>SUM(D452:D453)</f>
        <v>-1180449.31</v>
      </c>
      <c r="E454" s="13"/>
      <c r="F454" s="14">
        <f>SUM(F452:F453)</f>
        <v>18956.650000000001</v>
      </c>
      <c r="G454" s="13"/>
      <c r="H454" s="14">
        <f>SUM(H452:H453)</f>
        <v>0</v>
      </c>
      <c r="I454" s="13"/>
      <c r="J454" s="14">
        <f>SUM(J452:J453)</f>
        <v>0</v>
      </c>
      <c r="K454" s="13"/>
      <c r="L454" s="14">
        <f>SUM(L452:L453)</f>
        <v>145665.53999999998</v>
      </c>
      <c r="M454" s="13"/>
      <c r="N454" s="14">
        <f>SUM(N452:N453)</f>
        <v>-1517.76</v>
      </c>
      <c r="O454" s="13"/>
      <c r="P454" s="14">
        <f>SUM(P452:P453)</f>
        <v>10205.700000000001</v>
      </c>
      <c r="Q454" s="13"/>
      <c r="R454" s="14">
        <f>SUM(R452:R453)</f>
        <v>-51151544.129999988</v>
      </c>
    </row>
    <row r="455" spans="1:18" x14ac:dyDescent="0.2">
      <c r="A455" s="3" t="s">
        <v>4447</v>
      </c>
      <c r="B455" s="14">
        <f>+'KY_Res by Plant Acct P16(REG)'!B454</f>
        <v>0</v>
      </c>
      <c r="C455" s="13"/>
      <c r="D455" s="14">
        <f>+'KY_Res by Plant Acct P16(REG)'!D454</f>
        <v>0</v>
      </c>
      <c r="E455" s="13"/>
      <c r="F455" s="14">
        <f>+'KY_Res by Plant Acct P16(REG)'!F454</f>
        <v>0</v>
      </c>
      <c r="G455" s="13"/>
      <c r="H455" s="14">
        <f>+'KY_Res by Plant Acct P16(REG)'!H454</f>
        <v>0</v>
      </c>
      <c r="I455" s="13"/>
      <c r="J455" s="14">
        <f>+'KY_Res by Plant Acct P16(REG)'!J454</f>
        <v>0</v>
      </c>
      <c r="K455" s="13"/>
      <c r="L455" s="14">
        <f>+'KY_Res by Plant Acct P16(REG)'!L454</f>
        <v>0</v>
      </c>
      <c r="M455" s="13"/>
      <c r="N455" s="14">
        <f>+'KY_Res by Plant Acct P16(REG)'!N454</f>
        <v>0</v>
      </c>
      <c r="O455" s="13"/>
      <c r="P455" s="14">
        <f>+'KY_Res by Plant Acct P16(REG)'!P454</f>
        <v>0</v>
      </c>
      <c r="Q455" s="13"/>
      <c r="R455" s="14">
        <f t="shared" si="20"/>
        <v>0</v>
      </c>
    </row>
    <row r="456" spans="1:18" outlineLevel="1" x14ac:dyDescent="0.2">
      <c r="A456" s="43" t="s">
        <v>4448</v>
      </c>
      <c r="B456" s="14">
        <f>+'KY_Res by Plant Acct P16(REG)'!B455+'VA_Res by Plant Acct P17(REG)'!B49+'TN_Res by Plant Acct P18(REG)'!B26</f>
        <v>-72085316.189999998</v>
      </c>
      <c r="C456" s="13"/>
      <c r="D456" s="14">
        <f>+'KY_Res by Plant Acct P16(REG)'!D455+'VA_Res by Plant Acct P17(REG)'!D49+'TN_Res by Plant Acct P18(REG)'!D26</f>
        <v>-7455823.1400000006</v>
      </c>
      <c r="E456" s="13"/>
      <c r="F456" s="14">
        <f>+'KY_Res by Plant Acct P16(REG)'!F455+'VA_Res by Plant Acct P17(REG)'!F49+'TN_Res by Plant Acct P18(REG)'!F26</f>
        <v>4186406.13</v>
      </c>
      <c r="G456" s="13"/>
      <c r="H456" s="14">
        <f>+'KY_Res by Plant Acct P16(REG)'!H455+'VA_Res by Plant Acct P17(REG)'!H49+'TN_Res by Plant Acct P18(REG)'!H26</f>
        <v>0</v>
      </c>
      <c r="I456" s="13"/>
      <c r="J456" s="14">
        <f>+'KY_Res by Plant Acct P16(REG)'!J455+'VA_Res by Plant Acct P17(REG)'!J49+'TN_Res by Plant Acct P18(REG)'!J26</f>
        <v>0</v>
      </c>
      <c r="K456" s="13"/>
      <c r="L456" s="14">
        <f>+'KY_Res by Plant Acct P16(REG)'!L455+'VA_Res by Plant Acct P17(REG)'!L49+'TN_Res by Plant Acct P18(REG)'!L26</f>
        <v>2730225.93</v>
      </c>
      <c r="M456" s="13"/>
      <c r="N456" s="14">
        <f>+'KY_Res by Plant Acct P16(REG)'!N455+'VA_Res by Plant Acct P17(REG)'!N49+'TN_Res by Plant Acct P18(REG)'!N26</f>
        <v>-8362.9699999999993</v>
      </c>
      <c r="O456" s="13"/>
      <c r="P456" s="14">
        <f>+'KY_Res by Plant Acct P16(REG)'!P455+'VA_Res by Plant Acct P17(REG)'!P49+'TN_Res by Plant Acct P18(REG)'!P26</f>
        <v>-67382.570000000007</v>
      </c>
      <c r="Q456" s="13"/>
      <c r="R456" s="14">
        <f>SUM(B456:P456)</f>
        <v>-72700252.809999987</v>
      </c>
    </row>
    <row r="457" spans="1:18" outlineLevel="1" x14ac:dyDescent="0.2">
      <c r="A457" s="43" t="s">
        <v>4449</v>
      </c>
      <c r="B457" s="14">
        <f>+'KY_Res by Plant Acct P16(REG)'!B456</f>
        <v>0</v>
      </c>
      <c r="C457" s="13"/>
      <c r="D457" s="14">
        <f>+'KY_Res by Plant Acct P16(REG)'!D456</f>
        <v>0</v>
      </c>
      <c r="E457" s="13"/>
      <c r="F457" s="14">
        <f>+'KY_Res by Plant Acct P16(REG)'!F456</f>
        <v>0</v>
      </c>
      <c r="G457" s="13"/>
      <c r="H457" s="14">
        <f>+'KY_Res by Plant Acct P16(REG)'!H456</f>
        <v>0</v>
      </c>
      <c r="I457" s="13"/>
      <c r="J457" s="14">
        <f>+'KY_Res by Plant Acct P16(REG)'!J456</f>
        <v>0</v>
      </c>
      <c r="K457" s="13"/>
      <c r="L457" s="14">
        <f>+'KY_Res by Plant Acct P16(REG)'!L456</f>
        <v>0</v>
      </c>
      <c r="M457" s="13"/>
      <c r="N457" s="14">
        <f>+'KY_Res by Plant Acct P16(REG)'!N456</f>
        <v>0</v>
      </c>
      <c r="O457" s="13"/>
      <c r="P457" s="14">
        <f>+'KY_Res by Plant Acct P16(REG)'!P456</f>
        <v>0</v>
      </c>
      <c r="Q457" s="13"/>
      <c r="R457" s="14">
        <f>SUM(B457:P457)</f>
        <v>0</v>
      </c>
    </row>
    <row r="458" spans="1:18" x14ac:dyDescent="0.2">
      <c r="A458" s="3" t="s">
        <v>4450</v>
      </c>
      <c r="B458" s="14">
        <f>SUM(B456:B457)</f>
        <v>-72085316.189999998</v>
      </c>
      <c r="C458" s="13"/>
      <c r="D458" s="14">
        <f>SUM(D456:D457)</f>
        <v>-7455823.1400000006</v>
      </c>
      <c r="E458" s="13"/>
      <c r="F458" s="14">
        <f>SUM(F456:F457)</f>
        <v>4186406.13</v>
      </c>
      <c r="G458" s="13"/>
      <c r="H458" s="14">
        <f>SUM(H456:H457)</f>
        <v>0</v>
      </c>
      <c r="I458" s="13"/>
      <c r="J458" s="14">
        <f>SUM(J456:J457)</f>
        <v>0</v>
      </c>
      <c r="K458" s="13"/>
      <c r="L458" s="14">
        <f>SUM(L456:L457)</f>
        <v>2730225.93</v>
      </c>
      <c r="M458" s="13"/>
      <c r="N458" s="14">
        <f>SUM(N456:N457)</f>
        <v>-8362.9699999999993</v>
      </c>
      <c r="O458" s="13"/>
      <c r="P458" s="14">
        <f>SUM(P456:P457)</f>
        <v>-67382.570000000007</v>
      </c>
      <c r="Q458" s="13"/>
      <c r="R458" s="14">
        <f>SUM(R456:R457)</f>
        <v>-72700252.809999987</v>
      </c>
    </row>
    <row r="459" spans="1:18" x14ac:dyDescent="0.2">
      <c r="A459" s="3" t="s">
        <v>4451</v>
      </c>
      <c r="B459" s="14">
        <f>+'KY_Res by Plant Acct P16(REG)'!B458</f>
        <v>0</v>
      </c>
      <c r="C459" s="13"/>
      <c r="D459" s="14">
        <f>+'KY_Res by Plant Acct P16(REG)'!D458</f>
        <v>0</v>
      </c>
      <c r="E459" s="13"/>
      <c r="F459" s="14">
        <f>+'KY_Res by Plant Acct P16(REG)'!F458</f>
        <v>0</v>
      </c>
      <c r="G459" s="13"/>
      <c r="H459" s="14">
        <f>+'KY_Res by Plant Acct P16(REG)'!H458</f>
        <v>0</v>
      </c>
      <c r="I459" s="13"/>
      <c r="J459" s="14">
        <f>+'KY_Res by Plant Acct P16(REG)'!J458</f>
        <v>0</v>
      </c>
      <c r="K459" s="13"/>
      <c r="L459" s="14">
        <f>+'KY_Res by Plant Acct P16(REG)'!L458</f>
        <v>0</v>
      </c>
      <c r="M459" s="13"/>
      <c r="N459" s="14">
        <f>+'KY_Res by Plant Acct P16(REG)'!N458</f>
        <v>0</v>
      </c>
      <c r="O459" s="13"/>
      <c r="P459" s="14">
        <f>+'KY_Res by Plant Acct P16(REG)'!P458</f>
        <v>0</v>
      </c>
      <c r="Q459" s="13"/>
      <c r="R459" s="14">
        <f t="shared" si="20"/>
        <v>0</v>
      </c>
    </row>
    <row r="460" spans="1:18" outlineLevel="1" x14ac:dyDescent="0.2">
      <c r="A460" s="43" t="s">
        <v>4452</v>
      </c>
      <c r="B460" s="14">
        <f>+'KY_Res by Plant Acct P16(REG)'!B459+'VA_Res by Plant Acct P17(REG)'!B50+'TN_Res by Plant Acct P18(REG)'!B27</f>
        <v>-113270750.91999999</v>
      </c>
      <c r="C460" s="13"/>
      <c r="D460" s="14">
        <f>+'KY_Res by Plant Acct P16(REG)'!D459+'VA_Res by Plant Acct P17(REG)'!D50+'TN_Res by Plant Acct P18(REG)'!D27</f>
        <v>-4115530.39</v>
      </c>
      <c r="E460" s="13"/>
      <c r="F460" s="14">
        <f>+'KY_Res by Plant Acct P16(REG)'!F459+'VA_Res by Plant Acct P17(REG)'!F50+'TN_Res by Plant Acct P18(REG)'!F27</f>
        <v>2018494.5999999999</v>
      </c>
      <c r="G460" s="13"/>
      <c r="H460" s="14">
        <f>+'KY_Res by Plant Acct P16(REG)'!H459+'VA_Res by Plant Acct P17(REG)'!H50+'TN_Res by Plant Acct P18(REG)'!H27</f>
        <v>0</v>
      </c>
      <c r="I460" s="13"/>
      <c r="J460" s="14">
        <f>+'KY_Res by Plant Acct P16(REG)'!J459+'VA_Res by Plant Acct P17(REG)'!J50+'TN_Res by Plant Acct P18(REG)'!J27</f>
        <v>0</v>
      </c>
      <c r="K460" s="13"/>
      <c r="L460" s="14">
        <f>+'KY_Res by Plant Acct P16(REG)'!L459+'VA_Res by Plant Acct P17(REG)'!L50+'TN_Res by Plant Acct P18(REG)'!L27</f>
        <v>1756357.7200000002</v>
      </c>
      <c r="M460" s="13"/>
      <c r="N460" s="14">
        <f>+'KY_Res by Plant Acct P16(REG)'!N459+'VA_Res by Plant Acct P17(REG)'!N50+'TN_Res by Plant Acct P18(REG)'!N27</f>
        <v>-29985.54</v>
      </c>
      <c r="O460" s="13"/>
      <c r="P460" s="14">
        <f>+'KY_Res by Plant Acct P16(REG)'!P459+'VA_Res by Plant Acct P17(REG)'!P50+'TN_Res by Plant Acct P18(REG)'!P27</f>
        <v>-242132.8</v>
      </c>
      <c r="Q460" s="13"/>
      <c r="R460" s="14">
        <f>SUM(B460:P460)</f>
        <v>-113883547.33</v>
      </c>
    </row>
    <row r="461" spans="1:18" outlineLevel="1" x14ac:dyDescent="0.2">
      <c r="A461" s="43" t="s">
        <v>4453</v>
      </c>
      <c r="B461" s="14">
        <f>+'KY_Res by Plant Acct P16(REG)'!B460</f>
        <v>0</v>
      </c>
      <c r="C461" s="13"/>
      <c r="D461" s="14">
        <f>+'KY_Res by Plant Acct P16(REG)'!D460</f>
        <v>0</v>
      </c>
      <c r="E461" s="13"/>
      <c r="F461" s="14">
        <f>+'KY_Res by Plant Acct P16(REG)'!F460</f>
        <v>0</v>
      </c>
      <c r="G461" s="13"/>
      <c r="H461" s="14">
        <f>+'KY_Res by Plant Acct P16(REG)'!H460</f>
        <v>0</v>
      </c>
      <c r="I461" s="13"/>
      <c r="J461" s="14">
        <f>+'KY_Res by Plant Acct P16(REG)'!J460</f>
        <v>0</v>
      </c>
      <c r="K461" s="13"/>
      <c r="L461" s="14">
        <f>+'KY_Res by Plant Acct P16(REG)'!L460</f>
        <v>0</v>
      </c>
      <c r="M461" s="13"/>
      <c r="N461" s="14">
        <f>+'KY_Res by Plant Acct P16(REG)'!N460</f>
        <v>0</v>
      </c>
      <c r="O461" s="13"/>
      <c r="P461" s="14">
        <f>+'KY_Res by Plant Acct P16(REG)'!P460</f>
        <v>0</v>
      </c>
      <c r="Q461" s="13"/>
      <c r="R461" s="14">
        <f>SUM(B461:P461)</f>
        <v>0</v>
      </c>
    </row>
    <row r="462" spans="1:18" x14ac:dyDescent="0.2">
      <c r="A462" s="3" t="s">
        <v>4454</v>
      </c>
      <c r="B462" s="14">
        <f>SUM(B460:B461)</f>
        <v>-113270750.91999999</v>
      </c>
      <c r="C462" s="13"/>
      <c r="D462" s="14">
        <f>SUM(D460:D461)</f>
        <v>-4115530.39</v>
      </c>
      <c r="E462" s="13"/>
      <c r="F462" s="14">
        <f>SUM(F460:F461)</f>
        <v>2018494.5999999999</v>
      </c>
      <c r="G462" s="13"/>
      <c r="H462" s="14">
        <f>SUM(H460:H461)</f>
        <v>0</v>
      </c>
      <c r="I462" s="13"/>
      <c r="J462" s="14">
        <f>SUM(J460:J461)</f>
        <v>0</v>
      </c>
      <c r="K462" s="13"/>
      <c r="L462" s="14">
        <f>SUM(L460:L461)</f>
        <v>1756357.7200000002</v>
      </c>
      <c r="M462" s="13"/>
      <c r="N462" s="14">
        <f>SUM(N460:N461)</f>
        <v>-29985.54</v>
      </c>
      <c r="O462" s="13"/>
      <c r="P462" s="14">
        <f>SUM(P460:P461)</f>
        <v>-242132.8</v>
      </c>
      <c r="Q462" s="13"/>
      <c r="R462" s="14">
        <f>SUM(R460:R461)</f>
        <v>-113883547.33</v>
      </c>
    </row>
    <row r="463" spans="1:18" x14ac:dyDescent="0.2">
      <c r="A463" s="3" t="s">
        <v>4455</v>
      </c>
      <c r="B463" s="14">
        <f>+'KY_Res by Plant Acct P16(REG)'!B462+'VA_Res by Plant Acct P17(REG)'!B51</f>
        <v>-239832.58999999997</v>
      </c>
      <c r="C463" s="13"/>
      <c r="D463" s="14">
        <f>+'KY_Res by Plant Acct P16(REG)'!D462+'VA_Res by Plant Acct P17(REG)'!D51</f>
        <v>-8907.84</v>
      </c>
      <c r="E463" s="13"/>
      <c r="F463" s="14">
        <f>+'KY_Res by Plant Acct P16(REG)'!F462+'VA_Res by Plant Acct P17(REG)'!F51</f>
        <v>0</v>
      </c>
      <c r="G463" s="13"/>
      <c r="H463" s="14">
        <f>+'KY_Res by Plant Acct P16(REG)'!H462+'VA_Res by Plant Acct P17(REG)'!H51</f>
        <v>0</v>
      </c>
      <c r="I463" s="13"/>
      <c r="J463" s="14">
        <f>+'KY_Res by Plant Acct P16(REG)'!J462+'VA_Res by Plant Acct P17(REG)'!J51</f>
        <v>0</v>
      </c>
      <c r="K463" s="13"/>
      <c r="L463" s="14">
        <f>+'KY_Res by Plant Acct P16(REG)'!L462+'VA_Res by Plant Acct P17(REG)'!L51</f>
        <v>0</v>
      </c>
      <c r="M463" s="13"/>
      <c r="N463" s="14">
        <f>+'KY_Res by Plant Acct P16(REG)'!N462+'VA_Res by Plant Acct P17(REG)'!N51</f>
        <v>0</v>
      </c>
      <c r="O463" s="13"/>
      <c r="P463" s="14">
        <f>+'KY_Res by Plant Acct P16(REG)'!P462+'VA_Res by Plant Acct P17(REG)'!P51</f>
        <v>0</v>
      </c>
      <c r="Q463" s="13"/>
      <c r="R463" s="14">
        <f t="shared" si="20"/>
        <v>-248740.42999999996</v>
      </c>
    </row>
    <row r="464" spans="1:18" x14ac:dyDescent="0.2">
      <c r="A464" s="3" t="s">
        <v>4456</v>
      </c>
      <c r="B464" s="14">
        <f>+'KY_Res by Plant Acct P16(REG)'!B463+'VA_Res by Plant Acct P17(REG)'!B52</f>
        <v>-961757.24000000011</v>
      </c>
      <c r="C464" s="13"/>
      <c r="D464" s="14">
        <f>+'KY_Res by Plant Acct P16(REG)'!D463+'VA_Res by Plant Acct P17(REG)'!D52</f>
        <v>-10148.030000000001</v>
      </c>
      <c r="E464" s="13"/>
      <c r="F464" s="14">
        <f>+'KY_Res by Plant Acct P16(REG)'!F463+'VA_Res by Plant Acct P17(REG)'!F52</f>
        <v>566.96</v>
      </c>
      <c r="G464" s="13"/>
      <c r="H464" s="14">
        <f>+'KY_Res by Plant Acct P16(REG)'!H463+'VA_Res by Plant Acct P17(REG)'!H52</f>
        <v>0</v>
      </c>
      <c r="I464" s="13"/>
      <c r="J464" s="14">
        <f>+'KY_Res by Plant Acct P16(REG)'!J463+'VA_Res by Plant Acct P17(REG)'!J52</f>
        <v>0</v>
      </c>
      <c r="K464" s="13"/>
      <c r="L464" s="14">
        <f>+'KY_Res by Plant Acct P16(REG)'!L463+'VA_Res by Plant Acct P17(REG)'!L52</f>
        <v>22584.33</v>
      </c>
      <c r="M464" s="13"/>
      <c r="N464" s="14">
        <f>+'KY_Res by Plant Acct P16(REG)'!N463+'VA_Res by Plant Acct P17(REG)'!N52</f>
        <v>0</v>
      </c>
      <c r="O464" s="13"/>
      <c r="P464" s="14">
        <f>+'KY_Res by Plant Acct P16(REG)'!P463+'VA_Res by Plant Acct P17(REG)'!P52</f>
        <v>0</v>
      </c>
      <c r="Q464" s="13"/>
      <c r="R464" s="14">
        <f t="shared" si="20"/>
        <v>-948753.98000000021</v>
      </c>
    </row>
    <row r="465" spans="1:18" x14ac:dyDescent="0.2">
      <c r="A465" s="3" t="s">
        <v>4275</v>
      </c>
      <c r="B465" s="14">
        <f>+'KY_Res by Plant Acct P16(REG)'!B464</f>
        <v>-4894.1000000000004</v>
      </c>
      <c r="C465" s="13"/>
      <c r="D465" s="14">
        <f>+'KY_Res by Plant Acct P16(REG)'!D464</f>
        <v>-1136.8499999999999</v>
      </c>
      <c r="E465" s="13"/>
      <c r="F465" s="14">
        <f>+'KY_Res by Plant Acct P16(REG)'!F464</f>
        <v>0</v>
      </c>
      <c r="G465" s="13"/>
      <c r="H465" s="14">
        <f>+'KY_Res by Plant Acct P16(REG)'!H464</f>
        <v>0</v>
      </c>
      <c r="I465" s="13"/>
      <c r="J465" s="14">
        <f>+'KY_Res by Plant Acct P16(REG)'!J464</f>
        <v>0</v>
      </c>
      <c r="K465" s="13"/>
      <c r="L465" s="14">
        <f>+'KY_Res by Plant Acct P16(REG)'!L464</f>
        <v>0</v>
      </c>
      <c r="M465" s="13"/>
      <c r="N465" s="14">
        <f>+'KY_Res by Plant Acct P16(REG)'!N464</f>
        <v>0</v>
      </c>
      <c r="O465" s="13"/>
      <c r="P465" s="14">
        <f>+'KY_Res by Plant Acct P16(REG)'!P464</f>
        <v>0</v>
      </c>
      <c r="Q465" s="13"/>
      <c r="R465" s="14">
        <f t="shared" si="20"/>
        <v>-6030.9500000000007</v>
      </c>
    </row>
    <row r="466" spans="1:18" x14ac:dyDescent="0.2">
      <c r="A466" s="3" t="s">
        <v>4276</v>
      </c>
      <c r="B466" s="16">
        <f>+'KY_Res by Plant Acct P16(REG)'!B465</f>
        <v>-48810.01</v>
      </c>
      <c r="C466" s="13"/>
      <c r="D466" s="16">
        <f>+'KY_Res by Plant Acct P16(REG)'!D465</f>
        <v>-18126.72</v>
      </c>
      <c r="E466" s="13"/>
      <c r="F466" s="16">
        <f>+'KY_Res by Plant Acct P16(REG)'!F465</f>
        <v>0</v>
      </c>
      <c r="G466" s="13"/>
      <c r="H466" s="16">
        <f>+'KY_Res by Plant Acct P16(REG)'!H465</f>
        <v>0</v>
      </c>
      <c r="I466" s="13"/>
      <c r="J466" s="16">
        <f>+'KY_Res by Plant Acct P16(REG)'!J465</f>
        <v>0</v>
      </c>
      <c r="K466" s="13"/>
      <c r="L466" s="16">
        <f>+'KY_Res by Plant Acct P16(REG)'!L465</f>
        <v>0</v>
      </c>
      <c r="M466" s="13"/>
      <c r="N466" s="16">
        <f>+'KY_Res by Plant Acct P16(REG)'!N465</f>
        <v>0</v>
      </c>
      <c r="O466" s="13"/>
      <c r="P466" s="16">
        <f>+'KY_Res by Plant Acct P16(REG)'!P465</f>
        <v>0</v>
      </c>
      <c r="Q466" s="13"/>
      <c r="R466" s="16">
        <f t="shared" si="20"/>
        <v>-66936.73000000001</v>
      </c>
    </row>
    <row r="467" spans="1:18" x14ac:dyDescent="0.2">
      <c r="A467" s="3" t="s">
        <v>4277</v>
      </c>
      <c r="B467" s="17">
        <f>SUM(B441:B451)+SUM(B454:B455)+SUM(B458:B459)+SUM(B462:B466)</f>
        <v>-342110340.48999995</v>
      </c>
      <c r="C467" s="13"/>
      <c r="D467" s="17">
        <f>SUM(D441:D451)+SUM(D454:D455)+SUM(D458:D459)+SUM(D462:D466)</f>
        <v>-18600054.190000001</v>
      </c>
      <c r="E467" s="13"/>
      <c r="F467" s="17">
        <f>SUM(F441:F451)+SUM(F454:F455)+SUM(F458:F459)+SUM(F462:F466)</f>
        <v>12699756.270000001</v>
      </c>
      <c r="G467" s="13"/>
      <c r="H467" s="17">
        <f>SUM(H441:H451)+SUM(H454:H455)+SUM(H458:H459)+SUM(H462:H466)</f>
        <v>-167592.1</v>
      </c>
      <c r="I467" s="13"/>
      <c r="J467" s="17">
        <f>SUM(J441:J451)+SUM(J454:J455)+SUM(J458:J459)+SUM(J462:J466)</f>
        <v>0</v>
      </c>
      <c r="K467" s="13"/>
      <c r="L467" s="17">
        <f>SUM(L441:L451)+SUM(L454:L455)+SUM(L458:L459)+SUM(L462:L466)</f>
        <v>5457492.2100000009</v>
      </c>
      <c r="M467" s="13"/>
      <c r="N467" s="17">
        <f>SUM(N441:N451)+SUM(N454:N455)+SUM(N458:N459)+SUM(N462:N466)</f>
        <v>-52231.96</v>
      </c>
      <c r="O467" s="13"/>
      <c r="P467" s="17">
        <f>SUM(P441:P451)+SUM(P454:P455)+SUM(P458:P459)+SUM(P462:P466)</f>
        <v>-299309.67</v>
      </c>
      <c r="Q467" s="13"/>
      <c r="R467" s="17">
        <f>SUM(R441:R451)+SUM(R454:R455)+SUM(R458:R459)+SUM(R462:R466)</f>
        <v>-343072279.92999995</v>
      </c>
    </row>
    <row r="468" spans="1:18" x14ac:dyDescent="0.2">
      <c r="C468" s="13"/>
      <c r="E468" s="13"/>
      <c r="G468" s="13"/>
      <c r="I468" s="13"/>
      <c r="J468" s="17"/>
      <c r="K468" s="13"/>
      <c r="M468" s="13"/>
      <c r="O468" s="13"/>
      <c r="Q468" s="13"/>
    </row>
    <row r="469" spans="1:18" x14ac:dyDescent="0.2">
      <c r="C469" s="13"/>
      <c r="E469" s="13"/>
      <c r="G469" s="13"/>
      <c r="I469" s="13"/>
      <c r="K469" s="13"/>
      <c r="M469" s="13"/>
      <c r="O469" s="13"/>
      <c r="Q469" s="13"/>
    </row>
    <row r="470" spans="1:18" ht="13.5" thickBot="1" x14ac:dyDescent="0.25">
      <c r="A470" s="12" t="s">
        <v>4278</v>
      </c>
      <c r="B470" s="78">
        <f>B467+B438+B221+B94+B83+B34</f>
        <v>-3026777033.1100006</v>
      </c>
      <c r="C470" s="13"/>
      <c r="D470" s="78">
        <f>D467+D438+D221+D94+D83+D34</f>
        <v>-261101664.80999997</v>
      </c>
      <c r="E470" s="13"/>
      <c r="F470" s="78">
        <f>F467+F438+F221+F94+F83+F34</f>
        <v>61543085.240000002</v>
      </c>
      <c r="G470" s="13"/>
      <c r="H470" s="78">
        <f>H467+H438+H221+H94+H83+H34</f>
        <v>-27637.859999999928</v>
      </c>
      <c r="I470" s="13"/>
      <c r="J470" s="78">
        <f>J467+J438+J221+J94+J83+J34</f>
        <v>0</v>
      </c>
      <c r="K470" s="13"/>
      <c r="L470" s="78">
        <f>L467+L438+L221+L94+L83+L34</f>
        <v>20988359.449999996</v>
      </c>
      <c r="M470" s="13"/>
      <c r="N470" s="78">
        <f>N467+N438+N221+N94+N83+N34</f>
        <v>-606025.3899999999</v>
      </c>
      <c r="O470" s="13"/>
      <c r="P470" s="78">
        <f>P467+P438+P221+P94+P83+P34</f>
        <v>-920564.51</v>
      </c>
      <c r="Q470" s="13"/>
      <c r="R470" s="78">
        <f>R467+R438+R221+R94+R83+R34</f>
        <v>-3206901480.9899988</v>
      </c>
    </row>
    <row r="471" spans="1:18" ht="13.5" thickTop="1" x14ac:dyDescent="0.2">
      <c r="C471" s="13"/>
      <c r="E471" s="13"/>
      <c r="G471" s="13"/>
      <c r="I471" s="13"/>
      <c r="K471" s="13"/>
      <c r="M471" s="13"/>
      <c r="O471" s="13"/>
      <c r="Q471" s="13"/>
    </row>
    <row r="472" spans="1:18" x14ac:dyDescent="0.2">
      <c r="C472" s="13"/>
      <c r="E472" s="13"/>
      <c r="G472" s="13"/>
      <c r="I472" s="13"/>
      <c r="K472" s="13"/>
      <c r="M472" s="13"/>
      <c r="O472" s="13"/>
      <c r="Q472" s="13"/>
    </row>
    <row r="473" spans="1:18" x14ac:dyDescent="0.2">
      <c r="A473" s="12" t="s">
        <v>15</v>
      </c>
      <c r="C473" s="13"/>
      <c r="E473" s="13"/>
      <c r="G473" s="13"/>
      <c r="I473" s="13"/>
      <c r="K473" s="13"/>
      <c r="M473" s="13"/>
      <c r="O473" s="13"/>
      <c r="Q473" s="13"/>
    </row>
    <row r="474" spans="1:18" x14ac:dyDescent="0.2">
      <c r="A474" s="3" t="s">
        <v>4457</v>
      </c>
      <c r="B474" s="14">
        <f>+'KY_Res by Plant Acct P16(REG)'!B473</f>
        <v>0</v>
      </c>
      <c r="C474" s="13"/>
      <c r="D474" s="14">
        <f>+'KY_Res by Plant Acct P16(REG)'!D473</f>
        <v>0</v>
      </c>
      <c r="E474" s="13"/>
      <c r="F474" s="14">
        <f>+'KY_Res by Plant Acct P16(REG)'!F473</f>
        <v>0</v>
      </c>
      <c r="G474" s="13"/>
      <c r="H474" s="14">
        <f>+'KY_Res by Plant Acct P16(REG)'!H473</f>
        <v>0</v>
      </c>
      <c r="I474" s="13"/>
      <c r="J474" s="14">
        <f>+'KY_Res by Plant Acct P16(REG)'!J473</f>
        <v>0</v>
      </c>
      <c r="K474" s="13"/>
      <c r="L474" s="14">
        <f>+'KY_Res by Plant Acct P16(REG)'!L473</f>
        <v>0</v>
      </c>
      <c r="M474" s="13"/>
      <c r="N474" s="14">
        <f>+'KY_Res by Plant Acct P16(REG)'!N473</f>
        <v>0</v>
      </c>
      <c r="O474" s="13"/>
      <c r="P474" s="14">
        <f>+'KY_Res by Plant Acct P16(REG)'!P473</f>
        <v>0</v>
      </c>
      <c r="Q474" s="13"/>
      <c r="R474" s="14">
        <f>SUM(B474:P474)</f>
        <v>0</v>
      </c>
    </row>
    <row r="475" spans="1:18" x14ac:dyDescent="0.2">
      <c r="A475" s="3" t="s">
        <v>4280</v>
      </c>
      <c r="B475" s="14">
        <f>+'KY_Res by Plant Acct P16(REG)'!B474</f>
        <v>-76540.789999999994</v>
      </c>
      <c r="C475" s="13"/>
      <c r="D475" s="14">
        <f>+'KY_Res by Plant Acct P16(REG)'!D474</f>
        <v>-6265.68</v>
      </c>
      <c r="E475" s="13"/>
      <c r="F475" s="14">
        <f>+'KY_Res by Plant Acct P16(REG)'!F474</f>
        <v>0</v>
      </c>
      <c r="G475" s="13"/>
      <c r="H475" s="14">
        <f>+'KY_Res by Plant Acct P16(REG)'!H474</f>
        <v>0</v>
      </c>
      <c r="I475" s="13"/>
      <c r="J475" s="14">
        <f>+'KY_Res by Plant Acct P16(REG)'!J474</f>
        <v>0</v>
      </c>
      <c r="K475" s="13"/>
      <c r="L475" s="14">
        <f>+'KY_Res by Plant Acct P16(REG)'!L474</f>
        <v>0</v>
      </c>
      <c r="M475" s="13"/>
      <c r="N475" s="14">
        <f>+'KY_Res by Plant Acct P16(REG)'!N474</f>
        <v>0</v>
      </c>
      <c r="O475" s="13"/>
      <c r="P475" s="14">
        <f>+'KY_Res by Plant Acct P16(REG)'!P474</f>
        <v>0</v>
      </c>
      <c r="Q475" s="13"/>
      <c r="R475" s="14">
        <f>SUM(B475:P475)</f>
        <v>-82806.47</v>
      </c>
    </row>
    <row r="476" spans="1:18" x14ac:dyDescent="0.2">
      <c r="A476" s="3" t="s">
        <v>4281</v>
      </c>
      <c r="B476" s="14">
        <f>+'KY_Res by Plant Acct P16(REG)'!B475</f>
        <v>13461</v>
      </c>
      <c r="C476" s="13"/>
      <c r="D476" s="14">
        <f>+'KY_Res by Plant Acct P16(REG)'!D475</f>
        <v>0</v>
      </c>
      <c r="E476" s="13"/>
      <c r="F476" s="14">
        <f>+'KY_Res by Plant Acct P16(REG)'!F475</f>
        <v>0</v>
      </c>
      <c r="G476" s="13"/>
      <c r="H476" s="14">
        <f>+'KY_Res by Plant Acct P16(REG)'!H475</f>
        <v>0</v>
      </c>
      <c r="I476" s="13"/>
      <c r="J476" s="14">
        <f>+'KY_Res by Plant Acct P16(REG)'!J475</f>
        <v>0</v>
      </c>
      <c r="K476" s="13"/>
      <c r="L476" s="14">
        <f>+'KY_Res by Plant Acct P16(REG)'!L475</f>
        <v>0</v>
      </c>
      <c r="M476" s="13"/>
      <c r="N476" s="14">
        <f>+'KY_Res by Plant Acct P16(REG)'!N475</f>
        <v>0</v>
      </c>
      <c r="O476" s="13"/>
      <c r="P476" s="14">
        <f>+'KY_Res by Plant Acct P16(REG)'!P475</f>
        <v>0</v>
      </c>
      <c r="Q476" s="13"/>
      <c r="R476" s="14">
        <f>SUM(B476:P476)</f>
        <v>13461</v>
      </c>
    </row>
    <row r="477" spans="1:18" x14ac:dyDescent="0.2">
      <c r="A477" s="3" t="s">
        <v>4282</v>
      </c>
      <c r="B477" s="17">
        <f>+'KY_Res by Plant Acct P16(REG)'!B476</f>
        <v>-19867146.920000002</v>
      </c>
      <c r="C477" s="94"/>
      <c r="D477" s="17">
        <f>+'KY_Res by Plant Acct P16(REG)'!D476</f>
        <v>-10561804.689999999</v>
      </c>
      <c r="E477" s="94"/>
      <c r="F477" s="17">
        <f>+'KY_Res by Plant Acct P16(REG)'!F476</f>
        <v>7464577.3600000003</v>
      </c>
      <c r="G477" s="94"/>
      <c r="H477" s="17">
        <f>+'KY_Res by Plant Acct P16(REG)'!H476</f>
        <v>0</v>
      </c>
      <c r="I477" s="94"/>
      <c r="J477" s="17">
        <f>+'KY_Res by Plant Acct P16(REG)'!J476</f>
        <v>0</v>
      </c>
      <c r="K477" s="94"/>
      <c r="L477" s="17">
        <f>+'KY_Res by Plant Acct P16(REG)'!L476</f>
        <v>0</v>
      </c>
      <c r="M477" s="94"/>
      <c r="N477" s="17">
        <f>+'KY_Res by Plant Acct P16(REG)'!N476</f>
        <v>0</v>
      </c>
      <c r="O477" s="94"/>
      <c r="P477" s="17">
        <f>+'KY_Res by Plant Acct P16(REG)'!P476</f>
        <v>0</v>
      </c>
      <c r="Q477" s="94"/>
      <c r="R477" s="17">
        <f>SUM(B477:P477)</f>
        <v>-22964374.25</v>
      </c>
    </row>
    <row r="478" spans="1:18" x14ac:dyDescent="0.2">
      <c r="A478" s="3" t="s">
        <v>4283</v>
      </c>
      <c r="B478" s="16">
        <f>+'KY_Res by Plant Acct P16(REG)'!B477</f>
        <v>-30666797.129999999</v>
      </c>
      <c r="C478" s="13"/>
      <c r="D478" s="16">
        <f>+'KY_Res by Plant Acct P16(REG)'!D477</f>
        <v>-5004142.38</v>
      </c>
      <c r="E478" s="13"/>
      <c r="F478" s="16">
        <f>+'KY_Res by Plant Acct P16(REG)'!F477</f>
        <v>0</v>
      </c>
      <c r="G478" s="13"/>
      <c r="H478" s="16">
        <f>+'KY_Res by Plant Acct P16(REG)'!H477</f>
        <v>0</v>
      </c>
      <c r="I478" s="13"/>
      <c r="J478" s="16">
        <f>+'KY_Res by Plant Acct P16(REG)'!J477</f>
        <v>0</v>
      </c>
      <c r="K478" s="13"/>
      <c r="L478" s="16">
        <f>+'KY_Res by Plant Acct P16(REG)'!L477</f>
        <v>0</v>
      </c>
      <c r="M478" s="13"/>
      <c r="N478" s="16">
        <f>+'KY_Res by Plant Acct P16(REG)'!N477</f>
        <v>0</v>
      </c>
      <c r="O478" s="13"/>
      <c r="P478" s="16">
        <f>+'KY_Res by Plant Acct P16(REG)'!P477</f>
        <v>0</v>
      </c>
      <c r="Q478" s="13"/>
      <c r="R478" s="16">
        <f>SUM(B478:P478)</f>
        <v>-35670939.509999998</v>
      </c>
    </row>
    <row r="479" spans="1:18" x14ac:dyDescent="0.2">
      <c r="A479" s="3" t="s">
        <v>4284</v>
      </c>
      <c r="B479" s="17">
        <f>SUM(B474:B478)</f>
        <v>-50597023.840000004</v>
      </c>
      <c r="C479" s="13"/>
      <c r="D479" s="17">
        <f>SUM(D474:D478)</f>
        <v>-15572212.75</v>
      </c>
      <c r="E479" s="13"/>
      <c r="F479" s="17">
        <f>SUM(F474:F478)</f>
        <v>7464577.3600000003</v>
      </c>
      <c r="G479" s="13"/>
      <c r="H479" s="17">
        <f>SUM(H474:H478)</f>
        <v>0</v>
      </c>
      <c r="I479" s="13"/>
      <c r="J479" s="17">
        <f>SUM(J474:J478)</f>
        <v>0</v>
      </c>
      <c r="K479" s="13"/>
      <c r="L479" s="17">
        <f>SUM(L474:L478)</f>
        <v>0</v>
      </c>
      <c r="M479" s="13"/>
      <c r="N479" s="17">
        <f>SUM(N474:N478)</f>
        <v>0</v>
      </c>
      <c r="O479" s="13"/>
      <c r="P479" s="17">
        <f>SUM(P474:P478)</f>
        <v>0</v>
      </c>
      <c r="Q479" s="13"/>
      <c r="R479" s="17">
        <f>SUM(R474:R478)</f>
        <v>-58704659.229999997</v>
      </c>
    </row>
    <row r="480" spans="1:18" x14ac:dyDescent="0.2">
      <c r="C480" s="13"/>
      <c r="E480" s="13"/>
      <c r="G480" s="13"/>
      <c r="I480" s="13"/>
      <c r="K480" s="13"/>
      <c r="M480" s="13"/>
      <c r="O480" s="13"/>
      <c r="Q480" s="13"/>
    </row>
    <row r="481" spans="1:18" x14ac:dyDescent="0.2">
      <c r="C481" s="13"/>
      <c r="E481" s="13"/>
      <c r="G481" s="13"/>
      <c r="I481" s="13"/>
      <c r="K481" s="13"/>
      <c r="M481" s="13"/>
      <c r="O481" s="13"/>
      <c r="Q481" s="13"/>
    </row>
    <row r="482" spans="1:18" ht="13.5" thickBot="1" x14ac:dyDescent="0.25">
      <c r="A482" s="12" t="s">
        <v>4285</v>
      </c>
      <c r="B482" s="78">
        <f>B479</f>
        <v>-50597023.840000004</v>
      </c>
      <c r="C482" s="13"/>
      <c r="D482" s="78">
        <f>D479</f>
        <v>-15572212.75</v>
      </c>
      <c r="E482" s="13"/>
      <c r="F482" s="78">
        <f>F479</f>
        <v>7464577.3600000003</v>
      </c>
      <c r="G482" s="13"/>
      <c r="H482" s="78">
        <f>H479</f>
        <v>0</v>
      </c>
      <c r="I482" s="13"/>
      <c r="J482" s="78">
        <f>J479</f>
        <v>0</v>
      </c>
      <c r="K482" s="13"/>
      <c r="L482" s="78">
        <f>L479</f>
        <v>0</v>
      </c>
      <c r="M482" s="13"/>
      <c r="N482" s="78">
        <f>N479</f>
        <v>0</v>
      </c>
      <c r="O482" s="13"/>
      <c r="P482" s="78">
        <f>P479</f>
        <v>0</v>
      </c>
      <c r="Q482" s="13"/>
      <c r="R482" s="78">
        <f>R479</f>
        <v>-58704659.229999997</v>
      </c>
    </row>
    <row r="483" spans="1:18" ht="13.5" thickTop="1" x14ac:dyDescent="0.2"/>
  </sheetData>
  <mergeCells count="3">
    <mergeCell ref="A1:R1"/>
    <mergeCell ref="A2:R2"/>
    <mergeCell ref="A3:R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sqref="A1:N1"/>
    </sheetView>
  </sheetViews>
  <sheetFormatPr defaultRowHeight="12.75" x14ac:dyDescent="0.2"/>
  <cols>
    <col min="1" max="2" width="9.140625" style="3"/>
    <col min="3" max="3" width="14" style="3" bestFit="1" customWidth="1"/>
    <col min="4" max="4" width="2.140625" style="3" customWidth="1"/>
    <col min="5" max="5" width="9.85546875" style="3" bestFit="1" customWidth="1"/>
    <col min="6" max="6" width="1.5703125" style="3" customWidth="1"/>
    <col min="7" max="7" width="13.140625" style="3" bestFit="1" customWidth="1"/>
    <col min="8" max="8" width="2.140625" style="3" customWidth="1"/>
    <col min="9" max="9" width="13.28515625" style="3" bestFit="1" customWidth="1"/>
    <col min="10" max="10" width="1.42578125" style="3" customWidth="1"/>
    <col min="11" max="11" width="12.85546875" style="3" bestFit="1" customWidth="1"/>
    <col min="12" max="12" width="1.7109375" style="3" customWidth="1"/>
    <col min="13" max="13" width="14.5703125" style="3" bestFit="1" customWidth="1"/>
    <col min="14" max="14" width="1.85546875" style="3" customWidth="1"/>
    <col min="15" max="15" width="17" style="3" bestFit="1" customWidth="1"/>
    <col min="16" max="16" width="1.7109375" style="3" customWidth="1"/>
    <col min="17" max="17" width="13.5703125" style="3" bestFit="1" customWidth="1"/>
    <col min="18" max="18" width="1.28515625" style="3" customWidth="1"/>
    <col min="19" max="19" width="14.140625" style="3" bestFit="1" customWidth="1"/>
    <col min="20" max="20" width="2.140625" style="3" customWidth="1"/>
    <col min="21" max="21" width="14" style="3" bestFit="1" customWidth="1"/>
    <col min="22" max="22" width="11.28515625" style="3" bestFit="1" customWidth="1"/>
    <col min="23" max="23" width="18.5703125" style="3" bestFit="1" customWidth="1"/>
    <col min="24" max="16384" width="9.140625" style="3"/>
  </cols>
  <sheetData>
    <row r="1" spans="1:22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2" x14ac:dyDescent="0.2">
      <c r="A2" s="95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2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x14ac:dyDescent="0.2">
      <c r="C6" s="25" t="s">
        <v>2</v>
      </c>
      <c r="E6" s="19"/>
      <c r="G6" s="19"/>
      <c r="I6" s="25" t="s">
        <v>3</v>
      </c>
      <c r="J6" s="25"/>
      <c r="K6" s="25" t="s">
        <v>37</v>
      </c>
      <c r="M6" s="25" t="s">
        <v>38</v>
      </c>
      <c r="O6" s="25"/>
      <c r="Q6" s="25"/>
      <c r="S6" s="25"/>
      <c r="U6" s="25" t="s">
        <v>4</v>
      </c>
    </row>
    <row r="7" spans="1:22" x14ac:dyDescent="0.2">
      <c r="C7" s="10" t="s">
        <v>5</v>
      </c>
      <c r="E7" s="10" t="s">
        <v>39</v>
      </c>
      <c r="G7" s="10" t="s">
        <v>7</v>
      </c>
      <c r="I7" s="10" t="s">
        <v>8</v>
      </c>
      <c r="J7" s="11"/>
      <c r="K7" s="10" t="s">
        <v>40</v>
      </c>
      <c r="M7" s="10" t="s">
        <v>41</v>
      </c>
      <c r="O7" s="10" t="s">
        <v>42</v>
      </c>
      <c r="Q7" s="10" t="s">
        <v>43</v>
      </c>
      <c r="S7" s="10" t="s">
        <v>44</v>
      </c>
      <c r="U7" s="10" t="s">
        <v>5</v>
      </c>
    </row>
    <row r="9" spans="1:22" ht="13.5" customHeight="1" x14ac:dyDescent="0.2">
      <c r="A9" s="12" t="s">
        <v>54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2" x14ac:dyDescent="0.2">
      <c r="B10" s="3" t="s">
        <v>11</v>
      </c>
      <c r="C10" s="19">
        <f>'KU_Summary - Reserve - P2 (REG)'!C60</f>
        <v>26176244.770000018</v>
      </c>
      <c r="D10" s="19"/>
      <c r="E10" s="19">
        <v>0</v>
      </c>
      <c r="F10" s="19"/>
      <c r="G10" s="19">
        <v>0</v>
      </c>
      <c r="H10" s="19"/>
      <c r="I10" s="19">
        <f>'KU_Summary - Reserve - P2 (REG)'!I60</f>
        <v>19720.13</v>
      </c>
      <c r="J10" s="19"/>
      <c r="K10" s="19">
        <f>'KU_Summary - Reserve - P2 (REG)'!K60</f>
        <v>-257776.82</v>
      </c>
      <c r="L10" s="19"/>
      <c r="M10" s="19">
        <f>'KU_Summary - Reserve - P2 (REG)'!M60</f>
        <v>-19203992.729999997</v>
      </c>
      <c r="N10" s="19"/>
      <c r="O10" s="19">
        <f>'KU_Summary - Reserve - P2 (REG)'!O60</f>
        <v>22475230.02</v>
      </c>
      <c r="P10" s="19"/>
      <c r="Q10" s="19">
        <f>'KU_Summary - Reserve - P2 (REG)'!Q60</f>
        <v>-675637.77</v>
      </c>
      <c r="R10" s="19"/>
      <c r="S10" s="19">
        <f>'KU_Summary - Reserve - P2 (REG)'!S60</f>
        <v>-1069429.21</v>
      </c>
      <c r="T10" s="19"/>
      <c r="U10" s="19">
        <f>S10+Q10+O10+M10+I10+G10+E10+C10+K10</f>
        <v>27464358.390000019</v>
      </c>
      <c r="V10" s="34"/>
    </row>
    <row r="11" spans="1:22" x14ac:dyDescent="0.2">
      <c r="B11" s="20"/>
      <c r="C11" s="31">
        <f>SUM(C10:C10)</f>
        <v>26176244.770000018</v>
      </c>
      <c r="D11" s="19"/>
      <c r="E11" s="31">
        <f>SUM(E10:E10)</f>
        <v>0</v>
      </c>
      <c r="F11" s="19"/>
      <c r="G11" s="31">
        <f>SUM(G10:G10)</f>
        <v>0</v>
      </c>
      <c r="H11" s="19"/>
      <c r="I11" s="31">
        <f>SUM(I10:I10)</f>
        <v>19720.13</v>
      </c>
      <c r="J11" s="26"/>
      <c r="K11" s="31">
        <f>SUM(K10:K10)</f>
        <v>-257776.82</v>
      </c>
      <c r="L11" s="19"/>
      <c r="M11" s="31">
        <f>SUM(M10:M10)</f>
        <v>-19203992.729999997</v>
      </c>
      <c r="N11" s="19"/>
      <c r="O11" s="31">
        <f>SUM(O10:O10)</f>
        <v>22475230.02</v>
      </c>
      <c r="P11" s="19"/>
      <c r="Q11" s="31">
        <f>SUM(Q10:Q10)</f>
        <v>-675637.77</v>
      </c>
      <c r="R11" s="19"/>
      <c r="S11" s="31">
        <f>SUM(S10:S10)</f>
        <v>-1069429.21</v>
      </c>
      <c r="T11" s="19"/>
      <c r="U11" s="31">
        <f>SUM(U10:U10)</f>
        <v>27464358.390000019</v>
      </c>
      <c r="V11" s="34"/>
    </row>
    <row r="13" spans="1:22" x14ac:dyDescent="0.2">
      <c r="A13" s="12" t="s">
        <v>61</v>
      </c>
    </row>
    <row r="14" spans="1:22" x14ac:dyDescent="0.2">
      <c r="B14" s="3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f>S14+Q14+O14+M14+I14+G14+E14+C14+K14</f>
        <v>0</v>
      </c>
      <c r="V14" s="34"/>
    </row>
    <row r="15" spans="1:22" x14ac:dyDescent="0.2">
      <c r="B15" s="20"/>
      <c r="C15" s="31">
        <f>SUM(C14:C14)</f>
        <v>0</v>
      </c>
      <c r="D15" s="19"/>
      <c r="E15" s="31">
        <f>SUM(E14:E14)</f>
        <v>0</v>
      </c>
      <c r="F15" s="19"/>
      <c r="G15" s="31">
        <f>SUM(G14:G14)</f>
        <v>0</v>
      </c>
      <c r="H15" s="19"/>
      <c r="I15" s="31">
        <f>SUM(I14:I14)</f>
        <v>0</v>
      </c>
      <c r="J15" s="26"/>
      <c r="K15" s="31">
        <f>SUM(K14:K14)</f>
        <v>0</v>
      </c>
      <c r="L15" s="19"/>
      <c r="M15" s="31">
        <f>SUM(M14:M14)</f>
        <v>0</v>
      </c>
      <c r="N15" s="19"/>
      <c r="O15" s="31">
        <f>SUM(O14:O14)</f>
        <v>0</v>
      </c>
      <c r="P15" s="19"/>
      <c r="Q15" s="31">
        <f>SUM(Q14:Q14)</f>
        <v>0</v>
      </c>
      <c r="R15" s="19"/>
      <c r="S15" s="31">
        <f>SUM(S14:S14)</f>
        <v>0</v>
      </c>
      <c r="T15" s="19"/>
      <c r="U15" s="31">
        <f>SUM(U14:U14)</f>
        <v>0</v>
      </c>
      <c r="V15" s="34"/>
    </row>
    <row r="17" spans="1:23" x14ac:dyDescent="0.2">
      <c r="A17" s="12" t="s">
        <v>62</v>
      </c>
    </row>
    <row r="18" spans="1:23" x14ac:dyDescent="0.2">
      <c r="B18" s="3" t="s">
        <v>11</v>
      </c>
      <c r="C18" s="19">
        <v>672459.67</v>
      </c>
      <c r="D18" s="19"/>
      <c r="E18" s="19">
        <v>0</v>
      </c>
      <c r="F18" s="19"/>
      <c r="G18" s="19">
        <v>0</v>
      </c>
      <c r="H18" s="19"/>
      <c r="I18" s="19">
        <v>0</v>
      </c>
      <c r="J18" s="19"/>
      <c r="K18" s="19">
        <f>-49485.72-26673.28-181617.82</f>
        <v>-257776.82</v>
      </c>
      <c r="L18" s="19"/>
      <c r="M18" s="19">
        <v>0</v>
      </c>
      <c r="N18" s="19"/>
      <c r="O18" s="19">
        <f>71586.15+1101.96+12150.18+77920.03-4981.22+737.71+1060.05+10293.69+15809.61+377.32+121200.72</f>
        <v>307256.19999999995</v>
      </c>
      <c r="P18" s="19"/>
      <c r="Q18" s="19">
        <v>0</v>
      </c>
      <c r="R18" s="19"/>
      <c r="S18" s="19">
        <v>0</v>
      </c>
      <c r="T18" s="19"/>
      <c r="U18" s="19">
        <f>S18+Q18+O18+M18+I18+G18+E18+C18+K18</f>
        <v>721939.05</v>
      </c>
      <c r="V18" s="34"/>
      <c r="W18" s="19">
        <v>0</v>
      </c>
    </row>
    <row r="19" spans="1:23" x14ac:dyDescent="0.2">
      <c r="B19" s="20"/>
      <c r="C19" s="31">
        <f>SUM(C18:C18)</f>
        <v>672459.67</v>
      </c>
      <c r="D19" s="19"/>
      <c r="E19" s="31">
        <f>SUM(E18:E18)</f>
        <v>0</v>
      </c>
      <c r="F19" s="19"/>
      <c r="G19" s="31">
        <f>SUM(G18:G18)</f>
        <v>0</v>
      </c>
      <c r="H19" s="19"/>
      <c r="I19" s="31">
        <f>SUM(I18:I18)</f>
        <v>0</v>
      </c>
      <c r="J19" s="26"/>
      <c r="K19" s="31">
        <f>SUM(K18:K18)</f>
        <v>-257776.82</v>
      </c>
      <c r="L19" s="19"/>
      <c r="M19" s="31">
        <f>SUM(M18:M18)</f>
        <v>0</v>
      </c>
      <c r="N19" s="19"/>
      <c r="O19" s="31">
        <f>SUM(O18:O18)</f>
        <v>307256.19999999995</v>
      </c>
      <c r="P19" s="19"/>
      <c r="Q19" s="31">
        <f>SUM(Q18:Q18)</f>
        <v>0</v>
      </c>
      <c r="R19" s="19"/>
      <c r="S19" s="31">
        <f>SUM(S18:S18)</f>
        <v>0</v>
      </c>
      <c r="T19" s="19"/>
      <c r="U19" s="31">
        <f>SUM(U18:U18)</f>
        <v>721939.05</v>
      </c>
      <c r="V19" s="34"/>
    </row>
    <row r="21" spans="1:23" x14ac:dyDescent="0.2">
      <c r="A21" s="12" t="s">
        <v>63</v>
      </c>
    </row>
    <row r="22" spans="1:23" x14ac:dyDescent="0.2">
      <c r="B22" s="3" t="s">
        <v>11</v>
      </c>
      <c r="C22" s="19">
        <v>25503785.100000001</v>
      </c>
      <c r="D22" s="19"/>
      <c r="E22" s="19">
        <v>0</v>
      </c>
      <c r="F22" s="19"/>
      <c r="G22" s="19">
        <v>0</v>
      </c>
      <c r="H22" s="19"/>
      <c r="I22" s="19">
        <v>19720.13</v>
      </c>
      <c r="J22" s="19"/>
      <c r="K22" s="19">
        <v>0</v>
      </c>
      <c r="L22" s="19"/>
      <c r="M22" s="19">
        <f>-311903.87+50642.95-1374113.6+39559.99-1140895.58+6482.81-1152753.95+11265.18-2090517.91+97701.31-1669205.28+179693.72+49485.72-4354358.67+76544.72+26673.28-2037953.09+27468.35-2120827.94+40703+181617.82-1910873.31+67068.75-1552066.47+6558.25+-352325.27+2336.36</f>
        <v>-19203992.729999997</v>
      </c>
      <c r="N22" s="19"/>
      <c r="O22" s="35">
        <f>1188355.35+948316.54+5369264.67+1062274.26+1405057.08+1872819.25+1301838.89+1636534.98+1129069.47+2405774.36+1980249.72+1868419.25</f>
        <v>22167973.82</v>
      </c>
      <c r="P22" s="19"/>
      <c r="Q22" s="19">
        <f>-42462.66-54668.79-28120.84-169515.35-26492.64-79049.37-87117.32-15651.54-66083.64-27929.63-24461.89+-54084.1</f>
        <v>-675637.77</v>
      </c>
      <c r="R22" s="19"/>
      <c r="S22" s="19">
        <f>-55826.45-234910.88-264509.89+99225.01-101794.01-109451.88-180216.51-5433.49-21611.23-141704.87-54844.84+1649.83</f>
        <v>-1069429.21</v>
      </c>
      <c r="T22" s="19"/>
      <c r="U22" s="19">
        <f>S22+Q22+O22+M22+I22+G22+E22+C22+K22</f>
        <v>26742419.340000004</v>
      </c>
      <c r="V22" s="34"/>
    </row>
    <row r="23" spans="1:23" x14ac:dyDescent="0.2">
      <c r="B23" s="20"/>
      <c r="C23" s="31">
        <f>SUM(C22:C22)</f>
        <v>25503785.100000001</v>
      </c>
      <c r="D23" s="19"/>
      <c r="E23" s="31">
        <f>SUM(E22:E22)</f>
        <v>0</v>
      </c>
      <c r="F23" s="19"/>
      <c r="G23" s="31">
        <f>SUM(G22:G22)</f>
        <v>0</v>
      </c>
      <c r="H23" s="19"/>
      <c r="I23" s="31">
        <f>SUM(I22:I22)</f>
        <v>19720.13</v>
      </c>
      <c r="J23" s="26"/>
      <c r="K23" s="31">
        <f>SUM(K22:K22)</f>
        <v>0</v>
      </c>
      <c r="L23" s="19"/>
      <c r="M23" s="31">
        <f>SUM(M22:M22)</f>
        <v>-19203992.729999997</v>
      </c>
      <c r="N23" s="19"/>
      <c r="O23" s="31">
        <f>SUM(O22:O22)</f>
        <v>22167973.82</v>
      </c>
      <c r="P23" s="19"/>
      <c r="Q23" s="31">
        <f>SUM(Q22:Q22)</f>
        <v>-675637.77</v>
      </c>
      <c r="R23" s="19"/>
      <c r="S23" s="31">
        <f>SUM(S22:S22)</f>
        <v>-1069429.21</v>
      </c>
      <c r="T23" s="19"/>
      <c r="U23" s="31">
        <f>SUM(U22:U22)</f>
        <v>26742419.340000004</v>
      </c>
      <c r="V23" s="34"/>
      <c r="W23" s="19">
        <v>0</v>
      </c>
    </row>
    <row r="25" spans="1:23" x14ac:dyDescent="0.2">
      <c r="A25" s="12" t="s">
        <v>64</v>
      </c>
    </row>
    <row r="26" spans="1:23" x14ac:dyDescent="0.2">
      <c r="B26" s="3" t="s">
        <v>11</v>
      </c>
      <c r="C26" s="19">
        <f>+C14+C18+C22</f>
        <v>26176244.770000003</v>
      </c>
      <c r="D26" s="19"/>
      <c r="E26" s="19">
        <f>+E14+E18+E22</f>
        <v>0</v>
      </c>
      <c r="F26" s="19"/>
      <c r="G26" s="19">
        <f>+G14+G18+G22</f>
        <v>0</v>
      </c>
      <c r="H26" s="19"/>
      <c r="I26" s="19">
        <f>+I14+I18+I22</f>
        <v>19720.13</v>
      </c>
      <c r="J26" s="19"/>
      <c r="K26" s="19">
        <f>+K14+K18+K22</f>
        <v>-257776.82</v>
      </c>
      <c r="L26" s="19"/>
      <c r="M26" s="19">
        <f>+M14+M18+M22</f>
        <v>-19203992.729999997</v>
      </c>
      <c r="N26" s="19"/>
      <c r="O26" s="19">
        <f>+O14+O18+O22</f>
        <v>22475230.02</v>
      </c>
      <c r="P26" s="19"/>
      <c r="Q26" s="19">
        <f>+Q14+Q18+Q22</f>
        <v>-675637.77</v>
      </c>
      <c r="R26" s="19"/>
      <c r="S26" s="19">
        <f>+S14+S18+S22</f>
        <v>-1069429.21</v>
      </c>
      <c r="T26" s="19"/>
      <c r="U26" s="19">
        <f>S26+Q26+O26+M26+I26+G26+E26+C26+K26</f>
        <v>27464358.390000004</v>
      </c>
      <c r="V26" s="34"/>
    </row>
    <row r="27" spans="1:23" x14ac:dyDescent="0.2">
      <c r="B27" s="20"/>
      <c r="C27" s="31">
        <f>SUM(C26:C26)</f>
        <v>26176244.770000003</v>
      </c>
      <c r="D27" s="19"/>
      <c r="E27" s="31">
        <f>SUM(E26:E26)</f>
        <v>0</v>
      </c>
      <c r="F27" s="19"/>
      <c r="G27" s="31">
        <f>SUM(G26:G26)</f>
        <v>0</v>
      </c>
      <c r="H27" s="19"/>
      <c r="I27" s="31">
        <f>SUM(I26:I26)</f>
        <v>19720.13</v>
      </c>
      <c r="J27" s="26"/>
      <c r="K27" s="31">
        <f>SUM(K26:K26)</f>
        <v>-257776.82</v>
      </c>
      <c r="L27" s="19"/>
      <c r="M27" s="31">
        <f>SUM(M26:M26)</f>
        <v>-19203992.729999997</v>
      </c>
      <c r="N27" s="19"/>
      <c r="O27" s="31">
        <f>SUM(O26:O26)</f>
        <v>22475230.02</v>
      </c>
      <c r="P27" s="19"/>
      <c r="Q27" s="31">
        <f>SUM(Q26:Q26)</f>
        <v>-675637.77</v>
      </c>
      <c r="R27" s="19"/>
      <c r="S27" s="31">
        <f>SUM(S26:S26)</f>
        <v>-1069429.21</v>
      </c>
      <c r="T27" s="19"/>
      <c r="U27" s="31">
        <f>SUM(U26:U26)</f>
        <v>27464358.390000004</v>
      </c>
      <c r="V27" s="34"/>
    </row>
    <row r="30" spans="1:23" x14ac:dyDescent="0.2">
      <c r="G30" s="3" t="s">
        <v>65</v>
      </c>
      <c r="I30" s="15">
        <f>I27-I11</f>
        <v>0</v>
      </c>
      <c r="K30" s="15">
        <f>K27-K11</f>
        <v>0</v>
      </c>
      <c r="M30" s="15">
        <f>M27-M11</f>
        <v>0</v>
      </c>
      <c r="O30" s="15">
        <f>O27-O11</f>
        <v>0</v>
      </c>
      <c r="Q30" s="15">
        <f>Q27-Q11</f>
        <v>0</v>
      </c>
      <c r="S30" s="15">
        <f>S27-S11</f>
        <v>0</v>
      </c>
      <c r="U30" s="15">
        <f>U27-U11</f>
        <v>0</v>
      </c>
    </row>
    <row r="31" spans="1:23" x14ac:dyDescent="0.2">
      <c r="I31" s="15"/>
      <c r="K31" s="15"/>
      <c r="M31" s="15"/>
      <c r="O31" s="15"/>
      <c r="Q31" s="15"/>
      <c r="S31" s="15"/>
      <c r="U31" s="15"/>
    </row>
  </sheetData>
  <mergeCells count="3">
    <mergeCell ref="A1:U1"/>
    <mergeCell ref="A2:U2"/>
    <mergeCell ref="A3:U3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5"/>
  <sheetViews>
    <sheetView zoomScale="80" zoomScaleNormal="80" workbookViewId="0">
      <pane xSplit="5" ySplit="9" topLeftCell="F10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outlineLevelRow="3" outlineLevelCol="1" x14ac:dyDescent="0.2"/>
  <cols>
    <col min="1" max="1" width="5" style="8" customWidth="1"/>
    <col min="2" max="2" width="6.85546875" style="3" customWidth="1"/>
    <col min="3" max="3" width="32.28515625" style="3" customWidth="1"/>
    <col min="4" max="4" width="20" style="3" bestFit="1" customWidth="1"/>
    <col min="5" max="5" width="1.7109375" style="3" customWidth="1"/>
    <col min="6" max="6" width="17.7109375" style="3" customWidth="1" outlineLevel="1"/>
    <col min="7" max="7" width="1.7109375" style="3" customWidth="1" outlineLevel="1"/>
    <col min="8" max="8" width="17.7109375" style="3" customWidth="1" outlineLevel="1"/>
    <col min="9" max="9" width="1.7109375" style="3" customWidth="1" outlineLevel="1"/>
    <col min="10" max="10" width="17.7109375" style="3" customWidth="1" outlineLevel="1"/>
    <col min="11" max="11" width="1.7109375" style="3" customWidth="1" outlineLevel="1"/>
    <col min="12" max="12" width="17.7109375" style="3" customWidth="1" outlineLevel="1"/>
    <col min="13" max="13" width="1.7109375" style="3" customWidth="1" outlineLevel="1"/>
    <col min="14" max="14" width="17.7109375" style="3" customWidth="1" outlineLevel="1"/>
    <col min="15" max="15" width="1.7109375" style="3" customWidth="1" outlineLevel="1"/>
    <col min="16" max="16" width="17.7109375" style="3" customWidth="1" outlineLevel="1"/>
    <col min="17" max="17" width="1.7109375" style="3" customWidth="1" outlineLevel="1"/>
    <col min="18" max="18" width="17.7109375" style="3" customWidth="1" outlineLevel="1"/>
    <col min="19" max="19" width="1.7109375" style="3" customWidth="1" outlineLevel="1"/>
    <col min="20" max="20" width="17.7109375" style="3" customWidth="1" outlineLevel="1"/>
    <col min="21" max="21" width="1.7109375" style="3" customWidth="1" outlineLevel="1"/>
    <col min="22" max="22" width="18.7109375" style="3" bestFit="1" customWidth="1"/>
    <col min="23" max="23" width="1.7109375" style="3" customWidth="1"/>
    <col min="24" max="24" width="17.7109375" style="3" customWidth="1"/>
    <col min="25" max="25" width="14.85546875" style="3" customWidth="1"/>
    <col min="26" max="26" width="15.7109375" style="3" customWidth="1"/>
    <col min="27" max="27" width="17" style="3" bestFit="1" customWidth="1"/>
    <col min="28" max="28" width="15.28515625" style="3" customWidth="1"/>
    <col min="29" max="29" width="18.7109375" style="3" bestFit="1" customWidth="1"/>
    <col min="30" max="30" width="13.28515625" style="3" customWidth="1"/>
    <col min="31" max="31" width="17.140625" style="3" bestFit="1" customWidth="1"/>
    <col min="32" max="32" width="15.7109375" style="3" customWidth="1"/>
    <col min="33" max="33" width="15.140625" style="3" bestFit="1" customWidth="1"/>
    <col min="34" max="34" width="16" style="3" customWidth="1"/>
    <col min="35" max="35" width="15.85546875" style="3" customWidth="1"/>
    <col min="36" max="36" width="17" style="3" bestFit="1" customWidth="1"/>
    <col min="37" max="37" width="14.85546875" style="3" customWidth="1"/>
    <col min="38" max="38" width="14.28515625" style="3" customWidth="1"/>
    <col min="39" max="39" width="18.140625" style="3" customWidth="1"/>
    <col min="40" max="40" width="19.7109375" style="3" customWidth="1"/>
    <col min="41" max="41" width="15.7109375" style="3" customWidth="1"/>
    <col min="42" max="43" width="15.28515625" style="3" customWidth="1"/>
    <col min="44" max="44" width="18.42578125" style="3" customWidth="1"/>
    <col min="45" max="45" width="1.7109375" style="3" customWidth="1"/>
    <col min="46" max="46" width="18.140625" style="3" customWidth="1"/>
    <col min="47" max="47" width="18.7109375" style="3" bestFit="1" customWidth="1"/>
    <col min="48" max="48" width="15.140625" style="3" bestFit="1" customWidth="1"/>
    <col min="49" max="16384" width="9.140625" style="3"/>
  </cols>
  <sheetData>
    <row r="1" spans="1:47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</row>
    <row r="2" spans="1:47" x14ac:dyDescent="0.2">
      <c r="A2" s="95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</row>
    <row r="3" spans="1:47" x14ac:dyDescent="0.2">
      <c r="A3" s="96" t="s">
        <v>4458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</row>
    <row r="4" spans="1:4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AM4" s="19"/>
    </row>
    <row r="5" spans="1:47" x14ac:dyDescent="0.2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47" x14ac:dyDescent="0.2">
      <c r="A6" s="6"/>
      <c r="B6" s="5"/>
      <c r="C6" s="5"/>
      <c r="E6" s="7"/>
      <c r="F6" s="7"/>
      <c r="G6" s="7"/>
      <c r="H6" s="7"/>
      <c r="I6" s="7"/>
      <c r="J6" s="25"/>
      <c r="K6" s="25"/>
      <c r="L6" s="25"/>
      <c r="M6" s="25"/>
      <c r="N6" s="25"/>
      <c r="O6" s="25"/>
      <c r="P6" s="25"/>
      <c r="Q6" s="25"/>
      <c r="R6" s="25"/>
      <c r="S6" s="25"/>
      <c r="T6" s="7"/>
      <c r="U6" s="7"/>
      <c r="AJ6" s="15"/>
    </row>
    <row r="7" spans="1:47" x14ac:dyDescent="0.2">
      <c r="D7" s="25"/>
      <c r="E7" s="9"/>
      <c r="F7" s="11"/>
      <c r="G7" s="36"/>
      <c r="H7" s="11"/>
      <c r="I7" s="3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9"/>
      <c r="V7" s="25"/>
      <c r="X7" s="98" t="s">
        <v>67</v>
      </c>
      <c r="Y7" s="98"/>
      <c r="Z7" s="98"/>
      <c r="AA7" s="98"/>
      <c r="AB7" s="98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100"/>
      <c r="AO7" s="101" t="s">
        <v>68</v>
      </c>
      <c r="AP7" s="102"/>
      <c r="AQ7" s="99"/>
    </row>
    <row r="8" spans="1:47" ht="229.5" x14ac:dyDescent="0.2">
      <c r="D8" s="154" t="s">
        <v>69</v>
      </c>
      <c r="E8" s="37"/>
      <c r="F8" s="38"/>
      <c r="G8" s="37"/>
      <c r="H8" s="38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7"/>
      <c r="V8" s="154" t="s">
        <v>70</v>
      </c>
      <c r="X8" s="39" t="s">
        <v>71</v>
      </c>
      <c r="Y8" s="39" t="s">
        <v>72</v>
      </c>
      <c r="Z8" s="39" t="s">
        <v>73</v>
      </c>
      <c r="AA8" s="39" t="s">
        <v>74</v>
      </c>
      <c r="AB8" s="39" t="s">
        <v>75</v>
      </c>
      <c r="AC8" s="39" t="s">
        <v>76</v>
      </c>
      <c r="AD8" s="39" t="s">
        <v>77</v>
      </c>
      <c r="AE8" s="39" t="s">
        <v>78</v>
      </c>
      <c r="AF8" s="39" t="s">
        <v>79</v>
      </c>
      <c r="AG8" s="39" t="s">
        <v>80</v>
      </c>
      <c r="AH8" s="39" t="s">
        <v>81</v>
      </c>
      <c r="AI8" s="39" t="s">
        <v>82</v>
      </c>
      <c r="AJ8" s="39" t="s">
        <v>83</v>
      </c>
      <c r="AK8" s="39" t="s">
        <v>84</v>
      </c>
      <c r="AL8" s="39" t="s">
        <v>85</v>
      </c>
      <c r="AM8" s="39" t="s">
        <v>86</v>
      </c>
      <c r="AN8" s="40" t="s">
        <v>87</v>
      </c>
      <c r="AO8" s="39" t="s">
        <v>38</v>
      </c>
      <c r="AP8" s="39" t="s">
        <v>88</v>
      </c>
      <c r="AQ8" s="39" t="s">
        <v>89</v>
      </c>
      <c r="AR8" s="155"/>
      <c r="AS8" s="41" t="s">
        <v>90</v>
      </c>
      <c r="AT8" s="41" t="s">
        <v>91</v>
      </c>
    </row>
    <row r="9" spans="1:47" x14ac:dyDescent="0.2">
      <c r="A9" s="8" t="s">
        <v>92</v>
      </c>
      <c r="D9" s="42"/>
      <c r="E9" s="9"/>
      <c r="F9" s="42"/>
      <c r="G9" s="9"/>
      <c r="H9" s="42"/>
      <c r="I9" s="9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9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43"/>
      <c r="AP9" s="43"/>
    </row>
    <row r="10" spans="1:47" x14ac:dyDescent="0.2">
      <c r="B10" s="3" t="s">
        <v>93</v>
      </c>
      <c r="D10" s="42">
        <v>9052944397.0599995</v>
      </c>
      <c r="E10" s="9"/>
      <c r="F10" s="42"/>
      <c r="G10" s="9"/>
      <c r="H10" s="42"/>
      <c r="I10" s="9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9"/>
      <c r="V10" s="42">
        <v>9244397159.8199997</v>
      </c>
      <c r="W10" s="43"/>
      <c r="X10" s="15">
        <f>+X89</f>
        <v>0</v>
      </c>
      <c r="Y10" s="15">
        <f>+Y89</f>
        <v>0</v>
      </c>
      <c r="Z10" s="15"/>
      <c r="AA10" s="15"/>
      <c r="AB10" s="15"/>
      <c r="AC10" s="15">
        <f>+AC89</f>
        <v>305613857.19999999</v>
      </c>
      <c r="AD10" s="15">
        <f>+AD89</f>
        <v>0</v>
      </c>
      <c r="AE10" s="15">
        <f>+AE89-AH10-AG10</f>
        <v>-68765893.760000005</v>
      </c>
      <c r="AF10" s="15">
        <f>+AF89</f>
        <v>0</v>
      </c>
      <c r="AG10" s="15">
        <f>-'Land_Vehicle Retire P3A (REG)'!E15</f>
        <v>-13259.09</v>
      </c>
      <c r="AH10" s="15">
        <v>-204834.75</v>
      </c>
      <c r="AI10" s="15">
        <v>-45969706.049999997</v>
      </c>
      <c r="AJ10" s="15">
        <f>-AJ16</f>
        <v>0</v>
      </c>
      <c r="AK10" s="15"/>
      <c r="AL10" s="15">
        <f>+AL89</f>
        <v>0</v>
      </c>
      <c r="AM10" s="15">
        <f>+AM89-AI10-AJ10</f>
        <v>792599.21000000089</v>
      </c>
      <c r="AN10" s="45">
        <f>+AN89</f>
        <v>0</v>
      </c>
      <c r="AO10" s="15">
        <f>+AO89</f>
        <v>0</v>
      </c>
      <c r="AP10" s="15"/>
      <c r="AQ10" s="15">
        <f>+AQ89</f>
        <v>0</v>
      </c>
      <c r="AR10" s="15"/>
      <c r="AS10" s="15">
        <f>SUM(X10:AQ10)</f>
        <v>191452762.76000002</v>
      </c>
      <c r="AT10" s="15">
        <f>+V10-D10-AS10</f>
        <v>0</v>
      </c>
    </row>
    <row r="11" spans="1:47" x14ac:dyDescent="0.2">
      <c r="B11" s="3" t="s">
        <v>94</v>
      </c>
      <c r="D11" s="42">
        <v>971313.1</v>
      </c>
      <c r="E11" s="9"/>
      <c r="F11" s="42"/>
      <c r="G11" s="9"/>
      <c r="H11" s="42"/>
      <c r="I11" s="9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9"/>
      <c r="V11" s="42">
        <v>178713.89</v>
      </c>
      <c r="W11" s="43"/>
      <c r="X11" s="15">
        <f>+X99</f>
        <v>0</v>
      </c>
      <c r="Y11" s="15">
        <f>+Y99</f>
        <v>0</v>
      </c>
      <c r="Z11" s="15"/>
      <c r="AA11" s="15"/>
      <c r="AB11" s="15"/>
      <c r="AC11" s="15">
        <f>+AC99</f>
        <v>0</v>
      </c>
      <c r="AD11" s="15"/>
      <c r="AE11" s="15">
        <f>+AE99</f>
        <v>0</v>
      </c>
      <c r="AF11" s="15"/>
      <c r="AG11" s="15">
        <f>+AG99</f>
        <v>0</v>
      </c>
      <c r="AH11" s="15">
        <v>0</v>
      </c>
      <c r="AI11" s="15">
        <v>0</v>
      </c>
      <c r="AJ11" s="15"/>
      <c r="AK11" s="15">
        <f t="shared" ref="AK11:AQ11" si="0">+AK99</f>
        <v>0</v>
      </c>
      <c r="AL11" s="15">
        <f t="shared" si="0"/>
        <v>0</v>
      </c>
      <c r="AM11" s="15">
        <f t="shared" si="0"/>
        <v>-792599.21</v>
      </c>
      <c r="AN11" s="45">
        <f t="shared" si="0"/>
        <v>0</v>
      </c>
      <c r="AO11" s="15">
        <f t="shared" si="0"/>
        <v>0</v>
      </c>
      <c r="AP11" s="15"/>
      <c r="AQ11" s="15">
        <f t="shared" si="0"/>
        <v>0</v>
      </c>
      <c r="AR11" s="15"/>
      <c r="AS11" s="15">
        <f>SUM(X11:AQ11)</f>
        <v>-792599.21</v>
      </c>
      <c r="AT11" s="15">
        <f>+V11-D11-AS11</f>
        <v>0</v>
      </c>
    </row>
    <row r="12" spans="1:47" x14ac:dyDescent="0.2">
      <c r="B12" s="3" t="s">
        <v>95</v>
      </c>
      <c r="D12" s="42">
        <v>-2637548759.0700002</v>
      </c>
      <c r="E12" s="9"/>
      <c r="F12" s="42"/>
      <c r="G12" s="9"/>
      <c r="H12" s="42"/>
      <c r="I12" s="9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9"/>
      <c r="V12" s="42">
        <v>-2823341540.8899999</v>
      </c>
      <c r="W12" s="43"/>
      <c r="X12" s="15">
        <f>+X168</f>
        <v>-232178801.86999997</v>
      </c>
      <c r="Y12" s="15">
        <f>+Y168</f>
        <v>0</v>
      </c>
      <c r="Z12" s="15">
        <f>+Z168</f>
        <v>-20891682.859999999</v>
      </c>
      <c r="AA12" s="15">
        <f>+AA168</f>
        <v>0</v>
      </c>
      <c r="AB12" s="15"/>
      <c r="AC12" s="15">
        <f>+AC168</f>
        <v>0</v>
      </c>
      <c r="AD12" s="15"/>
      <c r="AE12" s="15">
        <f>+AE168-AH12-AG12-13259.09</f>
        <v>68765893.75999999</v>
      </c>
      <c r="AF12" s="15">
        <f>+AF168</f>
        <v>0</v>
      </c>
      <c r="AG12" s="15">
        <f>-AG14</f>
        <v>0</v>
      </c>
      <c r="AH12" s="15">
        <f>-AH10</f>
        <v>204834.75</v>
      </c>
      <c r="AI12" s="15">
        <v>0</v>
      </c>
      <c r="AJ12" s="15">
        <v>0</v>
      </c>
      <c r="AK12" s="15"/>
      <c r="AL12" s="15">
        <f>+AL168</f>
        <v>0</v>
      </c>
      <c r="AM12" s="15">
        <v>-14378.77</v>
      </c>
      <c r="AN12" s="45">
        <f>+AN168</f>
        <v>-1678646.8299999998</v>
      </c>
      <c r="AO12" s="15">
        <f>+AO168</f>
        <v>0</v>
      </c>
      <c r="AP12" s="15"/>
      <c r="AQ12" s="15">
        <f>+AQ168</f>
        <v>0</v>
      </c>
      <c r="AR12" s="15"/>
      <c r="AS12" s="15">
        <f>SUM(X12:AQ12)</f>
        <v>-185792781.81999999</v>
      </c>
      <c r="AT12" s="15">
        <f>+V12-D12-AS12</f>
        <v>2.9802322387695313E-7</v>
      </c>
    </row>
    <row r="13" spans="1:47" x14ac:dyDescent="0.2">
      <c r="B13" s="3" t="s">
        <v>96</v>
      </c>
      <c r="D13" s="42">
        <v>180793120.27000001</v>
      </c>
      <c r="E13" s="9"/>
      <c r="F13" s="42"/>
      <c r="G13" s="9"/>
      <c r="H13" s="42"/>
      <c r="I13" s="9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9"/>
      <c r="V13" s="42">
        <v>321167939.92000002</v>
      </c>
      <c r="W13" s="43"/>
      <c r="X13" s="15">
        <f>+X108</f>
        <v>0</v>
      </c>
      <c r="Y13" s="15">
        <f>+Y108</f>
        <v>0</v>
      </c>
      <c r="Z13" s="15"/>
      <c r="AA13" s="15"/>
      <c r="AB13" s="15"/>
      <c r="AC13" s="15">
        <f>-AC10-AC14</f>
        <v>-305613857.19999999</v>
      </c>
      <c r="AD13" s="15">
        <f>+AD108</f>
        <v>0</v>
      </c>
      <c r="AE13" s="15">
        <f>+AE108</f>
        <v>0</v>
      </c>
      <c r="AF13" s="15"/>
      <c r="AG13" s="15">
        <f>+AG108</f>
        <v>0</v>
      </c>
      <c r="AH13" s="15">
        <v>0</v>
      </c>
      <c r="AI13" s="15">
        <v>0</v>
      </c>
      <c r="AJ13" s="15"/>
      <c r="AK13" s="15">
        <f>+AK108</f>
        <v>0</v>
      </c>
      <c r="AL13" s="15">
        <f>+AL108</f>
        <v>0</v>
      </c>
      <c r="AM13" s="15">
        <v>0</v>
      </c>
      <c r="AN13" s="45">
        <f>+AN108</f>
        <v>0</v>
      </c>
      <c r="AO13" s="15">
        <f>+AO108</f>
        <v>0</v>
      </c>
      <c r="AP13" s="15"/>
      <c r="AQ13" s="15">
        <f>+AQ108</f>
        <v>445988676.85000002</v>
      </c>
      <c r="AR13" s="15"/>
      <c r="AS13" s="15">
        <f>SUM(X13:AQ13)</f>
        <v>140374819.65000004</v>
      </c>
      <c r="AT13" s="15">
        <f>+V13-D13-AS13</f>
        <v>0</v>
      </c>
    </row>
    <row r="14" spans="1:47" x14ac:dyDescent="0.2">
      <c r="B14" s="3" t="s">
        <v>97</v>
      </c>
      <c r="D14" s="42">
        <v>12917050.08</v>
      </c>
      <c r="E14" s="9"/>
      <c r="F14" s="42"/>
      <c r="G14" s="9"/>
      <c r="H14" s="42"/>
      <c r="I14" s="9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9"/>
      <c r="V14" s="42">
        <v>12624925.02</v>
      </c>
      <c r="W14" s="43"/>
      <c r="X14" s="15">
        <f>+X131</f>
        <v>-292125.06</v>
      </c>
      <c r="Y14" s="15">
        <f>+Y131</f>
        <v>0</v>
      </c>
      <c r="Z14" s="15"/>
      <c r="AA14" s="15"/>
      <c r="AB14" s="15"/>
      <c r="AC14" s="15">
        <f>+AC131</f>
        <v>0</v>
      </c>
      <c r="AD14" s="15"/>
      <c r="AE14" s="15">
        <f>+AE131</f>
        <v>0</v>
      </c>
      <c r="AF14" s="15"/>
      <c r="AG14" s="15">
        <v>0</v>
      </c>
      <c r="AH14" s="15">
        <v>0</v>
      </c>
      <c r="AI14" s="15">
        <v>0</v>
      </c>
      <c r="AJ14" s="15"/>
      <c r="AK14" s="15">
        <f>+AK131</f>
        <v>0</v>
      </c>
      <c r="AL14" s="15">
        <f>+AL131</f>
        <v>0</v>
      </c>
      <c r="AM14" s="15">
        <f>-AM15</f>
        <v>0</v>
      </c>
      <c r="AN14" s="45">
        <f>+AN131</f>
        <v>0</v>
      </c>
      <c r="AO14" s="15">
        <f>+AO131</f>
        <v>0</v>
      </c>
      <c r="AP14" s="15"/>
      <c r="AQ14" s="15">
        <f>+AQ131</f>
        <v>0</v>
      </c>
      <c r="AR14" s="15"/>
      <c r="AS14" s="15">
        <f>SUM(X14:AQ14)</f>
        <v>-292125.06</v>
      </c>
      <c r="AT14" s="15">
        <f>+V14-D14-AS14</f>
        <v>-5.2386894822120667E-10</v>
      </c>
    </row>
    <row r="15" spans="1:47" x14ac:dyDescent="0.2">
      <c r="B15" s="3" t="s">
        <v>98</v>
      </c>
      <c r="D15" s="42">
        <v>-394428154.25999999</v>
      </c>
      <c r="E15" s="9"/>
      <c r="F15" s="42"/>
      <c r="G15" s="9"/>
      <c r="H15" s="42"/>
      <c r="I15" s="9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9"/>
      <c r="V15" s="42">
        <v>-395360371.41000003</v>
      </c>
      <c r="W15" s="43"/>
      <c r="X15" s="15">
        <f>+X211</f>
        <v>-21632620.939999998</v>
      </c>
      <c r="Y15" s="15">
        <f>+Y211</f>
        <v>0</v>
      </c>
      <c r="Z15" s="15">
        <v>0</v>
      </c>
      <c r="AA15" s="15">
        <f>+AA211</f>
        <v>0</v>
      </c>
      <c r="AB15" s="15"/>
      <c r="AC15" s="15">
        <f>+AC211</f>
        <v>0</v>
      </c>
      <c r="AD15" s="15"/>
      <c r="AE15" s="15">
        <f>+AE211</f>
        <v>0</v>
      </c>
      <c r="AF15" s="15"/>
      <c r="AG15" s="15">
        <f>-'Land_Vehicle Retire P3A (REG)'!I15</f>
        <v>19720.13</v>
      </c>
      <c r="AH15" s="46">
        <v>257776.82</v>
      </c>
      <c r="AI15" s="15">
        <v>0</v>
      </c>
      <c r="AJ15" s="15"/>
      <c r="AK15" s="15">
        <f>+AK211</f>
        <v>0</v>
      </c>
      <c r="AL15" s="15">
        <f>+AL211</f>
        <v>0</v>
      </c>
      <c r="AM15" s="15">
        <f>+AM211-AN15</f>
        <v>0</v>
      </c>
      <c r="AN15" s="45">
        <v>0</v>
      </c>
      <c r="AO15" s="15">
        <f>+AO211</f>
        <v>20422906.84</v>
      </c>
      <c r="AP15" s="15"/>
      <c r="AQ15" s="15">
        <f>+AQ211</f>
        <v>0</v>
      </c>
      <c r="AR15" s="15"/>
      <c r="AS15" s="15">
        <f>SUM(X15:AQ15)</f>
        <v>-932217.14999999851</v>
      </c>
      <c r="AT15" s="15">
        <f>+V15-D15-AS15</f>
        <v>-3.7252902984619141E-8</v>
      </c>
    </row>
    <row r="16" spans="1:47" x14ac:dyDescent="0.2">
      <c r="B16" s="3" t="s">
        <v>99</v>
      </c>
      <c r="D16" s="42">
        <v>141499972.34</v>
      </c>
      <c r="E16" s="9"/>
      <c r="F16" s="42"/>
      <c r="G16" s="9"/>
      <c r="H16" s="42"/>
      <c r="I16" s="9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9"/>
      <c r="V16" s="42">
        <v>174424838.08000001</v>
      </c>
      <c r="W16" s="43"/>
      <c r="X16" s="15"/>
      <c r="Y16" s="15"/>
      <c r="Z16" s="15">
        <f>-Z12</f>
        <v>20891682.859999999</v>
      </c>
      <c r="AA16" s="15"/>
      <c r="AB16" s="15">
        <v>12423992.550000003</v>
      </c>
      <c r="AC16" s="15"/>
      <c r="AD16" s="15"/>
      <c r="AE16" s="15"/>
      <c r="AF16" s="15"/>
      <c r="AG16" s="15"/>
      <c r="AH16" s="15">
        <v>-390809.67000000004</v>
      </c>
      <c r="AI16" s="15">
        <v>0</v>
      </c>
      <c r="AJ16" s="15">
        <v>0</v>
      </c>
      <c r="AK16" s="15"/>
      <c r="AL16" s="15"/>
      <c r="AM16" s="15"/>
      <c r="AN16" s="45"/>
      <c r="AO16" s="15"/>
      <c r="AP16" s="15"/>
      <c r="AQ16" s="15"/>
      <c r="AR16" s="15"/>
      <c r="AS16" s="15">
        <f>SUM(X16:AQ16)</f>
        <v>32924865.740000002</v>
      </c>
      <c r="AT16" s="15">
        <f>+V16-D16-AS16</f>
        <v>0</v>
      </c>
      <c r="AU16" s="42"/>
    </row>
    <row r="17" spans="1:47" x14ac:dyDescent="0.2">
      <c r="B17" s="3" t="s">
        <v>100</v>
      </c>
      <c r="D17" s="42">
        <v>-18941920.489999998</v>
      </c>
      <c r="E17" s="9"/>
      <c r="F17" s="42"/>
      <c r="G17" s="9"/>
      <c r="H17" s="42"/>
      <c r="I17" s="9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9"/>
      <c r="V17" s="42">
        <v>-60404897.439999998</v>
      </c>
      <c r="W17" s="43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0</v>
      </c>
      <c r="AL17" s="15"/>
      <c r="AM17" s="15">
        <v>-41462976.950000003</v>
      </c>
      <c r="AN17" s="45">
        <v>0</v>
      </c>
      <c r="AO17" s="15"/>
      <c r="AP17" s="15"/>
      <c r="AQ17" s="15"/>
      <c r="AR17" s="15"/>
      <c r="AS17" s="15">
        <f>SUM(X17:AQ17)</f>
        <v>-41462976.950000003</v>
      </c>
      <c r="AT17" s="15">
        <f>+V17-D17-AS17</f>
        <v>0</v>
      </c>
      <c r="AU17" s="15"/>
    </row>
    <row r="18" spans="1:47" x14ac:dyDescent="0.2">
      <c r="B18" s="3" t="s">
        <v>101</v>
      </c>
      <c r="D18" s="42">
        <v>-269059871.81999999</v>
      </c>
      <c r="E18" s="9"/>
      <c r="F18" s="42"/>
      <c r="G18" s="9"/>
      <c r="H18" s="42"/>
      <c r="I18" s="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9"/>
      <c r="V18" s="42">
        <v>-173801716.63999999</v>
      </c>
      <c r="W18" s="43"/>
      <c r="X18" s="15"/>
      <c r="Y18" s="15"/>
      <c r="Z18" s="15"/>
      <c r="AA18" s="15"/>
      <c r="AB18" s="15">
        <f>-AB16</f>
        <v>-12423992.550000003</v>
      </c>
      <c r="AC18" s="15"/>
      <c r="AD18" s="15"/>
      <c r="AE18" s="15"/>
      <c r="AF18" s="15"/>
      <c r="AG18" s="15"/>
      <c r="AH18" s="15">
        <v>133032.85</v>
      </c>
      <c r="AI18" s="15">
        <v>45969706.049999997</v>
      </c>
      <c r="AJ18" s="15"/>
      <c r="AK18" s="15">
        <v>0</v>
      </c>
      <c r="AL18" s="15"/>
      <c r="AM18" s="46">
        <f>-AM17</f>
        <v>41462976.950000003</v>
      </c>
      <c r="AN18" s="45">
        <v>0</v>
      </c>
      <c r="AO18" s="15">
        <f>+P202+R202+T202</f>
        <v>307256.19999999995</v>
      </c>
      <c r="AP18" s="15">
        <v>19809175.68</v>
      </c>
      <c r="AQ18" s="15"/>
      <c r="AR18" s="15"/>
      <c r="AS18" s="15">
        <f>SUM(X18:AQ18)</f>
        <v>95258155.180000007</v>
      </c>
      <c r="AT18" s="15">
        <f>+V18-D18-AS18</f>
        <v>0</v>
      </c>
    </row>
    <row r="19" spans="1:47" x14ac:dyDescent="0.2">
      <c r="D19" s="42"/>
      <c r="E19" s="9"/>
      <c r="F19" s="42"/>
      <c r="G19" s="9"/>
      <c r="H19" s="42"/>
      <c r="I19" s="9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9"/>
      <c r="V19" s="42"/>
      <c r="W19" s="43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47"/>
      <c r="AO19" s="15"/>
      <c r="AP19" s="15"/>
      <c r="AQ19" s="15"/>
      <c r="AR19" s="15"/>
      <c r="AS19" s="15"/>
      <c r="AT19" s="15"/>
    </row>
    <row r="20" spans="1:47" x14ac:dyDescent="0.2">
      <c r="D20" s="42"/>
      <c r="E20" s="9"/>
      <c r="F20" s="42"/>
      <c r="G20" s="9"/>
      <c r="H20" s="42"/>
      <c r="I20" s="9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9"/>
      <c r="V20" s="3" t="s">
        <v>36</v>
      </c>
      <c r="W20" s="43"/>
      <c r="X20" s="48">
        <f>SUM(X10:X18)</f>
        <v>-254103547.86999997</v>
      </c>
      <c r="Y20" s="48">
        <f t="shared" ref="Y20:AQ20" si="1">SUM(Y10:Y18)</f>
        <v>0</v>
      </c>
      <c r="Z20" s="48">
        <f t="shared" si="1"/>
        <v>0</v>
      </c>
      <c r="AA20" s="48">
        <f t="shared" si="1"/>
        <v>0</v>
      </c>
      <c r="AB20" s="48">
        <f t="shared" si="1"/>
        <v>0</v>
      </c>
      <c r="AC20" s="48">
        <f t="shared" si="1"/>
        <v>0</v>
      </c>
      <c r="AD20" s="48">
        <f t="shared" si="1"/>
        <v>0</v>
      </c>
      <c r="AE20" s="48">
        <f t="shared" si="1"/>
        <v>-1.4901161193847656E-8</v>
      </c>
      <c r="AF20" s="48">
        <f t="shared" si="1"/>
        <v>0</v>
      </c>
      <c r="AG20" s="48">
        <f>SUM(AG10:AG18)</f>
        <v>6461.0400000000009</v>
      </c>
      <c r="AH20" s="48">
        <f t="shared" si="1"/>
        <v>0</v>
      </c>
      <c r="AI20" s="48">
        <f t="shared" si="1"/>
        <v>0</v>
      </c>
      <c r="AJ20" s="48">
        <f t="shared" si="1"/>
        <v>0</v>
      </c>
      <c r="AK20" s="48">
        <f t="shared" si="1"/>
        <v>0</v>
      </c>
      <c r="AL20" s="48">
        <f t="shared" si="1"/>
        <v>0</v>
      </c>
      <c r="AM20" s="48">
        <f>SUM(AM10:AM18)</f>
        <v>-14378.769999995828</v>
      </c>
      <c r="AN20" s="48">
        <f t="shared" si="1"/>
        <v>-1678646.8299999998</v>
      </c>
      <c r="AO20" s="48">
        <f t="shared" si="1"/>
        <v>20730163.039999999</v>
      </c>
      <c r="AP20" s="48"/>
      <c r="AQ20" s="48">
        <f t="shared" si="1"/>
        <v>445988676.85000002</v>
      </c>
      <c r="AR20" s="15"/>
      <c r="AS20" s="15"/>
      <c r="AT20" s="15"/>
    </row>
    <row r="21" spans="1:47" x14ac:dyDescent="0.2">
      <c r="D21" s="11"/>
      <c r="E21" s="9"/>
      <c r="F21" s="11"/>
      <c r="G21" s="9"/>
      <c r="H21" s="11"/>
      <c r="I21" s="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9"/>
      <c r="V21" s="11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45"/>
      <c r="AO21" s="15"/>
      <c r="AP21" s="15"/>
      <c r="AQ21" s="15"/>
      <c r="AR21" s="15"/>
      <c r="AS21" s="15"/>
      <c r="AT21" s="15"/>
    </row>
    <row r="22" spans="1:47" x14ac:dyDescent="0.2">
      <c r="D22" s="11"/>
      <c r="E22" s="9"/>
      <c r="F22" s="11"/>
      <c r="G22" s="9"/>
      <c r="H22" s="11"/>
      <c r="I22" s="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9"/>
      <c r="V22" s="11" t="s">
        <v>102</v>
      </c>
      <c r="X22" s="26">
        <v>-254103547.87</v>
      </c>
      <c r="Y22" s="15"/>
      <c r="Z22" s="15">
        <v>0</v>
      </c>
      <c r="AA22" s="15">
        <v>0</v>
      </c>
      <c r="AB22" s="15">
        <v>0</v>
      </c>
      <c r="AC22" s="15">
        <v>0</v>
      </c>
      <c r="AD22" s="15"/>
      <c r="AE22" s="15">
        <v>0</v>
      </c>
      <c r="AF22" s="15"/>
      <c r="AG22" s="15"/>
      <c r="AH22" s="15"/>
      <c r="AI22" s="49"/>
      <c r="AJ22" s="15"/>
      <c r="AK22" s="43"/>
      <c r="AL22" s="15"/>
      <c r="AM22" s="15"/>
      <c r="AN22" s="45"/>
      <c r="AO22" s="15">
        <v>20730163.039999999</v>
      </c>
      <c r="AP22" s="15"/>
      <c r="AQ22" s="15">
        <v>445988676.85000002</v>
      </c>
      <c r="AR22" s="15"/>
      <c r="AS22" s="15"/>
      <c r="AT22" s="15"/>
    </row>
    <row r="23" spans="1:47" x14ac:dyDescent="0.2">
      <c r="D23" s="11"/>
      <c r="E23" s="9"/>
      <c r="F23" s="11"/>
      <c r="G23" s="9"/>
      <c r="H23" s="11"/>
      <c r="I23" s="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9"/>
      <c r="V23" s="11"/>
      <c r="X23" s="15">
        <f>+X20-X22+Y20+Z20</f>
        <v>2.9802322387695313E-8</v>
      </c>
      <c r="Y23" s="15"/>
      <c r="Z23" s="15"/>
      <c r="AA23" s="15">
        <v>0</v>
      </c>
      <c r="AB23" s="15">
        <f>+AB20-AB22</f>
        <v>0</v>
      </c>
      <c r="AC23" s="15">
        <f>+AC20-AC22</f>
        <v>0</v>
      </c>
      <c r="AD23" s="15"/>
      <c r="AE23" s="15">
        <f>+AE20-AE22</f>
        <v>-1.4901161193847656E-8</v>
      </c>
      <c r="AF23" s="15"/>
      <c r="AG23" s="15"/>
      <c r="AH23" s="15"/>
      <c r="AI23" s="15"/>
      <c r="AJ23" s="15"/>
      <c r="AK23" s="43"/>
      <c r="AO23" s="15">
        <f>+AO20-AO22</f>
        <v>0</v>
      </c>
      <c r="AP23" s="15"/>
      <c r="AQ23" s="15">
        <f>+AQ20-AQ22</f>
        <v>0</v>
      </c>
      <c r="AR23" s="15"/>
      <c r="AT23" s="43"/>
    </row>
    <row r="24" spans="1:47" x14ac:dyDescent="0.2">
      <c r="B24" s="43" t="s">
        <v>103</v>
      </c>
      <c r="C24" s="43" t="s">
        <v>104</v>
      </c>
      <c r="D24" s="11"/>
      <c r="E24" s="9"/>
      <c r="F24" s="11"/>
      <c r="G24" s="9"/>
      <c r="H24" s="11"/>
      <c r="I24" s="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9"/>
      <c r="V24" s="11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43"/>
      <c r="AM24" s="46" t="s">
        <v>105</v>
      </c>
      <c r="AO24" s="15"/>
      <c r="AP24" s="15"/>
      <c r="AQ24" s="15"/>
      <c r="AR24" s="15"/>
      <c r="AT24" s="15"/>
    </row>
    <row r="25" spans="1:47" x14ac:dyDescent="0.2">
      <c r="C25" s="43" t="s">
        <v>106</v>
      </c>
      <c r="D25" s="11"/>
      <c r="E25" s="9"/>
      <c r="F25" s="11"/>
      <c r="G25" s="9"/>
      <c r="H25" s="11"/>
      <c r="I25" s="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9"/>
      <c r="V25" s="11"/>
      <c r="X25" s="15"/>
      <c r="Y25" s="15"/>
      <c r="Z25" s="50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3"/>
      <c r="AM25" s="15"/>
      <c r="AO25" s="15"/>
      <c r="AP25" s="15"/>
      <c r="AQ25" s="15"/>
      <c r="AR25" s="15"/>
    </row>
    <row r="26" spans="1:47" ht="13.5" thickBot="1" x14ac:dyDescent="0.25">
      <c r="D26" s="11"/>
      <c r="E26" s="9"/>
      <c r="F26" s="11"/>
      <c r="G26" s="9"/>
      <c r="H26" s="11"/>
      <c r="I26" s="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9"/>
      <c r="V26" s="11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3"/>
      <c r="AO26" s="15"/>
      <c r="AP26" s="15"/>
      <c r="AQ26" s="15"/>
    </row>
    <row r="27" spans="1:47" x14ac:dyDescent="0.2">
      <c r="A27" s="51" t="s">
        <v>107</v>
      </c>
      <c r="B27" s="52"/>
      <c r="C27" s="52"/>
      <c r="D27" s="54"/>
      <c r="E27" s="53"/>
      <c r="F27" s="54"/>
      <c r="G27" s="53"/>
      <c r="H27" s="54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3"/>
      <c r="V27" s="54"/>
      <c r="W27" s="52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2"/>
      <c r="AM27" s="52"/>
      <c r="AN27" s="52"/>
      <c r="AO27" s="55"/>
      <c r="AP27" s="55"/>
      <c r="AQ27" s="55"/>
      <c r="AR27" s="52"/>
      <c r="AS27" s="52"/>
      <c r="AT27" s="57"/>
    </row>
    <row r="28" spans="1:47" x14ac:dyDescent="0.2">
      <c r="A28" s="58"/>
      <c r="B28" s="59" t="s">
        <v>108</v>
      </c>
      <c r="C28" s="59"/>
      <c r="D28" s="11"/>
      <c r="E28" s="36"/>
      <c r="F28" s="11"/>
      <c r="G28" s="36"/>
      <c r="H28" s="11"/>
      <c r="I28" s="36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6"/>
      <c r="V28" s="11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59"/>
      <c r="AM28" s="59"/>
      <c r="AN28" s="60">
        <v>1283097.3799999999</v>
      </c>
      <c r="AO28" s="60"/>
      <c r="AP28" s="60"/>
      <c r="AQ28" s="60"/>
      <c r="AR28" s="59"/>
      <c r="AS28" s="59"/>
      <c r="AT28" s="62"/>
    </row>
    <row r="29" spans="1:47" x14ac:dyDescent="0.2">
      <c r="A29" s="58"/>
      <c r="B29" s="59" t="s">
        <v>109</v>
      </c>
      <c r="C29" s="59"/>
      <c r="D29" s="11"/>
      <c r="E29" s="36"/>
      <c r="F29" s="11"/>
      <c r="G29" s="36"/>
      <c r="H29" s="11"/>
      <c r="I29" s="36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6"/>
      <c r="V29" s="11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9"/>
      <c r="AM29" s="59"/>
      <c r="AN29" s="60">
        <v>395549.44999999995</v>
      </c>
      <c r="AO29" s="60"/>
      <c r="AP29" s="60"/>
      <c r="AQ29" s="60"/>
      <c r="AR29" s="59"/>
      <c r="AS29" s="59"/>
      <c r="AT29" s="62"/>
    </row>
    <row r="30" spans="1:47" x14ac:dyDescent="0.2">
      <c r="A30" s="58"/>
      <c r="B30" s="61" t="s">
        <v>110</v>
      </c>
      <c r="C30" s="59"/>
      <c r="D30" s="11"/>
      <c r="E30" s="36"/>
      <c r="F30" s="11"/>
      <c r="G30" s="36"/>
      <c r="H30" s="11"/>
      <c r="I30" s="36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6"/>
      <c r="V30" s="11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59"/>
      <c r="AM30" s="59"/>
      <c r="AN30" s="60">
        <f>+AN15</f>
        <v>0</v>
      </c>
      <c r="AO30" s="60"/>
      <c r="AP30" s="60"/>
      <c r="AQ30" s="60"/>
      <c r="AR30" s="59"/>
      <c r="AS30" s="59"/>
      <c r="AT30" s="62"/>
    </row>
    <row r="31" spans="1:47" ht="13.5" thickBot="1" x14ac:dyDescent="0.25">
      <c r="A31" s="58"/>
      <c r="B31" s="59"/>
      <c r="C31" s="59"/>
      <c r="D31" s="11"/>
      <c r="E31" s="36"/>
      <c r="F31" s="11"/>
      <c r="G31" s="36"/>
      <c r="H31" s="11"/>
      <c r="I31" s="36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6"/>
      <c r="V31" s="11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59"/>
      <c r="AM31" s="59"/>
      <c r="AN31" s="63">
        <f>SUM(AN20:AN29)</f>
        <v>0</v>
      </c>
      <c r="AO31" s="59" t="s">
        <v>111</v>
      </c>
      <c r="AP31" s="59"/>
      <c r="AQ31" s="60"/>
      <c r="AR31" s="59"/>
      <c r="AS31" s="59"/>
      <c r="AT31" s="62"/>
    </row>
    <row r="32" spans="1:47" ht="13.5" thickTop="1" x14ac:dyDescent="0.2">
      <c r="A32" s="58"/>
      <c r="B32" s="59"/>
      <c r="C32" s="59"/>
      <c r="D32" s="11"/>
      <c r="E32" s="36"/>
      <c r="F32" s="11"/>
      <c r="G32" s="36"/>
      <c r="H32" s="11"/>
      <c r="I32" s="36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6"/>
      <c r="V32" s="11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  <c r="AL32" s="59"/>
      <c r="AM32" s="59"/>
      <c r="AN32" s="60"/>
      <c r="AO32" s="59"/>
      <c r="AP32" s="59"/>
      <c r="AQ32" s="60"/>
      <c r="AR32" s="59"/>
      <c r="AS32" s="59"/>
      <c r="AT32" s="62"/>
    </row>
    <row r="33" spans="1:46" ht="13.5" thickBot="1" x14ac:dyDescent="0.25">
      <c r="A33" s="64"/>
      <c r="B33" s="65"/>
      <c r="C33" s="65"/>
      <c r="D33" s="67"/>
      <c r="E33" s="66"/>
      <c r="F33" s="67"/>
      <c r="G33" s="66"/>
      <c r="H33" s="67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6"/>
      <c r="V33" s="67"/>
      <c r="W33" s="65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9"/>
      <c r="AL33" s="65"/>
      <c r="AM33" s="65"/>
      <c r="AN33" s="68"/>
      <c r="AO33" s="65"/>
      <c r="AP33" s="65"/>
      <c r="AQ33" s="68"/>
      <c r="AR33" s="65"/>
      <c r="AS33" s="65"/>
      <c r="AT33" s="70"/>
    </row>
    <row r="34" spans="1:46" x14ac:dyDescent="0.2">
      <c r="D34" s="11"/>
      <c r="E34" s="9"/>
      <c r="F34" s="11"/>
      <c r="G34" s="9"/>
      <c r="H34" s="11"/>
      <c r="I34" s="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9"/>
      <c r="V34" s="11"/>
      <c r="X34" s="15"/>
      <c r="Y34" s="15"/>
      <c r="AL34" s="15"/>
      <c r="AN34" s="15"/>
    </row>
    <row r="35" spans="1:46" outlineLevel="1" x14ac:dyDescent="0.2">
      <c r="D35" s="11"/>
      <c r="E35" s="9"/>
      <c r="F35" s="11"/>
      <c r="G35" s="9"/>
      <c r="H35" s="11"/>
      <c r="I35" s="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9"/>
      <c r="V35" s="11"/>
      <c r="AM35" s="15"/>
    </row>
    <row r="36" spans="1:46" outlineLevel="1" x14ac:dyDescent="0.2">
      <c r="D36" s="25" t="s">
        <v>2</v>
      </c>
      <c r="E36" s="7"/>
      <c r="F36" s="7"/>
      <c r="G36" s="7"/>
      <c r="H36" s="7"/>
      <c r="I36" s="7"/>
      <c r="J36" s="25" t="s">
        <v>3</v>
      </c>
      <c r="K36" s="25"/>
      <c r="L36" s="25"/>
      <c r="M36" s="25"/>
      <c r="N36" s="25"/>
      <c r="O36" s="25"/>
      <c r="P36" s="25"/>
      <c r="Q36" s="25"/>
      <c r="R36" s="25"/>
      <c r="S36" s="25"/>
      <c r="T36" s="7"/>
      <c r="U36" s="7"/>
      <c r="V36" s="25" t="s">
        <v>4</v>
      </c>
      <c r="X36" s="15"/>
      <c r="Y36" s="15"/>
    </row>
    <row r="37" spans="1:46" outlineLevel="1" x14ac:dyDescent="0.2">
      <c r="D37" s="10" t="s">
        <v>5</v>
      </c>
      <c r="E37" s="9"/>
      <c r="F37" s="10" t="s">
        <v>6</v>
      </c>
      <c r="G37" s="9"/>
      <c r="H37" s="10" t="s">
        <v>7</v>
      </c>
      <c r="I37" s="9"/>
      <c r="J37" s="10" t="s">
        <v>8</v>
      </c>
      <c r="K37" s="11"/>
      <c r="L37" s="11"/>
      <c r="M37" s="11"/>
      <c r="N37" s="11"/>
      <c r="O37" s="11"/>
      <c r="P37" s="11"/>
      <c r="Q37" s="11"/>
      <c r="R37" s="11"/>
      <c r="S37" s="11"/>
      <c r="T37" s="10" t="s">
        <v>9</v>
      </c>
      <c r="U37" s="9"/>
      <c r="V37" s="10" t="s">
        <v>5</v>
      </c>
    </row>
    <row r="38" spans="1:46" outlineLevel="2" x14ac:dyDescent="0.2">
      <c r="A38" s="8">
        <v>101</v>
      </c>
      <c r="B38" s="12" t="s">
        <v>10</v>
      </c>
      <c r="Z38" s="15"/>
      <c r="AA38" s="15"/>
    </row>
    <row r="39" spans="1:46" outlineLevel="2" x14ac:dyDescent="0.2">
      <c r="B39" s="12" t="s">
        <v>11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46" outlineLevel="2" x14ac:dyDescent="0.2">
      <c r="C40" s="3" t="s">
        <v>12</v>
      </c>
      <c r="D40" s="17">
        <f>+'KU_Summary - Cost - P1 (REG)'!D11</f>
        <v>1684517943.6299996</v>
      </c>
      <c r="E40" s="14"/>
      <c r="F40" s="17">
        <f>+'KU_Summary - Cost - P1 (REG)'!F11</f>
        <v>93561334.219999999</v>
      </c>
      <c r="G40" s="14"/>
      <c r="H40" s="17">
        <f>+'KU_Summary - Cost - P1 (REG)'!H11</f>
        <v>-25442908.199999999</v>
      </c>
      <c r="I40" s="14"/>
      <c r="J40" s="17">
        <f>+'KU_Summary - Cost - P1 (REG)'!J11</f>
        <v>-1005298.8999999999</v>
      </c>
      <c r="K40" s="14"/>
      <c r="L40" s="14"/>
      <c r="M40" s="14"/>
      <c r="N40" s="14"/>
      <c r="O40" s="14"/>
      <c r="P40" s="14"/>
      <c r="Q40" s="14"/>
      <c r="R40" s="14"/>
      <c r="S40" s="14"/>
      <c r="T40" s="14">
        <f>F40+H40+J40</f>
        <v>67113127.11999999</v>
      </c>
      <c r="U40" s="14"/>
      <c r="V40" s="14">
        <f>D40+T40</f>
        <v>1751631070.7499995</v>
      </c>
    </row>
    <row r="41" spans="1:46" outlineLevel="2" x14ac:dyDescent="0.2">
      <c r="C41" s="3" t="s">
        <v>13</v>
      </c>
      <c r="D41" s="17">
        <f>+'KU_Summary - Cost - P1 (REG)'!D12</f>
        <v>172180002.78999999</v>
      </c>
      <c r="E41" s="14"/>
      <c r="F41" s="17">
        <f>+'KU_Summary - Cost - P1 (REG)'!F12</f>
        <v>16643379.35</v>
      </c>
      <c r="G41" s="14"/>
      <c r="H41" s="17">
        <f>+'KU_Summary - Cost - P1 (REG)'!H12</f>
        <v>-5739015.4200000009</v>
      </c>
      <c r="I41" s="14"/>
      <c r="J41" s="17">
        <f>+'KU_Summary - Cost - P1 (REG)'!J12</f>
        <v>-131956.31</v>
      </c>
      <c r="K41" s="14"/>
      <c r="L41" s="14"/>
      <c r="M41" s="14"/>
      <c r="N41" s="14"/>
      <c r="O41" s="14"/>
      <c r="P41" s="14"/>
      <c r="Q41" s="14"/>
      <c r="R41" s="14"/>
      <c r="S41" s="14"/>
      <c r="T41" s="14">
        <f t="shared" ref="T41:T46" si="2">F41+H41+J41</f>
        <v>10772407.619999999</v>
      </c>
      <c r="U41" s="14"/>
      <c r="V41" s="14">
        <f t="shared" ref="V41:V46" si="3">D41+T41</f>
        <v>182952410.41</v>
      </c>
    </row>
    <row r="42" spans="1:46" outlineLevel="2" x14ac:dyDescent="0.2">
      <c r="C42" s="3" t="s">
        <v>14</v>
      </c>
      <c r="D42" s="17">
        <f>+'KU_Summary - Cost - P1 (REG)'!D13</f>
        <v>42370918.609999999</v>
      </c>
      <c r="E42" s="14"/>
      <c r="F42" s="17">
        <f>+'KU_Summary - Cost - P1 (REG)'!F13</f>
        <v>0</v>
      </c>
      <c r="G42" s="14"/>
      <c r="H42" s="17">
        <f>+'KU_Summary - Cost - P1 (REG)'!H13</f>
        <v>-23675</v>
      </c>
      <c r="I42" s="14"/>
      <c r="J42" s="17">
        <f>+'KU_Summary - Cost - P1 (REG)'!J13</f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>
        <f t="shared" si="2"/>
        <v>-23675</v>
      </c>
      <c r="U42" s="14"/>
      <c r="V42" s="14">
        <f t="shared" si="3"/>
        <v>42347243.609999999</v>
      </c>
    </row>
    <row r="43" spans="1:46" outlineLevel="2" x14ac:dyDescent="0.2">
      <c r="C43" s="3" t="s">
        <v>15</v>
      </c>
      <c r="D43" s="17">
        <f>+'KU_Summary - Cost - P1 (REG)'!D14</f>
        <v>89979230.909999996</v>
      </c>
      <c r="E43" s="14"/>
      <c r="F43" s="17">
        <f>+'KU_Summary - Cost - P1 (REG)'!F14</f>
        <v>11083870.050000001</v>
      </c>
      <c r="G43" s="14"/>
      <c r="H43" s="17">
        <f>+'KU_Summary - Cost - P1 (REG)'!H14</f>
        <v>-7464577.3600000003</v>
      </c>
      <c r="I43" s="14"/>
      <c r="J43" s="17">
        <f>+'KU_Summary - Cost - P1 (REG)'!J14</f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>
        <f t="shared" si="2"/>
        <v>3619292.6900000004</v>
      </c>
      <c r="U43" s="14"/>
      <c r="V43" s="14">
        <f t="shared" si="3"/>
        <v>93598523.599999994</v>
      </c>
    </row>
    <row r="44" spans="1:46" outlineLevel="2" x14ac:dyDescent="0.2">
      <c r="C44" s="3" t="s">
        <v>16</v>
      </c>
      <c r="D44" s="17">
        <f>+'KU_Summary - Cost - P1 (REG)'!D15</f>
        <v>970001317.19000006</v>
      </c>
      <c r="E44" s="14"/>
      <c r="F44" s="17">
        <f>+'KU_Summary - Cost - P1 (REG)'!F15</f>
        <v>28804692.879999999</v>
      </c>
      <c r="G44" s="14"/>
      <c r="H44" s="17">
        <f>+'KU_Summary - Cost - P1 (REG)'!H15</f>
        <v>-3080794.96</v>
      </c>
      <c r="I44" s="14"/>
      <c r="J44" s="17">
        <f>+'KU_Summary - Cost - P1 (REG)'!J15</f>
        <v>3647.0299999999988</v>
      </c>
      <c r="K44" s="14"/>
      <c r="L44" s="14"/>
      <c r="M44" s="14"/>
      <c r="N44" s="14"/>
      <c r="O44" s="14"/>
      <c r="P44" s="14"/>
      <c r="Q44" s="14"/>
      <c r="R44" s="14"/>
      <c r="S44" s="14"/>
      <c r="T44" s="14">
        <f t="shared" si="2"/>
        <v>25727544.949999999</v>
      </c>
      <c r="U44" s="14"/>
      <c r="V44" s="14">
        <f t="shared" si="3"/>
        <v>995728862.1400001</v>
      </c>
    </row>
    <row r="45" spans="1:46" outlineLevel="2" x14ac:dyDescent="0.2">
      <c r="C45" s="3" t="s">
        <v>17</v>
      </c>
      <c r="D45" s="17">
        <f>+'KU_Summary - Cost - P1 (REG)'!D16</f>
        <v>3964520211.1800003</v>
      </c>
      <c r="E45" s="14"/>
      <c r="F45" s="17">
        <f>+'KU_Summary - Cost - P1 (REG)'!F16</f>
        <v>505487308.81999999</v>
      </c>
      <c r="G45" s="14"/>
      <c r="H45" s="17">
        <f>+'KU_Summary - Cost - P1 (REG)'!H16</f>
        <v>-14556935.390000001</v>
      </c>
      <c r="I45" s="14"/>
      <c r="J45" s="17">
        <f>+'KU_Summary - Cost - P1 (REG)'!J16</f>
        <v>-45940016.920000002</v>
      </c>
      <c r="K45" s="14"/>
      <c r="L45" s="14"/>
      <c r="M45" s="14"/>
      <c r="N45" s="14"/>
      <c r="O45" s="14"/>
      <c r="P45" s="14"/>
      <c r="Q45" s="14"/>
      <c r="R45" s="14"/>
      <c r="S45" s="14"/>
      <c r="T45" s="14">
        <f t="shared" si="2"/>
        <v>444990356.50999999</v>
      </c>
      <c r="U45" s="14"/>
      <c r="V45" s="14">
        <f t="shared" si="3"/>
        <v>4409510567.6900005</v>
      </c>
    </row>
    <row r="46" spans="1:46" outlineLevel="2" x14ac:dyDescent="0.2">
      <c r="C46" s="3" t="s">
        <v>18</v>
      </c>
      <c r="D46" s="17">
        <f>+'KU_Summary - Cost - P1 (REG)'!D17</f>
        <v>816011552.08999979</v>
      </c>
      <c r="E46" s="14"/>
      <c r="F46" s="17">
        <f>+'KU_Summary - Cost - P1 (REG)'!F17</f>
        <v>60852418.960000001</v>
      </c>
      <c r="G46" s="14"/>
      <c r="H46" s="17">
        <f>+'KU_Summary - Cost - P1 (REG)'!H17</f>
        <v>-12699756.27</v>
      </c>
      <c r="I46" s="14"/>
      <c r="J46" s="17">
        <f>+'KU_Summary - Cost - P1 (REG)'!J17</f>
        <v>731109.45000000007</v>
      </c>
      <c r="K46" s="17"/>
      <c r="L46" s="17"/>
      <c r="M46" s="17"/>
      <c r="N46" s="17"/>
      <c r="O46" s="17"/>
      <c r="P46" s="17"/>
      <c r="Q46" s="17"/>
      <c r="R46" s="17"/>
      <c r="S46" s="17"/>
      <c r="T46" s="16">
        <f t="shared" si="2"/>
        <v>48883772.140000001</v>
      </c>
      <c r="U46" s="14"/>
      <c r="V46" s="16">
        <f t="shared" si="3"/>
        <v>864895324.22999978</v>
      </c>
    </row>
    <row r="47" spans="1:46" outlineLevel="2" x14ac:dyDescent="0.2">
      <c r="D47" s="18"/>
      <c r="E47" s="14"/>
      <c r="F47" s="18"/>
      <c r="G47" s="14"/>
      <c r="H47" s="18"/>
      <c r="I47" s="14"/>
      <c r="J47" s="1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46" outlineLevel="2" x14ac:dyDescent="0.2">
      <c r="C48" s="12" t="s">
        <v>19</v>
      </c>
      <c r="D48" s="16">
        <f>SUM(D40:D46)</f>
        <v>7739581176.3999996</v>
      </c>
      <c r="E48" s="14"/>
      <c r="F48" s="16">
        <f>SUM(F40:F46)</f>
        <v>716433004.27999997</v>
      </c>
      <c r="G48" s="14"/>
      <c r="H48" s="16">
        <f>SUM(H40:H46)</f>
        <v>-69007662.600000009</v>
      </c>
      <c r="I48" s="14"/>
      <c r="J48" s="16">
        <f>SUM(J40:J46)</f>
        <v>-46342515.649999999</v>
      </c>
      <c r="K48" s="17"/>
      <c r="L48" s="17"/>
      <c r="M48" s="17"/>
      <c r="N48" s="17"/>
      <c r="O48" s="17"/>
      <c r="P48" s="17"/>
      <c r="Q48" s="17"/>
      <c r="R48" s="17"/>
      <c r="S48" s="17"/>
      <c r="T48" s="16">
        <f>SUM(T40:T46)</f>
        <v>601082826.02999997</v>
      </c>
      <c r="U48" s="14"/>
      <c r="V48" s="16">
        <f>SUM(V40:V46)</f>
        <v>8340664002.4299994</v>
      </c>
    </row>
    <row r="49" spans="1:22" outlineLevel="2" x14ac:dyDescent="0.2">
      <c r="C49" s="12"/>
      <c r="D49" s="17"/>
      <c r="E49" s="14"/>
      <c r="F49" s="17"/>
      <c r="G49" s="14"/>
      <c r="H49" s="17"/>
      <c r="I49" s="14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4"/>
      <c r="V49" s="17"/>
    </row>
    <row r="50" spans="1:22" outlineLevel="2" x14ac:dyDescent="0.2">
      <c r="C50" s="12"/>
      <c r="D50" s="17"/>
      <c r="E50" s="14"/>
      <c r="F50" s="17"/>
      <c r="G50" s="14"/>
      <c r="H50" s="17"/>
      <c r="I50" s="14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4"/>
      <c r="V50" s="17"/>
    </row>
    <row r="51" spans="1:22" outlineLevel="2" x14ac:dyDescent="0.2">
      <c r="A51" s="8">
        <v>102</v>
      </c>
      <c r="B51" s="12" t="s">
        <v>20</v>
      </c>
      <c r="C51" s="12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outlineLevel="2" x14ac:dyDescent="0.2">
      <c r="B52" s="12" t="s">
        <v>11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outlineLevel="2" x14ac:dyDescent="0.2">
      <c r="B53" s="12"/>
      <c r="C53" s="3" t="s">
        <v>13</v>
      </c>
      <c r="D53" s="17">
        <f>+'KU_Summary - Cost - P1 (REG)'!D24</f>
        <v>0</v>
      </c>
      <c r="E53" s="14"/>
      <c r="F53" s="17">
        <f>+'KU_Summary - Cost - P1 (REG)'!F24</f>
        <v>0</v>
      </c>
      <c r="G53" s="14"/>
      <c r="H53" s="17">
        <f>+'KU_Summary - Cost - P1 (REG)'!H24</f>
        <v>0</v>
      </c>
      <c r="I53" s="14"/>
      <c r="J53" s="17">
        <f>+'KU_Summary - Cost - P1 (REG)'!J24</f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7">
        <f>F53+H53+J53</f>
        <v>0</v>
      </c>
      <c r="U53" s="17"/>
      <c r="V53" s="17">
        <f>D53+T53</f>
        <v>0</v>
      </c>
    </row>
    <row r="54" spans="1:22" outlineLevel="2" x14ac:dyDescent="0.2">
      <c r="C54" s="3" t="s">
        <v>21</v>
      </c>
      <c r="D54" s="16">
        <f>+'KU_Summary - Cost - P1 (REG)'!D25</f>
        <v>0</v>
      </c>
      <c r="E54" s="14"/>
      <c r="F54" s="17">
        <f>+'KU_Summary - Cost - P1 (REG)'!F25</f>
        <v>0</v>
      </c>
      <c r="G54" s="14"/>
      <c r="H54" s="17">
        <f>+'KU_Summary - Cost - P1 (REG)'!H25</f>
        <v>0</v>
      </c>
      <c r="I54" s="14"/>
      <c r="J54" s="17">
        <f>+'KU_Summary - Cost - P1 (REG)'!J25</f>
        <v>0</v>
      </c>
      <c r="K54" s="17"/>
      <c r="L54" s="17"/>
      <c r="M54" s="17"/>
      <c r="N54" s="17"/>
      <c r="O54" s="17"/>
      <c r="P54" s="17"/>
      <c r="Q54" s="17"/>
      <c r="R54" s="17"/>
      <c r="S54" s="17"/>
      <c r="T54" s="16">
        <f>F54+H54+J54</f>
        <v>0</v>
      </c>
      <c r="U54" s="14"/>
      <c r="V54" s="16">
        <f>D54+T54</f>
        <v>0</v>
      </c>
    </row>
    <row r="55" spans="1:22" outlineLevel="2" x14ac:dyDescent="0.2">
      <c r="D55" s="14"/>
      <c r="E55" s="14"/>
      <c r="F55" s="18"/>
      <c r="G55" s="14"/>
      <c r="H55" s="18"/>
      <c r="I55" s="14"/>
      <c r="J55" s="18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outlineLevel="2" x14ac:dyDescent="0.2">
      <c r="C56" s="12" t="s">
        <v>22</v>
      </c>
      <c r="D56" s="16">
        <f>SUM(D53:D54)</f>
        <v>0</v>
      </c>
      <c r="E56" s="14"/>
      <c r="F56" s="16">
        <f>SUM(F53:F54)</f>
        <v>0</v>
      </c>
      <c r="G56" s="14"/>
      <c r="H56" s="16">
        <f>SUM(H53:H54)</f>
        <v>0</v>
      </c>
      <c r="I56" s="14"/>
      <c r="J56" s="16">
        <f>SUM(J53:J54)</f>
        <v>0</v>
      </c>
      <c r="K56" s="17"/>
      <c r="L56" s="17"/>
      <c r="M56" s="17"/>
      <c r="N56" s="17"/>
      <c r="O56" s="17"/>
      <c r="P56" s="17"/>
      <c r="Q56" s="17"/>
      <c r="R56" s="17"/>
      <c r="S56" s="17"/>
      <c r="T56" s="16">
        <f>SUM(T53:T54)</f>
        <v>0</v>
      </c>
      <c r="U56" s="14"/>
      <c r="V56" s="16">
        <f>SUM(V53:V54)</f>
        <v>0</v>
      </c>
    </row>
    <row r="57" spans="1:22" outlineLevel="2" x14ac:dyDescent="0.2">
      <c r="C57" s="12"/>
      <c r="D57" s="17"/>
      <c r="E57" s="14"/>
      <c r="F57" s="17"/>
      <c r="G57" s="14"/>
      <c r="H57" s="17"/>
      <c r="I57" s="14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4"/>
      <c r="V57" s="17"/>
    </row>
    <row r="58" spans="1:22" outlineLevel="2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outlineLevel="2" x14ac:dyDescent="0.2">
      <c r="A59" s="8">
        <v>105</v>
      </c>
      <c r="B59" s="12" t="s">
        <v>23</v>
      </c>
      <c r="C59" s="12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outlineLevel="2" x14ac:dyDescent="0.2">
      <c r="B60" s="12" t="s">
        <v>11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outlineLevel="2" x14ac:dyDescent="0.2">
      <c r="B61" s="12"/>
      <c r="C61" s="3" t="s">
        <v>12</v>
      </c>
      <c r="D61" s="14">
        <f>+'KU_Summary - Cost - P1 (REG)'!D32</f>
        <v>437970.09</v>
      </c>
      <c r="E61" s="14"/>
      <c r="F61" s="14">
        <f>+'KU_Summary - Cost - P1 (REG)'!F32</f>
        <v>0</v>
      </c>
      <c r="G61" s="14"/>
      <c r="H61" s="14">
        <f>+'KU_Summary - Cost - P1 (REG)'!H32</f>
        <v>0</v>
      </c>
      <c r="I61" s="14"/>
      <c r="J61" s="14">
        <f>+'KU_Summary - Cost - P1 (REG)'!J32</f>
        <v>1033452.5</v>
      </c>
      <c r="K61" s="14"/>
      <c r="L61" s="14"/>
      <c r="M61" s="14"/>
      <c r="N61" s="14"/>
      <c r="O61" s="14"/>
      <c r="P61" s="14"/>
      <c r="Q61" s="14"/>
      <c r="R61" s="14"/>
      <c r="S61" s="14"/>
      <c r="T61" s="14">
        <f>F61+H61+J61</f>
        <v>1033452.5</v>
      </c>
      <c r="U61" s="14"/>
      <c r="V61" s="14">
        <f>D61+T61</f>
        <v>1471422.59</v>
      </c>
    </row>
    <row r="62" spans="1:22" outlineLevel="2" x14ac:dyDescent="0.2">
      <c r="B62" s="12"/>
      <c r="C62" s="43" t="s">
        <v>16</v>
      </c>
      <c r="D62" s="14">
        <f>+'KU_Summary - Cost - P1 (REG)'!D33</f>
        <v>309540.84999999998</v>
      </c>
      <c r="E62" s="14"/>
      <c r="F62" s="14">
        <f>+'KU_Summary - Cost - P1 (REG)'!F33</f>
        <v>0</v>
      </c>
      <c r="G62" s="14"/>
      <c r="H62" s="14">
        <f>+'KU_Summary - Cost - P1 (REG)'!H33</f>
        <v>0</v>
      </c>
      <c r="I62" s="14"/>
      <c r="J62" s="14">
        <f>+'KU_Summary - Cost - P1 (REG)'!J33</f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>
        <f>F62+H62+J62</f>
        <v>0</v>
      </c>
      <c r="U62" s="14"/>
      <c r="V62" s="14">
        <f>D62+T62</f>
        <v>309540.84999999998</v>
      </c>
    </row>
    <row r="63" spans="1:22" outlineLevel="2" x14ac:dyDescent="0.2">
      <c r="C63" s="3" t="s">
        <v>21</v>
      </c>
      <c r="D63" s="17">
        <f>+'KU_Summary - Cost - P1 (REG)'!D34</f>
        <v>0</v>
      </c>
      <c r="E63" s="14"/>
      <c r="F63" s="14">
        <f>+'KU_Summary - Cost - P1 (REG)'!F34</f>
        <v>0</v>
      </c>
      <c r="G63" s="14"/>
      <c r="H63" s="14">
        <f>+'KU_Summary - Cost - P1 (REG)'!H34</f>
        <v>0</v>
      </c>
      <c r="I63" s="14"/>
      <c r="J63" s="14">
        <f>+'KU_Summary - Cost - P1 (REG)'!J34</f>
        <v>0</v>
      </c>
      <c r="K63" s="17"/>
      <c r="L63" s="17"/>
      <c r="M63" s="17"/>
      <c r="N63" s="17"/>
      <c r="O63" s="17"/>
      <c r="P63" s="17"/>
      <c r="Q63" s="17"/>
      <c r="R63" s="17"/>
      <c r="S63" s="17"/>
      <c r="T63" s="17">
        <f>F63+H63+J63</f>
        <v>0</v>
      </c>
      <c r="U63" s="17"/>
      <c r="V63" s="17">
        <f>D63+T63</f>
        <v>0</v>
      </c>
    </row>
    <row r="64" spans="1:22" outlineLevel="2" x14ac:dyDescent="0.2">
      <c r="C64" s="3" t="s">
        <v>13</v>
      </c>
      <c r="D64" s="17">
        <f>+'KU_Summary - Cost - P1 (REG)'!D35</f>
        <v>0</v>
      </c>
      <c r="E64" s="14"/>
      <c r="F64" s="14">
        <f>+'KU_Summary - Cost - P1 (REG)'!F35</f>
        <v>0</v>
      </c>
      <c r="G64" s="14"/>
      <c r="H64" s="14">
        <f>+'KU_Summary - Cost - P1 (REG)'!H35</f>
        <v>0</v>
      </c>
      <c r="I64" s="14"/>
      <c r="J64" s="14">
        <f>+'KU_Summary - Cost - P1 (REG)'!J35</f>
        <v>131956.31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f>F64+H64+J64</f>
        <v>131956.31</v>
      </c>
      <c r="U64" s="17"/>
      <c r="V64" s="17">
        <f>D64+T64</f>
        <v>131956.31</v>
      </c>
    </row>
    <row r="65" spans="1:22" outlineLevel="2" x14ac:dyDescent="0.2">
      <c r="D65" s="18"/>
      <c r="E65" s="14"/>
      <c r="F65" s="18"/>
      <c r="G65" s="14"/>
      <c r="H65" s="18"/>
      <c r="I65" s="14"/>
      <c r="J65" s="18"/>
      <c r="K65" s="14"/>
      <c r="L65" s="14"/>
      <c r="M65" s="14"/>
      <c r="N65" s="14"/>
      <c r="O65" s="14"/>
      <c r="P65" s="14"/>
      <c r="Q65" s="14"/>
      <c r="R65" s="14"/>
      <c r="S65" s="14"/>
      <c r="T65" s="18"/>
      <c r="U65" s="14"/>
      <c r="V65" s="18"/>
    </row>
    <row r="66" spans="1:22" outlineLevel="2" x14ac:dyDescent="0.2">
      <c r="C66" s="12" t="s">
        <v>24</v>
      </c>
      <c r="D66" s="16">
        <f>SUM(D61:D65)</f>
        <v>747510.94</v>
      </c>
      <c r="E66" s="14"/>
      <c r="F66" s="16">
        <f>SUM(F61:F65)</f>
        <v>0</v>
      </c>
      <c r="G66" s="14"/>
      <c r="H66" s="16">
        <f>SUM(H61:H65)</f>
        <v>0</v>
      </c>
      <c r="I66" s="14"/>
      <c r="J66" s="16">
        <f>SUM(J61:J65)</f>
        <v>1165408.81</v>
      </c>
      <c r="K66" s="17"/>
      <c r="L66" s="17"/>
      <c r="M66" s="17"/>
      <c r="N66" s="17"/>
      <c r="O66" s="17"/>
      <c r="P66" s="17"/>
      <c r="Q66" s="17"/>
      <c r="R66" s="17"/>
      <c r="S66" s="17"/>
      <c r="T66" s="16">
        <f>SUM(T61:T65)</f>
        <v>1165408.81</v>
      </c>
      <c r="U66" s="14"/>
      <c r="V66" s="16">
        <f>SUM(V61:V65)</f>
        <v>1912919.75</v>
      </c>
    </row>
    <row r="67" spans="1:22" outlineLevel="2" x14ac:dyDescent="0.2">
      <c r="C67" s="12"/>
      <c r="D67" s="17"/>
      <c r="E67" s="14"/>
      <c r="F67" s="17"/>
      <c r="G67" s="14"/>
      <c r="H67" s="17"/>
      <c r="I67" s="14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4"/>
      <c r="V67" s="17"/>
    </row>
    <row r="68" spans="1:22" outlineLevel="2" x14ac:dyDescent="0.2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outlineLevel="2" x14ac:dyDescent="0.2">
      <c r="A69" s="8">
        <v>106</v>
      </c>
      <c r="B69" s="12" t="s">
        <v>25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outlineLevel="2" x14ac:dyDescent="0.2">
      <c r="B70" s="12" t="s">
        <v>11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outlineLevel="2" x14ac:dyDescent="0.2">
      <c r="C71" s="3" t="s">
        <v>12</v>
      </c>
      <c r="D71" s="14">
        <f>+'KU_Summary - Cost - P1 (REG)'!D42</f>
        <v>62022822.450000033</v>
      </c>
      <c r="E71" s="14"/>
      <c r="F71" s="14">
        <f>+'KU_Summary - Cost - P1 (REG)'!F42</f>
        <v>-9804642.7100000009</v>
      </c>
      <c r="G71" s="14"/>
      <c r="H71" s="14">
        <f>+'KU_Summary - Cost - P1 (REG)'!H42</f>
        <v>0</v>
      </c>
      <c r="I71" s="14"/>
      <c r="J71" s="14">
        <f>+'KU_Summary - Cost - P1 (REG)'!J42</f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>
        <f t="shared" ref="T71:T77" si="4">F71+H71+J71</f>
        <v>-9804642.7100000009</v>
      </c>
      <c r="U71" s="14"/>
      <c r="V71" s="14">
        <f t="shared" ref="V71:V77" si="5">D71+T71</f>
        <v>52218179.740000032</v>
      </c>
    </row>
    <row r="72" spans="1:22" outlineLevel="2" x14ac:dyDescent="0.2">
      <c r="C72" s="3" t="s">
        <v>13</v>
      </c>
      <c r="D72" s="14">
        <f>+'KU_Summary - Cost - P1 (REG)'!D43</f>
        <v>10696990.269999998</v>
      </c>
      <c r="E72" s="14"/>
      <c r="F72" s="14">
        <f>+'KU_Summary - Cost - P1 (REG)'!F43</f>
        <v>-7206482.3600000003</v>
      </c>
      <c r="G72" s="14"/>
      <c r="H72" s="14">
        <f>+'KU_Summary - Cost - P1 (REG)'!H43</f>
        <v>0</v>
      </c>
      <c r="I72" s="14"/>
      <c r="J72" s="14">
        <f>+'KU_Summary - Cost - P1 (REG)'!J43</f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>
        <f t="shared" si="4"/>
        <v>-7206482.3600000003</v>
      </c>
      <c r="U72" s="14"/>
      <c r="V72" s="14">
        <f t="shared" si="5"/>
        <v>3490507.9099999974</v>
      </c>
    </row>
    <row r="73" spans="1:22" outlineLevel="2" x14ac:dyDescent="0.2">
      <c r="C73" s="3" t="s">
        <v>14</v>
      </c>
      <c r="D73" s="14">
        <f>+'KU_Summary - Cost - P1 (REG)'!D44</f>
        <v>9.8953023552894592E-10</v>
      </c>
      <c r="E73" s="14"/>
      <c r="F73" s="14">
        <f>+'KU_Summary - Cost - P1 (REG)'!F44</f>
        <v>31713.32</v>
      </c>
      <c r="G73" s="14"/>
      <c r="H73" s="14">
        <f>+'KU_Summary - Cost - P1 (REG)'!H44</f>
        <v>0</v>
      </c>
      <c r="I73" s="14"/>
      <c r="J73" s="14">
        <f>+'KU_Summary - Cost - P1 (REG)'!J44</f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>
        <f t="shared" si="4"/>
        <v>31713.32</v>
      </c>
      <c r="U73" s="14"/>
      <c r="V73" s="14">
        <f t="shared" si="5"/>
        <v>31713.320000000989</v>
      </c>
    </row>
    <row r="74" spans="1:22" outlineLevel="2" x14ac:dyDescent="0.2">
      <c r="C74" s="3" t="s">
        <v>15</v>
      </c>
      <c r="D74" s="14">
        <f>+'KU_Summary - Cost - P1 (REG)'!D45</f>
        <v>8287193.8500000006</v>
      </c>
      <c r="E74" s="14"/>
      <c r="F74" s="14">
        <f>+'KU_Summary - Cost - P1 (REG)'!F45</f>
        <v>16803016.91</v>
      </c>
      <c r="G74" s="14"/>
      <c r="H74" s="14">
        <f>+'KU_Summary - Cost - P1 (REG)'!H45</f>
        <v>0</v>
      </c>
      <c r="I74" s="14"/>
      <c r="J74" s="14">
        <f>+'KU_Summary - Cost - P1 (REG)'!J45</f>
        <v>0</v>
      </c>
      <c r="K74" s="14"/>
      <c r="L74" s="14"/>
      <c r="M74" s="14"/>
      <c r="N74" s="14"/>
      <c r="O74" s="14"/>
      <c r="P74" s="14"/>
      <c r="Q74" s="14"/>
      <c r="R74" s="14"/>
      <c r="S74" s="14"/>
      <c r="T74" s="14">
        <f t="shared" si="4"/>
        <v>16803016.91</v>
      </c>
      <c r="U74" s="14"/>
      <c r="V74" s="14">
        <f t="shared" si="5"/>
        <v>25090210.760000002</v>
      </c>
    </row>
    <row r="75" spans="1:22" outlineLevel="2" x14ac:dyDescent="0.2">
      <c r="C75" s="3" t="s">
        <v>16</v>
      </c>
      <c r="D75" s="14">
        <f>+'KU_Summary - Cost - P1 (REG)'!D46</f>
        <v>27073369.97299999</v>
      </c>
      <c r="E75" s="14"/>
      <c r="F75" s="14">
        <f>+'KU_Summary - Cost - P1 (REG)'!F46</f>
        <v>3614003.58</v>
      </c>
      <c r="G75" s="14"/>
      <c r="H75" s="14">
        <f>+'KU_Summary - Cost - P1 (REG)'!H46</f>
        <v>0</v>
      </c>
      <c r="I75" s="14"/>
      <c r="J75" s="14">
        <f>+'KU_Summary - Cost - P1 (REG)'!J46</f>
        <v>0</v>
      </c>
      <c r="K75" s="14"/>
      <c r="L75" s="14"/>
      <c r="M75" s="14"/>
      <c r="N75" s="14"/>
      <c r="O75" s="14"/>
      <c r="P75" s="14"/>
      <c r="Q75" s="14"/>
      <c r="R75" s="14"/>
      <c r="S75" s="14"/>
      <c r="T75" s="14">
        <f t="shared" si="4"/>
        <v>3614003.58</v>
      </c>
      <c r="U75" s="14"/>
      <c r="V75" s="14">
        <f t="shared" si="5"/>
        <v>30687373.552999988</v>
      </c>
    </row>
    <row r="76" spans="1:22" outlineLevel="2" x14ac:dyDescent="0.2">
      <c r="C76" s="3" t="s">
        <v>17</v>
      </c>
      <c r="D76" s="14">
        <f>+'KU_Summary - Cost - P1 (REG)'!D47</f>
        <v>1178439212.05</v>
      </c>
      <c r="E76" s="14"/>
      <c r="F76" s="14">
        <f>+'KU_Summary - Cost - P1 (REG)'!F47</f>
        <v>-415146554.89999998</v>
      </c>
      <c r="G76" s="14"/>
      <c r="H76" s="14">
        <f>+'KU_Summary - Cost - P1 (REG)'!H47</f>
        <v>0</v>
      </c>
      <c r="I76" s="14"/>
      <c r="J76" s="14">
        <f>+'KU_Summary - Cost - P1 (REG)'!J47</f>
        <v>0</v>
      </c>
      <c r="K76" s="14"/>
      <c r="L76" s="14"/>
      <c r="M76" s="14"/>
      <c r="N76" s="14"/>
      <c r="O76" s="14"/>
      <c r="P76" s="14"/>
      <c r="Q76" s="14"/>
      <c r="R76" s="14"/>
      <c r="S76" s="14"/>
      <c r="T76" s="14">
        <f t="shared" si="4"/>
        <v>-415146554.89999998</v>
      </c>
      <c r="U76" s="14"/>
      <c r="V76" s="14">
        <f t="shared" si="5"/>
        <v>763292657.14999998</v>
      </c>
    </row>
    <row r="77" spans="1:22" outlineLevel="2" x14ac:dyDescent="0.2">
      <c r="C77" s="3" t="s">
        <v>18</v>
      </c>
      <c r="D77" s="14">
        <f>+'KU_Summary - Cost - P1 (REG)'!D48</f>
        <v>58906529.730000004</v>
      </c>
      <c r="E77" s="14"/>
      <c r="F77" s="14">
        <f>+'KU_Summary - Cost - P1 (REG)'!F48</f>
        <v>889799.08</v>
      </c>
      <c r="G77" s="14"/>
      <c r="H77" s="14">
        <f>+'KU_Summary - Cost - P1 (REG)'!H48</f>
        <v>0</v>
      </c>
      <c r="I77" s="14"/>
      <c r="J77" s="17">
        <v>0</v>
      </c>
      <c r="K77" s="17"/>
      <c r="L77" s="17"/>
      <c r="M77" s="17"/>
      <c r="N77" s="17"/>
      <c r="O77" s="17"/>
      <c r="P77" s="17"/>
      <c r="Q77" s="17"/>
      <c r="R77" s="17"/>
      <c r="S77" s="17"/>
      <c r="T77" s="16">
        <f t="shared" si="4"/>
        <v>889799.08</v>
      </c>
      <c r="U77" s="14"/>
      <c r="V77" s="16">
        <f t="shared" si="5"/>
        <v>59796328.810000002</v>
      </c>
    </row>
    <row r="78" spans="1:22" outlineLevel="2" x14ac:dyDescent="0.2">
      <c r="D78" s="18"/>
      <c r="E78" s="14"/>
      <c r="F78" s="18"/>
      <c r="G78" s="14"/>
      <c r="H78" s="18"/>
      <c r="I78" s="14"/>
      <c r="J78" s="18"/>
      <c r="K78" s="14"/>
      <c r="L78" s="18"/>
      <c r="M78" s="14"/>
      <c r="N78" s="18"/>
      <c r="O78" s="14"/>
      <c r="P78" s="18"/>
      <c r="Q78" s="14"/>
      <c r="R78" s="18"/>
      <c r="S78" s="14"/>
      <c r="T78" s="14"/>
      <c r="U78" s="14"/>
      <c r="V78" s="14"/>
    </row>
    <row r="79" spans="1:22" outlineLevel="2" x14ac:dyDescent="0.2">
      <c r="C79" s="12" t="s">
        <v>26</v>
      </c>
      <c r="D79" s="16">
        <f>SUM(D71:D77)</f>
        <v>1345426118.323</v>
      </c>
      <c r="E79" s="14"/>
      <c r="F79" s="16">
        <f>SUM(F71:F77)</f>
        <v>-410819147.07999998</v>
      </c>
      <c r="G79" s="14"/>
      <c r="H79" s="16">
        <f>SUM(H71:H77)</f>
        <v>0</v>
      </c>
      <c r="I79" s="14"/>
      <c r="J79" s="16">
        <f>SUM(J71:J77)</f>
        <v>0</v>
      </c>
      <c r="K79" s="17"/>
      <c r="L79" s="17"/>
      <c r="M79" s="17"/>
      <c r="N79" s="17"/>
      <c r="O79" s="17"/>
      <c r="P79" s="17"/>
      <c r="Q79" s="17"/>
      <c r="R79" s="17"/>
      <c r="S79" s="17"/>
      <c r="T79" s="16">
        <f>SUM(T71:T77)</f>
        <v>-410819147.07999998</v>
      </c>
      <c r="U79" s="14"/>
      <c r="V79" s="16">
        <f>SUM(V71:V77)</f>
        <v>934606971.24300003</v>
      </c>
    </row>
    <row r="80" spans="1:22" outlineLevel="2" x14ac:dyDescent="0.2">
      <c r="C80" s="12"/>
      <c r="D80" s="17"/>
      <c r="E80" s="14"/>
      <c r="F80" s="17"/>
      <c r="G80" s="14"/>
      <c r="H80" s="17"/>
      <c r="I80" s="14"/>
      <c r="J80" s="17"/>
      <c r="K80" s="17"/>
      <c r="L80" s="18"/>
      <c r="M80" s="17"/>
      <c r="N80" s="18"/>
      <c r="O80" s="17"/>
      <c r="P80" s="18"/>
      <c r="Q80" s="17"/>
      <c r="R80" s="18"/>
      <c r="S80" s="17"/>
      <c r="T80" s="17"/>
      <c r="U80" s="14"/>
      <c r="V80" s="17"/>
    </row>
    <row r="81" spans="1:46" outlineLevel="2" x14ac:dyDescent="0.2">
      <c r="A81" s="71" t="s">
        <v>112</v>
      </c>
      <c r="C81" s="12"/>
      <c r="D81" s="17"/>
      <c r="E81" s="14"/>
      <c r="F81" s="17"/>
      <c r="G81" s="14"/>
      <c r="H81" s="17"/>
      <c r="I81" s="14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4"/>
      <c r="V81" s="17"/>
    </row>
    <row r="82" spans="1:46" outlineLevel="2" x14ac:dyDescent="0.2">
      <c r="A82" s="76" t="s">
        <v>113</v>
      </c>
      <c r="C82" s="43" t="s">
        <v>114</v>
      </c>
      <c r="D82" s="17">
        <f>+D116</f>
        <v>879311.47</v>
      </c>
      <c r="E82" s="14"/>
      <c r="F82" s="17">
        <f>+F116</f>
        <v>0</v>
      </c>
      <c r="G82" s="14"/>
      <c r="H82" s="17">
        <f>+H116</f>
        <v>-23675</v>
      </c>
      <c r="I82" s="14"/>
      <c r="J82" s="17">
        <f>+J116</f>
        <v>0</v>
      </c>
      <c r="K82" s="17"/>
      <c r="L82" s="17">
        <f>+L116</f>
        <v>0</v>
      </c>
      <c r="M82" s="17"/>
      <c r="N82" s="17">
        <f>+N116</f>
        <v>0</v>
      </c>
      <c r="O82" s="17"/>
      <c r="P82" s="17">
        <f>+P116</f>
        <v>0</v>
      </c>
      <c r="Q82" s="17"/>
      <c r="R82" s="17">
        <f>+R116</f>
        <v>0</v>
      </c>
      <c r="S82" s="17"/>
      <c r="T82" s="17">
        <f>+T116</f>
        <v>0</v>
      </c>
      <c r="U82" s="14"/>
      <c r="V82" s="17">
        <f>+V116</f>
        <v>855636.47</v>
      </c>
    </row>
    <row r="83" spans="1:46" outlineLevel="2" x14ac:dyDescent="0.2">
      <c r="A83" s="76" t="s">
        <v>115</v>
      </c>
      <c r="C83" s="43" t="s">
        <v>114</v>
      </c>
      <c r="D83" s="17">
        <f t="shared" ref="D83:F85" si="6">+D117</f>
        <v>176409.31</v>
      </c>
      <c r="E83" s="14"/>
      <c r="F83" s="17">
        <f t="shared" si="6"/>
        <v>0</v>
      </c>
      <c r="G83" s="14"/>
      <c r="H83" s="17">
        <f>+H117</f>
        <v>0</v>
      </c>
      <c r="I83" s="14"/>
      <c r="J83" s="17">
        <f>+J117</f>
        <v>0</v>
      </c>
      <c r="K83" s="17"/>
      <c r="L83" s="17">
        <f>+L117</f>
        <v>0</v>
      </c>
      <c r="M83" s="17"/>
      <c r="N83" s="17">
        <f>+N117</f>
        <v>0</v>
      </c>
      <c r="O83" s="17"/>
      <c r="P83" s="17">
        <f>+P117</f>
        <v>0</v>
      </c>
      <c r="Q83" s="17"/>
      <c r="R83" s="17">
        <f>+R117</f>
        <v>0</v>
      </c>
      <c r="S83" s="17"/>
      <c r="T83" s="17">
        <f>+T117</f>
        <v>0</v>
      </c>
      <c r="U83" s="14"/>
      <c r="V83" s="17">
        <f>+V117</f>
        <v>176409.31</v>
      </c>
    </row>
    <row r="84" spans="1:46" outlineLevel="2" x14ac:dyDescent="0.2">
      <c r="A84" s="76" t="s">
        <v>116</v>
      </c>
      <c r="C84" s="43" t="s">
        <v>114</v>
      </c>
      <c r="D84" s="17">
        <f>+D118</f>
        <v>29529839.68</v>
      </c>
      <c r="E84" s="14"/>
      <c r="F84" s="17">
        <f t="shared" si="6"/>
        <v>0</v>
      </c>
      <c r="G84" s="14"/>
      <c r="H84" s="17">
        <f>+H118</f>
        <v>0</v>
      </c>
      <c r="I84" s="14"/>
      <c r="J84" s="17">
        <f>+J118</f>
        <v>0</v>
      </c>
      <c r="K84" s="17"/>
      <c r="L84" s="17">
        <f>+L118</f>
        <v>0</v>
      </c>
      <c r="M84" s="17"/>
      <c r="N84" s="17">
        <f>+N118</f>
        <v>0</v>
      </c>
      <c r="O84" s="17"/>
      <c r="P84" s="17">
        <f>+P118</f>
        <v>0</v>
      </c>
      <c r="Q84" s="17"/>
      <c r="R84" s="17">
        <f>+R118</f>
        <v>0</v>
      </c>
      <c r="S84" s="17"/>
      <c r="T84" s="17">
        <f>+T118</f>
        <v>0</v>
      </c>
      <c r="U84" s="14"/>
      <c r="V84" s="17">
        <f>+V118</f>
        <v>29529839.68</v>
      </c>
    </row>
    <row r="85" spans="1:46" outlineLevel="2" x14ac:dyDescent="0.2">
      <c r="A85" s="76" t="s">
        <v>117</v>
      </c>
      <c r="C85" s="43" t="s">
        <v>114</v>
      </c>
      <c r="D85" s="17">
        <f t="shared" si="6"/>
        <v>2168929.31</v>
      </c>
      <c r="E85" s="14"/>
      <c r="F85" s="17">
        <f t="shared" si="6"/>
        <v>0</v>
      </c>
      <c r="G85" s="14"/>
      <c r="H85" s="17">
        <f>+H119</f>
        <v>0</v>
      </c>
      <c r="I85" s="14"/>
      <c r="J85" s="17">
        <f>+J119</f>
        <v>0</v>
      </c>
      <c r="K85" s="17"/>
      <c r="L85" s="17">
        <f>+L119</f>
        <v>0</v>
      </c>
      <c r="M85" s="17"/>
      <c r="N85" s="17">
        <f>+N119</f>
        <v>0</v>
      </c>
      <c r="O85" s="17"/>
      <c r="P85" s="17">
        <f>+P119</f>
        <v>0</v>
      </c>
      <c r="Q85" s="17"/>
      <c r="R85" s="17">
        <f>+R119</f>
        <v>0</v>
      </c>
      <c r="S85" s="17"/>
      <c r="T85" s="17">
        <f>+T119</f>
        <v>0</v>
      </c>
      <c r="U85" s="14"/>
      <c r="V85" s="17">
        <f>+V119</f>
        <v>2168929.31</v>
      </c>
    </row>
    <row r="86" spans="1:46" outlineLevel="2" x14ac:dyDescent="0.2">
      <c r="A86" s="76" t="s">
        <v>118</v>
      </c>
      <c r="C86" s="43" t="s">
        <v>119</v>
      </c>
      <c r="D86" s="17">
        <f>+D120</f>
        <v>55918.829999999994</v>
      </c>
      <c r="E86" s="14"/>
      <c r="F86" s="17">
        <f>+F120</f>
        <v>0</v>
      </c>
      <c r="G86" s="14"/>
      <c r="H86" s="17">
        <f>+H120</f>
        <v>0</v>
      </c>
      <c r="I86" s="14"/>
      <c r="J86" s="17">
        <f>+J120</f>
        <v>0</v>
      </c>
      <c r="K86" s="17"/>
      <c r="L86" s="17">
        <f>+L120</f>
        <v>0</v>
      </c>
      <c r="M86" s="17"/>
      <c r="N86" s="17">
        <f>+N120</f>
        <v>0</v>
      </c>
      <c r="O86" s="17"/>
      <c r="P86" s="17">
        <f>+P120</f>
        <v>0</v>
      </c>
      <c r="Q86" s="17"/>
      <c r="R86" s="17">
        <f>+R120</f>
        <v>0</v>
      </c>
      <c r="S86" s="17"/>
      <c r="T86" s="17">
        <f>+T120</f>
        <v>0</v>
      </c>
      <c r="U86" s="14"/>
      <c r="V86" s="17">
        <f>+V120</f>
        <v>55918.829999999994</v>
      </c>
    </row>
    <row r="87" spans="1:46" outlineLevel="2" x14ac:dyDescent="0.2">
      <c r="C87" s="12" t="s">
        <v>120</v>
      </c>
      <c r="D87" s="156">
        <f>SUM(D82:D86)</f>
        <v>32810408.599999998</v>
      </c>
      <c r="E87" s="14"/>
      <c r="F87" s="156">
        <f>SUM(F81:F86)</f>
        <v>0</v>
      </c>
      <c r="G87" s="14"/>
      <c r="H87" s="156">
        <f>SUM(H81:H86)</f>
        <v>-23675</v>
      </c>
      <c r="I87" s="14"/>
      <c r="J87" s="156">
        <f>SUM(J81:J86)</f>
        <v>0</v>
      </c>
      <c r="K87" s="17"/>
      <c r="L87" s="156">
        <f>SUM(L81:L86)</f>
        <v>0</v>
      </c>
      <c r="M87" s="17"/>
      <c r="N87" s="156">
        <f>SUM(N81:N86)</f>
        <v>0</v>
      </c>
      <c r="O87" s="17"/>
      <c r="P87" s="156">
        <f>SUM(P81:P86)</f>
        <v>0</v>
      </c>
      <c r="Q87" s="17"/>
      <c r="R87" s="156">
        <f>SUM(R81:R86)</f>
        <v>0</v>
      </c>
      <c r="S87" s="17"/>
      <c r="T87" s="156">
        <f>SUM(T81:T86)</f>
        <v>0</v>
      </c>
      <c r="U87" s="14"/>
      <c r="V87" s="156">
        <f>SUM(V81:V86)</f>
        <v>32786733.599999998</v>
      </c>
    </row>
    <row r="88" spans="1:46" outlineLevel="2" x14ac:dyDescent="0.2">
      <c r="C88" s="12"/>
      <c r="D88" s="17"/>
      <c r="E88" s="14"/>
      <c r="F88" s="17"/>
      <c r="G88" s="14"/>
      <c r="H88" s="17"/>
      <c r="I88" s="14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4"/>
      <c r="V88" s="17"/>
    </row>
    <row r="89" spans="1:46" outlineLevel="1" x14ac:dyDescent="0.2">
      <c r="B89" s="3" t="s">
        <v>93</v>
      </c>
      <c r="D89" s="14">
        <f>+D48+D56+D66+D79-D87</f>
        <v>9052944397.0629978</v>
      </c>
      <c r="E89" s="14"/>
      <c r="F89" s="14">
        <f>+F48+F56+F66+F79-F87</f>
        <v>305613857.19999999</v>
      </c>
      <c r="G89" s="14"/>
      <c r="H89" s="14">
        <f>+H48+H56+H66+H79-H87</f>
        <v>-68983987.600000009</v>
      </c>
      <c r="I89" s="14"/>
      <c r="J89" s="14">
        <f>+J48+J56+J66+J79-J87</f>
        <v>-45177106.839999996</v>
      </c>
      <c r="K89" s="14"/>
      <c r="L89" s="14">
        <f>+L48+L56+L66+L79-L87</f>
        <v>0</v>
      </c>
      <c r="M89" s="14"/>
      <c r="N89" s="14">
        <f>+N48+N56+N66+N79-N87</f>
        <v>0</v>
      </c>
      <c r="O89" s="14"/>
      <c r="P89" s="14">
        <f>+P48+P56+P66+P79-P87</f>
        <v>0</v>
      </c>
      <c r="Q89" s="14"/>
      <c r="R89" s="14">
        <f>+R48+R56+R66+R79-R87</f>
        <v>0</v>
      </c>
      <c r="S89" s="14"/>
      <c r="T89" s="14">
        <f>+T48+T56+T66+T79-T87</f>
        <v>191429087.75999993</v>
      </c>
      <c r="U89" s="14"/>
      <c r="V89" s="14">
        <f>+V48+V56+V66+V79-V87</f>
        <v>9244397159.823</v>
      </c>
      <c r="AC89" s="15">
        <f>+F89-AD89</f>
        <v>305613857.19999999</v>
      </c>
      <c r="AD89" s="15">
        <v>0</v>
      </c>
      <c r="AE89" s="15">
        <f>+H89</f>
        <v>-68983987.600000009</v>
      </c>
      <c r="AF89" s="15">
        <v>0</v>
      </c>
      <c r="AG89" s="15"/>
      <c r="AH89" s="15"/>
      <c r="AI89" s="15"/>
      <c r="AJ89" s="15"/>
      <c r="AK89" s="15">
        <v>0</v>
      </c>
      <c r="AL89" s="15"/>
      <c r="AM89" s="15">
        <f>+J89-AG89-AK89-AL89</f>
        <v>-45177106.839999996</v>
      </c>
      <c r="AS89" s="15">
        <f>SUM(X89:AQ89)</f>
        <v>191452762.75999996</v>
      </c>
      <c r="AT89" s="15">
        <f>+V89-D89-AS89</f>
        <v>2.1755695343017578E-6</v>
      </c>
    </row>
    <row r="90" spans="1:46" outlineLevel="1" x14ac:dyDescent="0.2">
      <c r="D90" s="14">
        <f>+D89-D10</f>
        <v>2.99835205078125E-3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f>+V89-V10</f>
        <v>3.0002593994140625E-3</v>
      </c>
    </row>
    <row r="91" spans="1:46" outlineLevel="1" x14ac:dyDescent="0.2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f>+V89-D89-F89-H89-J89-L89-N89-P89-R89</f>
        <v>2.1532177925109863E-6</v>
      </c>
    </row>
    <row r="92" spans="1:46" outlineLevel="1" x14ac:dyDescent="0.2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46" outlineLevel="3" x14ac:dyDescent="0.2">
      <c r="A93" s="8">
        <v>121</v>
      </c>
      <c r="B93" s="12" t="s">
        <v>27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46" outlineLevel="3" x14ac:dyDescent="0.2">
      <c r="B94" s="12" t="s">
        <v>28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46" outlineLevel="3" x14ac:dyDescent="0.2">
      <c r="C95" s="3" t="s">
        <v>29</v>
      </c>
      <c r="D95" s="16">
        <f>+'KU_Summary - Cost - P1 (REG)'!D55</f>
        <v>971313.09999999986</v>
      </c>
      <c r="E95" s="14"/>
      <c r="F95" s="16">
        <f>+'KU_Summary - Cost - P1 (REG)'!F55</f>
        <v>0</v>
      </c>
      <c r="G95" s="14"/>
      <c r="H95" s="16">
        <f>+'KU_Summary - Cost - P1 (REG)'!H55</f>
        <v>0</v>
      </c>
      <c r="I95" s="14"/>
      <c r="J95" s="16">
        <f>+'KU_Summary - Cost - P1 (REG)'!J55</f>
        <v>-792599.21</v>
      </c>
      <c r="K95" s="17"/>
      <c r="L95" s="17"/>
      <c r="M95" s="17"/>
      <c r="N95" s="17"/>
      <c r="O95" s="17"/>
      <c r="P95" s="17"/>
      <c r="Q95" s="17"/>
      <c r="R95" s="17"/>
      <c r="S95" s="17"/>
      <c r="T95" s="16">
        <f>F95+H95+J95</f>
        <v>-792599.21</v>
      </c>
      <c r="U95" s="14"/>
      <c r="V95" s="16">
        <f>D95+T95</f>
        <v>178713.8899999999</v>
      </c>
    </row>
    <row r="96" spans="1:46" outlineLevel="3" x14ac:dyDescent="0.2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7"/>
    </row>
    <row r="97" spans="1:46" outlineLevel="3" x14ac:dyDescent="0.2">
      <c r="C97" s="12" t="s">
        <v>30</v>
      </c>
      <c r="D97" s="16">
        <f>SUM(D95)</f>
        <v>971313.09999999986</v>
      </c>
      <c r="E97" s="14"/>
      <c r="F97" s="16">
        <f>SUM(F95)</f>
        <v>0</v>
      </c>
      <c r="G97" s="14"/>
      <c r="H97" s="16">
        <f>SUM(H95)</f>
        <v>0</v>
      </c>
      <c r="I97" s="14"/>
      <c r="J97" s="16">
        <f>SUM(J95)</f>
        <v>-792599.21</v>
      </c>
      <c r="K97" s="17"/>
      <c r="L97" s="17"/>
      <c r="M97" s="17"/>
      <c r="N97" s="17"/>
      <c r="O97" s="17"/>
      <c r="P97" s="17"/>
      <c r="Q97" s="17"/>
      <c r="R97" s="17"/>
      <c r="S97" s="17"/>
      <c r="T97" s="16">
        <f>SUM(T95)</f>
        <v>-792599.21</v>
      </c>
      <c r="U97" s="14"/>
      <c r="V97" s="16">
        <f>SUM(V95)</f>
        <v>178713.8899999999</v>
      </c>
    </row>
    <row r="98" spans="1:46" outlineLevel="3" x14ac:dyDescent="0.2">
      <c r="C98" s="12"/>
      <c r="D98" s="17"/>
      <c r="E98" s="14"/>
      <c r="F98" s="17"/>
      <c r="G98" s="14"/>
      <c r="H98" s="17"/>
      <c r="I98" s="1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4"/>
      <c r="V98" s="17"/>
    </row>
    <row r="99" spans="1:46" outlineLevel="1" x14ac:dyDescent="0.2">
      <c r="B99" s="43" t="s">
        <v>94</v>
      </c>
      <c r="C99" s="12"/>
      <c r="D99" s="17">
        <f>+D97</f>
        <v>971313.09999999986</v>
      </c>
      <c r="E99" s="14"/>
      <c r="F99" s="17">
        <f>+F97</f>
        <v>0</v>
      </c>
      <c r="G99" s="14"/>
      <c r="H99" s="17">
        <f>+H97</f>
        <v>0</v>
      </c>
      <c r="I99" s="14"/>
      <c r="J99" s="17">
        <f>+J97</f>
        <v>-792599.21</v>
      </c>
      <c r="K99" s="17"/>
      <c r="L99" s="17">
        <f>+L97</f>
        <v>0</v>
      </c>
      <c r="M99" s="17"/>
      <c r="N99" s="17">
        <f>+N97</f>
        <v>0</v>
      </c>
      <c r="O99" s="17"/>
      <c r="P99" s="17">
        <f>+P97</f>
        <v>0</v>
      </c>
      <c r="Q99" s="17"/>
      <c r="R99" s="17">
        <f>+R97</f>
        <v>0</v>
      </c>
      <c r="S99" s="17"/>
      <c r="T99" s="17">
        <f>+T97</f>
        <v>-792599.21</v>
      </c>
      <c r="U99" s="14"/>
      <c r="V99" s="17">
        <f>+V97</f>
        <v>178713.8899999999</v>
      </c>
      <c r="AC99" s="15">
        <f>+F99</f>
        <v>0</v>
      </c>
      <c r="AD99" s="15"/>
      <c r="AE99" s="15">
        <f>+G99</f>
        <v>0</v>
      </c>
      <c r="AF99" s="15"/>
      <c r="AG99" s="15"/>
      <c r="AH99" s="15"/>
      <c r="AI99" s="15"/>
      <c r="AJ99" s="15"/>
      <c r="AK99" s="15"/>
      <c r="AL99" s="15"/>
      <c r="AM99" s="15">
        <f>+J99</f>
        <v>-792599.21</v>
      </c>
      <c r="AN99" s="15">
        <f>+I99</f>
        <v>0</v>
      </c>
      <c r="AO99" s="15"/>
      <c r="AP99" s="15"/>
      <c r="AQ99" s="15">
        <f>+K99</f>
        <v>0</v>
      </c>
      <c r="AS99" s="15">
        <f>SUM(X99:AQ99)</f>
        <v>-792599.21</v>
      </c>
      <c r="AT99" s="15">
        <f>+V99-D99-AS99</f>
        <v>0</v>
      </c>
    </row>
    <row r="100" spans="1:46" outlineLevel="1" x14ac:dyDescent="0.2">
      <c r="B100" s="43"/>
      <c r="C100" s="12"/>
      <c r="D100" s="17">
        <f>+D99-D11</f>
        <v>0</v>
      </c>
      <c r="E100" s="14"/>
      <c r="F100" s="17"/>
      <c r="G100" s="14"/>
      <c r="H100" s="17"/>
      <c r="I100" s="1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4"/>
      <c r="V100" s="17">
        <f>+V99-V11</f>
        <v>0</v>
      </c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S100" s="15"/>
      <c r="AT100" s="15"/>
    </row>
    <row r="101" spans="1:46" outlineLevel="1" x14ac:dyDescent="0.2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46" outlineLevel="3" x14ac:dyDescent="0.2">
      <c r="A102" s="8">
        <v>107</v>
      </c>
      <c r="B102" s="12" t="s">
        <v>31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46" outlineLevel="3" x14ac:dyDescent="0.2">
      <c r="B103" s="12" t="s">
        <v>11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46" outlineLevel="3" x14ac:dyDescent="0.2">
      <c r="C104" s="3" t="s">
        <v>11</v>
      </c>
      <c r="D104" s="16">
        <f>+'KU_Summary - Cost - P1 (REG)'!D62</f>
        <v>180793120.27000007</v>
      </c>
      <c r="E104" s="14"/>
      <c r="F104" s="16">
        <f>+'KU_Summary - Cost - P1 (REG)'!F62</f>
        <v>140374819.65000001</v>
      </c>
      <c r="G104" s="14"/>
      <c r="H104" s="16">
        <f>+'KU_Summary - Cost - P1 (REG)'!H62</f>
        <v>0</v>
      </c>
      <c r="I104" s="14"/>
      <c r="J104" s="16">
        <f>+'KU_Summary - Cost - P1 (REG)'!J62</f>
        <v>0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6">
        <f>F104+H104+J104</f>
        <v>140374819.65000001</v>
      </c>
      <c r="U104" s="14"/>
      <c r="V104" s="16">
        <f>D104+T104</f>
        <v>321167939.92000008</v>
      </c>
    </row>
    <row r="105" spans="1:46" outlineLevel="3" x14ac:dyDescent="0.2">
      <c r="C105" s="20"/>
      <c r="D105" s="17"/>
      <c r="E105" s="14"/>
      <c r="F105" s="17"/>
      <c r="G105" s="14"/>
      <c r="H105" s="17"/>
      <c r="I105" s="14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4"/>
      <c r="V105" s="17"/>
    </row>
    <row r="106" spans="1:46" outlineLevel="3" x14ac:dyDescent="0.2">
      <c r="C106" s="12" t="s">
        <v>32</v>
      </c>
      <c r="D106" s="16">
        <f>SUM(D104)</f>
        <v>180793120.27000007</v>
      </c>
      <c r="E106" s="14"/>
      <c r="F106" s="16">
        <f>SUM(F104)</f>
        <v>140374819.65000001</v>
      </c>
      <c r="G106" s="14"/>
      <c r="H106" s="16">
        <f>SUM(H104)</f>
        <v>0</v>
      </c>
      <c r="I106" s="14"/>
      <c r="J106" s="16">
        <f>SUM(J104)</f>
        <v>0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6">
        <f>SUM(T104)</f>
        <v>140374819.65000001</v>
      </c>
      <c r="U106" s="14"/>
      <c r="V106" s="16">
        <f>SUM(V104)</f>
        <v>321167939.92000008</v>
      </c>
    </row>
    <row r="107" spans="1:46" outlineLevel="3" x14ac:dyDescent="0.2">
      <c r="C107" s="12"/>
      <c r="D107" s="17"/>
      <c r="E107" s="14"/>
      <c r="F107" s="17"/>
      <c r="G107" s="14"/>
      <c r="H107" s="17"/>
      <c r="I107" s="14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4"/>
      <c r="V107" s="17"/>
    </row>
    <row r="108" spans="1:46" outlineLevel="1" x14ac:dyDescent="0.2">
      <c r="B108" s="3" t="s">
        <v>96</v>
      </c>
      <c r="C108" s="12"/>
      <c r="D108" s="17">
        <f>+D106</f>
        <v>180793120.27000007</v>
      </c>
      <c r="E108" s="14"/>
      <c r="F108" s="17">
        <f>+F106</f>
        <v>140374819.65000001</v>
      </c>
      <c r="G108" s="14"/>
      <c r="H108" s="17">
        <f>+H106</f>
        <v>0</v>
      </c>
      <c r="I108" s="14"/>
      <c r="J108" s="17">
        <f>+J106</f>
        <v>0</v>
      </c>
      <c r="K108" s="17"/>
      <c r="L108" s="17">
        <f>+L106</f>
        <v>0</v>
      </c>
      <c r="M108" s="17"/>
      <c r="N108" s="17">
        <f>+N106</f>
        <v>0</v>
      </c>
      <c r="O108" s="17"/>
      <c r="P108" s="17">
        <f>+P106</f>
        <v>0</v>
      </c>
      <c r="Q108" s="17"/>
      <c r="R108" s="17">
        <f>+R106</f>
        <v>0</v>
      </c>
      <c r="S108" s="17"/>
      <c r="T108" s="17">
        <f>+T106</f>
        <v>140374819.65000001</v>
      </c>
      <c r="U108" s="14"/>
      <c r="V108" s="17">
        <f>+V106</f>
        <v>321167939.92000008</v>
      </c>
      <c r="AC108" s="15">
        <f>-F89-AC131</f>
        <v>-305613857.19999999</v>
      </c>
      <c r="AD108" s="15">
        <v>0</v>
      </c>
      <c r="AQ108" s="15">
        <f>+'KU_Summary - Cost - P1 (REG)'!F74</f>
        <v>445988676.85000002</v>
      </c>
      <c r="AS108" s="15">
        <f>SUM(X108:AQ108)</f>
        <v>140374819.65000004</v>
      </c>
      <c r="AT108" s="15">
        <f>+V108-D108-AS108</f>
        <v>0</v>
      </c>
    </row>
    <row r="109" spans="1:46" outlineLevel="1" x14ac:dyDescent="0.2">
      <c r="D109" s="14">
        <f>+D108-D13</f>
        <v>0</v>
      </c>
      <c r="E109" s="14"/>
      <c r="F109" s="14"/>
      <c r="G109" s="14"/>
      <c r="H109" s="14"/>
      <c r="I109" s="14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4"/>
      <c r="U109" s="14"/>
      <c r="V109" s="14">
        <f>+V108-V13</f>
        <v>0</v>
      </c>
    </row>
    <row r="110" spans="1:46" outlineLevel="1" x14ac:dyDescent="0.2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46" outlineLevel="2" x14ac:dyDescent="0.2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46" outlineLevel="2" x14ac:dyDescent="0.2">
      <c r="D112" s="25" t="s">
        <v>2</v>
      </c>
      <c r="F112" s="19"/>
      <c r="H112" s="19"/>
      <c r="J112" s="25" t="s">
        <v>3</v>
      </c>
      <c r="K112" s="25"/>
      <c r="L112" s="25" t="s">
        <v>37</v>
      </c>
      <c r="N112" s="25" t="s">
        <v>38</v>
      </c>
      <c r="P112" s="25"/>
      <c r="R112" s="25"/>
      <c r="T112" s="25"/>
      <c r="V112" s="25" t="s">
        <v>4</v>
      </c>
      <c r="W112" s="13"/>
    </row>
    <row r="113" spans="1:30" outlineLevel="2" x14ac:dyDescent="0.2">
      <c r="D113" s="10" t="s">
        <v>5</v>
      </c>
      <c r="F113" s="10" t="s">
        <v>39</v>
      </c>
      <c r="H113" s="10" t="s">
        <v>7</v>
      </c>
      <c r="J113" s="10" t="s">
        <v>8</v>
      </c>
      <c r="K113" s="11"/>
      <c r="L113" s="10" t="s">
        <v>40</v>
      </c>
      <c r="N113" s="10" t="s">
        <v>41</v>
      </c>
      <c r="P113" s="10" t="s">
        <v>42</v>
      </c>
      <c r="R113" s="10" t="s">
        <v>43</v>
      </c>
      <c r="T113" s="10" t="s">
        <v>44</v>
      </c>
      <c r="V113" s="10" t="s">
        <v>5</v>
      </c>
      <c r="W113" s="13"/>
    </row>
    <row r="114" spans="1:30" outlineLevel="2" x14ac:dyDescent="0.2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30" outlineLevel="2" x14ac:dyDescent="0.2">
      <c r="A115" s="71" t="s">
        <v>121</v>
      </c>
      <c r="C115" s="12"/>
      <c r="D115" s="17"/>
      <c r="E115" s="14"/>
      <c r="F115" s="17"/>
      <c r="G115" s="14"/>
      <c r="H115" s="17"/>
      <c r="I115" s="14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4"/>
      <c r="V115" s="17"/>
    </row>
    <row r="116" spans="1:30" outlineLevel="2" x14ac:dyDescent="0.2">
      <c r="A116" s="76" t="s">
        <v>113</v>
      </c>
      <c r="C116" s="43" t="s">
        <v>114</v>
      </c>
      <c r="D116" s="17">
        <f>+'TOTAL_PIS NVB P5 (REG)'!B51</f>
        <v>879311.47</v>
      </c>
      <c r="E116" s="14"/>
      <c r="F116" s="17">
        <f>+'TOTAL_PIS NVB P5 (REG)'!D51</f>
        <v>0</v>
      </c>
      <c r="G116" s="14"/>
      <c r="H116" s="17">
        <f>+'TOTAL_PIS NVB P5 (REG)'!F51</f>
        <v>-23675</v>
      </c>
      <c r="I116" s="14"/>
      <c r="J116" s="17">
        <f>+'TOTAL_PIS NVB P5 (REG)'!H51</f>
        <v>0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4"/>
      <c r="V116" s="17">
        <f>SUM(D116:T116)</f>
        <v>855636.47</v>
      </c>
    </row>
    <row r="117" spans="1:30" outlineLevel="2" x14ac:dyDescent="0.2">
      <c r="A117" s="76" t="s">
        <v>115</v>
      </c>
      <c r="C117" s="43" t="s">
        <v>114</v>
      </c>
      <c r="D117" s="17">
        <f>+'TOTAL_PIS COST SPLITS-P6 (REG)'!B68</f>
        <v>176409.31</v>
      </c>
      <c r="E117" s="14"/>
      <c r="F117" s="17">
        <f>+'TOTAL_PIS COST SPLITS-P6 (REG)'!D68</f>
        <v>0</v>
      </c>
      <c r="G117" s="14"/>
      <c r="H117" s="17">
        <f>+'TOTAL_PIS COST SPLITS-P6 (REG)'!F68</f>
        <v>0</v>
      </c>
      <c r="I117" s="14"/>
      <c r="J117" s="17">
        <f>+'TOTAL_PIS COST SPLITS-P6 (REG)'!H68</f>
        <v>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4"/>
      <c r="V117" s="17">
        <f>SUM(D117:T117)</f>
        <v>176409.31</v>
      </c>
    </row>
    <row r="118" spans="1:30" outlineLevel="2" x14ac:dyDescent="0.2">
      <c r="A118" s="76" t="s">
        <v>116</v>
      </c>
      <c r="C118" s="43" t="s">
        <v>114</v>
      </c>
      <c r="D118" s="17">
        <f>+'TOTAL_PIS COST SPLITS-P6 (REG)'!B97+'TOTAL_PIS COST SPLITS-P6 (REG)'!B181</f>
        <v>29529839.68</v>
      </c>
      <c r="E118" s="14"/>
      <c r="F118" s="17">
        <f>+'TOTAL_PIS COST SPLITS-P6 (REG)'!D97+'TOTAL_PIS COST SPLITS-P6 (REG)'!D181</f>
        <v>0</v>
      </c>
      <c r="G118" s="14"/>
      <c r="H118" s="17">
        <f>+'TOTAL_PIS COST SPLITS-P6 (REG)'!F97+'TOTAL_PIS COST SPLITS-P6 (REG)'!F181</f>
        <v>0</v>
      </c>
      <c r="I118" s="14"/>
      <c r="J118" s="17">
        <f>+'TOTAL_PIS COST SPLITS-P6 (REG)'!H97+'TOTAL_PIS COST SPLITS-P6 (REG)'!H181</f>
        <v>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4"/>
      <c r="V118" s="17">
        <f>SUM(D118:T118)</f>
        <v>29529839.68</v>
      </c>
    </row>
    <row r="119" spans="1:30" outlineLevel="2" x14ac:dyDescent="0.2">
      <c r="A119" s="76" t="s">
        <v>117</v>
      </c>
      <c r="C119" s="43" t="s">
        <v>114</v>
      </c>
      <c r="D119" s="17">
        <f>+'TOTAL_PIS COST SPLITS-P6 (REG)'!B10</f>
        <v>2168929.31</v>
      </c>
      <c r="E119" s="14"/>
      <c r="F119" s="17">
        <f>+'TOTAL_PIS COST SPLITS-P6 (REG)'!D10</f>
        <v>0</v>
      </c>
      <c r="G119" s="14"/>
      <c r="H119" s="17">
        <f>+'TOTAL_PIS COST SPLITS-P6 (REG)'!F10</f>
        <v>0</v>
      </c>
      <c r="I119" s="14"/>
      <c r="J119" s="17">
        <f>+'TOTAL_PIS COST SPLITS-P6 (REG)'!H10</f>
        <v>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4"/>
      <c r="V119" s="17">
        <f>SUM(D119:T119)</f>
        <v>2168929.31</v>
      </c>
    </row>
    <row r="120" spans="1:30" outlineLevel="2" x14ac:dyDescent="0.2">
      <c r="A120" s="76" t="s">
        <v>118</v>
      </c>
      <c r="C120" s="43" t="s">
        <v>119</v>
      </c>
      <c r="D120" s="17">
        <f>+'TOTAL_PIS COST SPLITS-P6 (REG)'!B62</f>
        <v>55918.829999999994</v>
      </c>
      <c r="E120" s="14"/>
      <c r="F120" s="17">
        <f>+'TOTAL_PIS COST SPLITS-P6 (REG)'!D62</f>
        <v>0</v>
      </c>
      <c r="G120" s="14"/>
      <c r="H120" s="17">
        <f>+'TOTAL_PIS COST SPLITS-P6 (REG)'!F62</f>
        <v>0</v>
      </c>
      <c r="I120" s="14"/>
      <c r="J120" s="17">
        <f>+'TOTAL_PIS COST SPLITS-P6 (REG)'!H62</f>
        <v>0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4"/>
      <c r="V120" s="17">
        <f>SUM(D120:T120)</f>
        <v>55918.829999999994</v>
      </c>
    </row>
    <row r="121" spans="1:30" outlineLevel="2" x14ac:dyDescent="0.2">
      <c r="C121" s="12"/>
      <c r="D121" s="156">
        <f>SUM(D115:D120)</f>
        <v>32810408.599999998</v>
      </c>
      <c r="E121" s="14"/>
      <c r="F121" s="156">
        <f>SUM(F115:F120)</f>
        <v>0</v>
      </c>
      <c r="G121" s="14"/>
      <c r="H121" s="156">
        <f>SUM(H115:H120)</f>
        <v>-23675</v>
      </c>
      <c r="I121" s="14"/>
      <c r="J121" s="156">
        <f>SUM(J115:J120)</f>
        <v>0</v>
      </c>
      <c r="K121" s="17"/>
      <c r="L121" s="156">
        <f>SUM(L115:L120)</f>
        <v>0</v>
      </c>
      <c r="M121" s="17"/>
      <c r="N121" s="156">
        <f>SUM(N115:N120)</f>
        <v>0</v>
      </c>
      <c r="O121" s="17"/>
      <c r="P121" s="156">
        <f>SUM(P115:P120)</f>
        <v>0</v>
      </c>
      <c r="Q121" s="17"/>
      <c r="R121" s="156">
        <f>SUM(R115:R120)</f>
        <v>0</v>
      </c>
      <c r="S121" s="17"/>
      <c r="T121" s="156">
        <f>SUM(T115:T120)</f>
        <v>0</v>
      </c>
      <c r="U121" s="14"/>
      <c r="V121" s="156">
        <f>SUM(V115:V120)</f>
        <v>32786733.599999998</v>
      </c>
      <c r="AC121" s="15"/>
      <c r="AD121" s="15"/>
    </row>
    <row r="122" spans="1:30" outlineLevel="2" x14ac:dyDescent="0.2">
      <c r="C122" s="12"/>
      <c r="D122" s="17"/>
      <c r="E122" s="14"/>
      <c r="F122" s="17"/>
      <c r="G122" s="14"/>
      <c r="H122" s="17"/>
      <c r="I122" s="14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4"/>
      <c r="V122" s="17"/>
    </row>
    <row r="123" spans="1:30" outlineLevel="2" x14ac:dyDescent="0.2">
      <c r="A123" s="71" t="s">
        <v>122</v>
      </c>
      <c r="C123" s="12"/>
      <c r="D123" s="17"/>
      <c r="E123" s="14"/>
      <c r="F123" s="17"/>
      <c r="G123" s="14"/>
      <c r="H123" s="17"/>
      <c r="I123" s="14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4"/>
      <c r="V123" s="17"/>
    </row>
    <row r="124" spans="1:30" outlineLevel="2" x14ac:dyDescent="0.2">
      <c r="A124" s="76" t="s">
        <v>113</v>
      </c>
      <c r="C124" s="43" t="s">
        <v>114</v>
      </c>
      <c r="D124" s="17">
        <f>+D161</f>
        <v>-934776.4</v>
      </c>
      <c r="E124" s="14"/>
      <c r="F124" s="17">
        <f>+F161</f>
        <v>0</v>
      </c>
      <c r="G124" s="14"/>
      <c r="H124" s="17">
        <f>+H161</f>
        <v>23675</v>
      </c>
      <c r="I124" s="14"/>
      <c r="J124" s="17">
        <f>+J161</f>
        <v>0</v>
      </c>
      <c r="K124" s="17"/>
      <c r="L124" s="17">
        <f>+L161</f>
        <v>0</v>
      </c>
      <c r="M124" s="17"/>
      <c r="N124" s="17">
        <f>+N161</f>
        <v>0</v>
      </c>
      <c r="O124" s="17"/>
      <c r="P124" s="17">
        <f>+P161</f>
        <v>0</v>
      </c>
      <c r="Q124" s="17"/>
      <c r="R124" s="17">
        <f>+R161</f>
        <v>0</v>
      </c>
      <c r="S124" s="17"/>
      <c r="T124" s="17">
        <f>+T161</f>
        <v>0</v>
      </c>
      <c r="U124" s="14"/>
      <c r="V124" s="17">
        <f>+V161</f>
        <v>-911101.4</v>
      </c>
    </row>
    <row r="125" spans="1:30" outlineLevel="2" x14ac:dyDescent="0.2">
      <c r="A125" s="76" t="s">
        <v>115</v>
      </c>
      <c r="C125" s="43" t="s">
        <v>114</v>
      </c>
      <c r="D125" s="17">
        <f>+D162</f>
        <v>-120484.00000000003</v>
      </c>
      <c r="E125" s="14"/>
      <c r="F125" s="17">
        <f>+F162</f>
        <v>-3907.5</v>
      </c>
      <c r="G125" s="14"/>
      <c r="H125" s="17">
        <f>+H162</f>
        <v>0</v>
      </c>
      <c r="I125" s="14"/>
      <c r="J125" s="17">
        <f>+J162</f>
        <v>0</v>
      </c>
      <c r="K125" s="17"/>
      <c r="L125" s="17">
        <f>+L162</f>
        <v>0</v>
      </c>
      <c r="M125" s="17"/>
      <c r="N125" s="17">
        <f>+N162</f>
        <v>0</v>
      </c>
      <c r="O125" s="17"/>
      <c r="P125" s="17">
        <f>+P162</f>
        <v>0</v>
      </c>
      <c r="Q125" s="17"/>
      <c r="R125" s="17">
        <f>+R162</f>
        <v>0</v>
      </c>
      <c r="S125" s="17"/>
      <c r="T125" s="17">
        <f>+T162</f>
        <v>0</v>
      </c>
      <c r="U125" s="14"/>
      <c r="V125" s="17">
        <f>+V162</f>
        <v>-124391.50000000003</v>
      </c>
    </row>
    <row r="126" spans="1:30" outlineLevel="2" x14ac:dyDescent="0.2">
      <c r="A126" s="76" t="s">
        <v>116</v>
      </c>
      <c r="C126" s="43" t="s">
        <v>114</v>
      </c>
      <c r="D126" s="17">
        <f>+D163</f>
        <v>-17304333.310000002</v>
      </c>
      <c r="E126" s="14"/>
      <c r="F126" s="17">
        <f t="shared" ref="D126:F128" si="7">+F163</f>
        <v>-268721.46000000002</v>
      </c>
      <c r="G126" s="14"/>
      <c r="H126" s="17">
        <f>+H163</f>
        <v>0</v>
      </c>
      <c r="I126" s="14"/>
      <c r="J126" s="17">
        <f>+J163</f>
        <v>0</v>
      </c>
      <c r="K126" s="17"/>
      <c r="L126" s="17">
        <f>+L163</f>
        <v>0</v>
      </c>
      <c r="M126" s="17"/>
      <c r="N126" s="17">
        <f>+N163</f>
        <v>0</v>
      </c>
      <c r="O126" s="17"/>
      <c r="P126" s="17">
        <f>+P163</f>
        <v>0</v>
      </c>
      <c r="Q126" s="17"/>
      <c r="R126" s="17">
        <f>+R163</f>
        <v>0</v>
      </c>
      <c r="S126" s="17"/>
      <c r="T126" s="17">
        <f>+T163</f>
        <v>0</v>
      </c>
      <c r="U126" s="14"/>
      <c r="V126" s="17">
        <f>+V163</f>
        <v>-17573054.770000003</v>
      </c>
    </row>
    <row r="127" spans="1:30" outlineLevel="2" x14ac:dyDescent="0.2">
      <c r="A127" s="76" t="s">
        <v>117</v>
      </c>
      <c r="C127" s="43" t="s">
        <v>114</v>
      </c>
      <c r="D127" s="17">
        <f>+D164</f>
        <v>-1470685.0199999998</v>
      </c>
      <c r="E127" s="14"/>
      <c r="F127" s="17">
        <f t="shared" si="7"/>
        <v>-13230.42</v>
      </c>
      <c r="G127" s="14"/>
      <c r="H127" s="17">
        <f>+H164</f>
        <v>0</v>
      </c>
      <c r="I127" s="14"/>
      <c r="J127" s="17">
        <f>+J164</f>
        <v>0</v>
      </c>
      <c r="K127" s="17"/>
      <c r="L127" s="17">
        <f>+L164</f>
        <v>0</v>
      </c>
      <c r="M127" s="17"/>
      <c r="N127" s="17">
        <f>+N164</f>
        <v>0</v>
      </c>
      <c r="O127" s="17">
        <f>+O164</f>
        <v>0</v>
      </c>
      <c r="P127" s="17">
        <f>+P164</f>
        <v>0</v>
      </c>
      <c r="Q127" s="17"/>
      <c r="R127" s="17">
        <f>+R164</f>
        <v>0</v>
      </c>
      <c r="S127" s="17"/>
      <c r="T127" s="17">
        <f>+T164</f>
        <v>0</v>
      </c>
      <c r="U127" s="14"/>
      <c r="V127" s="17">
        <f>+V164</f>
        <v>-1483915.4399999997</v>
      </c>
    </row>
    <row r="128" spans="1:30" outlineLevel="2" x14ac:dyDescent="0.2">
      <c r="A128" s="76" t="s">
        <v>118</v>
      </c>
      <c r="C128" s="43" t="s">
        <v>119</v>
      </c>
      <c r="D128" s="17">
        <f t="shared" si="7"/>
        <v>-63079.789999999994</v>
      </c>
      <c r="E128" s="14"/>
      <c r="F128" s="17">
        <f t="shared" si="7"/>
        <v>-6265.68</v>
      </c>
      <c r="G128" s="14"/>
      <c r="H128" s="17">
        <f>+H165</f>
        <v>0</v>
      </c>
      <c r="I128" s="14"/>
      <c r="J128" s="17">
        <f>+J165</f>
        <v>0</v>
      </c>
      <c r="K128" s="17"/>
      <c r="L128" s="17">
        <f>+L165</f>
        <v>0</v>
      </c>
      <c r="M128" s="17"/>
      <c r="N128" s="17">
        <f>+N165</f>
        <v>0</v>
      </c>
      <c r="O128" s="17"/>
      <c r="P128" s="17">
        <f>+P165</f>
        <v>0</v>
      </c>
      <c r="Q128" s="17"/>
      <c r="R128" s="17">
        <f>+R165</f>
        <v>0</v>
      </c>
      <c r="S128" s="17"/>
      <c r="T128" s="17">
        <f>+T165</f>
        <v>0</v>
      </c>
      <c r="U128" s="14"/>
      <c r="V128" s="17">
        <f>+V165</f>
        <v>-69345.47</v>
      </c>
    </row>
    <row r="129" spans="2:46" outlineLevel="2" x14ac:dyDescent="0.2">
      <c r="C129" s="12"/>
      <c r="D129" s="156">
        <f>SUM(D123:D128)</f>
        <v>-19893358.52</v>
      </c>
      <c r="E129" s="14"/>
      <c r="F129" s="156">
        <f>SUM(F123:F128)</f>
        <v>-292125.06</v>
      </c>
      <c r="G129" s="14"/>
      <c r="H129" s="156">
        <f>SUM(H123:H128)</f>
        <v>23675</v>
      </c>
      <c r="I129" s="14"/>
      <c r="J129" s="156">
        <f>SUM(J123:J128)</f>
        <v>0</v>
      </c>
      <c r="K129" s="17"/>
      <c r="L129" s="156">
        <f>SUM(L123:L128)</f>
        <v>0</v>
      </c>
      <c r="M129" s="17"/>
      <c r="N129" s="156">
        <f>SUM(N123:N128)</f>
        <v>0</v>
      </c>
      <c r="O129" s="17"/>
      <c r="P129" s="156">
        <f>SUM(P123:P128)</f>
        <v>0</v>
      </c>
      <c r="Q129" s="17"/>
      <c r="R129" s="156">
        <f>SUM(R123:R128)</f>
        <v>0</v>
      </c>
      <c r="S129" s="17"/>
      <c r="T129" s="156">
        <f>SUM(T123:T128)</f>
        <v>0</v>
      </c>
      <c r="U129" s="14"/>
      <c r="V129" s="156">
        <f>SUM(V123:V128)</f>
        <v>-20161808.580000002</v>
      </c>
    </row>
    <row r="130" spans="2:46" outlineLevel="2" x14ac:dyDescent="0.2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2:46" outlineLevel="1" x14ac:dyDescent="0.2">
      <c r="B131" s="3" t="s">
        <v>97</v>
      </c>
      <c r="D131" s="13">
        <f>+D121+D129</f>
        <v>12917050.079999998</v>
      </c>
      <c r="E131" s="13"/>
      <c r="F131" s="13">
        <f>+F121+F129</f>
        <v>-292125.06</v>
      </c>
      <c r="G131" s="13"/>
      <c r="H131" s="13">
        <f>+H121+H129</f>
        <v>0</v>
      </c>
      <c r="I131" s="13"/>
      <c r="J131" s="13">
        <f>+J121+J129</f>
        <v>0</v>
      </c>
      <c r="K131" s="13"/>
      <c r="L131" s="13">
        <f>+L121+L129</f>
        <v>0</v>
      </c>
      <c r="M131" s="13"/>
      <c r="N131" s="13">
        <f>+N121+N129</f>
        <v>0</v>
      </c>
      <c r="O131" s="13"/>
      <c r="P131" s="13">
        <f>+P121+P129</f>
        <v>0</v>
      </c>
      <c r="Q131" s="13"/>
      <c r="R131" s="13">
        <f>+R121+R129</f>
        <v>0</v>
      </c>
      <c r="S131" s="13"/>
      <c r="T131" s="13">
        <f>+T121+T129</f>
        <v>0</v>
      </c>
      <c r="U131" s="13"/>
      <c r="V131" s="13">
        <f>+V121+V129</f>
        <v>12624925.019999996</v>
      </c>
      <c r="W131" s="13"/>
      <c r="X131" s="34">
        <f>+F129</f>
        <v>-292125.06</v>
      </c>
      <c r="Y131" s="34"/>
      <c r="Z131" s="34"/>
      <c r="AA131" s="34"/>
      <c r="AB131" s="34"/>
      <c r="AC131" s="15">
        <f>+F121</f>
        <v>0</v>
      </c>
      <c r="AD131" s="15"/>
      <c r="AE131" s="34">
        <f>+H131</f>
        <v>0</v>
      </c>
      <c r="AL131" s="15">
        <v>0</v>
      </c>
      <c r="AM131" s="34">
        <f>+J131</f>
        <v>0</v>
      </c>
      <c r="AS131" s="15">
        <f>SUM(X131:AQ131)</f>
        <v>-292125.06</v>
      </c>
      <c r="AT131" s="15">
        <f>+V131-D131-AS131</f>
        <v>-2.3865140974521637E-9</v>
      </c>
    </row>
    <row r="132" spans="2:46" outlineLevel="1" x14ac:dyDescent="0.2">
      <c r="D132" s="13">
        <f>+D14-D131</f>
        <v>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>
        <f>+V14-V131</f>
        <v>0</v>
      </c>
      <c r="W132" s="13"/>
    </row>
    <row r="133" spans="2:46" outlineLevel="1" x14ac:dyDescent="0.2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2:46" outlineLevel="1" x14ac:dyDescent="0.2">
      <c r="D134" s="25" t="s">
        <v>2</v>
      </c>
      <c r="F134" s="19"/>
      <c r="H134" s="19"/>
      <c r="J134" s="25" t="s">
        <v>3</v>
      </c>
      <c r="K134" s="25"/>
      <c r="L134" s="25" t="s">
        <v>37</v>
      </c>
      <c r="N134" s="25" t="s">
        <v>38</v>
      </c>
      <c r="P134" s="25"/>
      <c r="R134" s="25"/>
      <c r="T134" s="25"/>
      <c r="V134" s="25" t="s">
        <v>4</v>
      </c>
      <c r="W134" s="13"/>
    </row>
    <row r="135" spans="2:46" outlineLevel="1" x14ac:dyDescent="0.2">
      <c r="D135" s="10" t="s">
        <v>5</v>
      </c>
      <c r="F135" s="10" t="s">
        <v>39</v>
      </c>
      <c r="H135" s="10" t="s">
        <v>7</v>
      </c>
      <c r="J135" s="10" t="s">
        <v>8</v>
      </c>
      <c r="K135" s="11"/>
      <c r="L135" s="10" t="s">
        <v>40</v>
      </c>
      <c r="N135" s="10" t="s">
        <v>41</v>
      </c>
      <c r="P135" s="10" t="s">
        <v>42</v>
      </c>
      <c r="R135" s="10" t="s">
        <v>43</v>
      </c>
      <c r="T135" s="10" t="s">
        <v>44</v>
      </c>
      <c r="V135" s="10" t="s">
        <v>5</v>
      </c>
      <c r="W135" s="13"/>
    </row>
    <row r="136" spans="2:46" outlineLevel="1" x14ac:dyDescent="0.2">
      <c r="D136" s="11"/>
      <c r="F136" s="11"/>
      <c r="H136" s="11"/>
      <c r="J136" s="11"/>
      <c r="K136" s="11"/>
      <c r="L136" s="11"/>
      <c r="N136" s="11"/>
      <c r="P136" s="11"/>
      <c r="R136" s="11"/>
      <c r="T136" s="11"/>
      <c r="V136" s="11"/>
      <c r="W136" s="13"/>
    </row>
    <row r="137" spans="2:46" outlineLevel="3" x14ac:dyDescent="0.2">
      <c r="B137" s="12" t="s">
        <v>45</v>
      </c>
      <c r="D137" s="11"/>
      <c r="F137" s="11"/>
      <c r="H137" s="11"/>
      <c r="J137" s="11"/>
      <c r="K137" s="11"/>
      <c r="L137" s="11"/>
      <c r="N137" s="11"/>
      <c r="P137" s="11"/>
      <c r="R137" s="11"/>
      <c r="T137" s="11"/>
      <c r="V137" s="11"/>
      <c r="W137" s="13"/>
    </row>
    <row r="138" spans="2:46" outlineLevel="3" x14ac:dyDescent="0.2">
      <c r="C138" s="3" t="s">
        <v>12</v>
      </c>
      <c r="D138" s="14">
        <f>+'KU_Summary - Reserve - P2 (REG)'!C10</f>
        <v>-490672507.89999998</v>
      </c>
      <c r="E138" s="14"/>
      <c r="F138" s="14">
        <f>+'KU_Summary - Reserve - P2 (REG)'!E10</f>
        <v>-35749150.469999999</v>
      </c>
      <c r="G138" s="14"/>
      <c r="H138" s="14">
        <f>+'KU_Summary - Reserve - P2 (REG)'!G10</f>
        <v>25441207.449999999</v>
      </c>
      <c r="I138" s="14"/>
      <c r="J138" s="14">
        <f>+'KU_Summary - Reserve - P2 (REG)'!I10</f>
        <v>109068.5</v>
      </c>
      <c r="K138" s="14"/>
      <c r="L138" s="14">
        <f>+'KU_Summary - Reserve - P2 (REG)'!K10</f>
        <v>0</v>
      </c>
      <c r="M138" s="14"/>
      <c r="N138" s="14">
        <f>+'KU_Summary - Reserve - P2 (REG)'!M10</f>
        <v>0</v>
      </c>
      <c r="O138" s="14"/>
      <c r="P138" s="14">
        <f>+'KU_Summary - Reserve - P2 (REG)'!O10</f>
        <v>0</v>
      </c>
      <c r="Q138" s="14"/>
      <c r="R138" s="14">
        <f>+'KU_Summary - Reserve - P2 (REG)'!Q10</f>
        <v>0</v>
      </c>
      <c r="S138" s="19"/>
      <c r="T138" s="14">
        <f>+'KU_Summary - Reserve - P2 (REG)'!S10</f>
        <v>0</v>
      </c>
      <c r="U138" s="19"/>
      <c r="V138" s="19">
        <f>SUM(D138:T138)</f>
        <v>-500871382.42000002</v>
      </c>
      <c r="W138" s="13"/>
    </row>
    <row r="139" spans="2:46" outlineLevel="3" x14ac:dyDescent="0.2">
      <c r="C139" s="3" t="s">
        <v>46</v>
      </c>
      <c r="D139" s="14">
        <f>+'KU_Summary - Reserve - P2 (REG)'!C11</f>
        <v>-124497.79999999996</v>
      </c>
      <c r="E139" s="14"/>
      <c r="F139" s="14">
        <f>+'KU_Summary - Reserve - P2 (REG)'!E11</f>
        <v>-2559.9499999999998</v>
      </c>
      <c r="G139" s="14"/>
      <c r="H139" s="14">
        <f>+'KU_Summary - Reserve - P2 (REG)'!G11</f>
        <v>1700.75</v>
      </c>
      <c r="I139" s="14"/>
      <c r="J139" s="14">
        <f>+'KU_Summary - Reserve - P2 (REG)'!I11</f>
        <v>0</v>
      </c>
      <c r="K139" s="14"/>
      <c r="L139" s="14">
        <f>+'KU_Summary - Reserve - P2 (REG)'!K11</f>
        <v>0</v>
      </c>
      <c r="M139" s="14"/>
      <c r="N139" s="14">
        <f>+'KU_Summary - Reserve - P2 (REG)'!M11</f>
        <v>0</v>
      </c>
      <c r="O139" s="14"/>
      <c r="P139" s="14">
        <f>+'KU_Summary - Reserve - P2 (REG)'!O11</f>
        <v>0</v>
      </c>
      <c r="Q139" s="14"/>
      <c r="R139" s="14">
        <f>+'KU_Summary - Reserve - P2 (REG)'!Q11</f>
        <v>0</v>
      </c>
      <c r="S139" s="19"/>
      <c r="T139" s="14">
        <f>+'KU_Summary - Reserve - P2 (REG)'!S11</f>
        <v>0</v>
      </c>
      <c r="U139" s="19"/>
      <c r="V139" s="19">
        <f t="shared" ref="V139:V149" si="8">SUM(D139:T139)</f>
        <v>-125356.99999999996</v>
      </c>
      <c r="W139" s="13"/>
    </row>
    <row r="140" spans="2:46" outlineLevel="3" x14ac:dyDescent="0.2">
      <c r="C140" s="3" t="s">
        <v>13</v>
      </c>
      <c r="D140" s="14">
        <f>+'KU_Summary - Reserve - P2 (REG)'!C12</f>
        <v>-60872288.390000001</v>
      </c>
      <c r="E140" s="14"/>
      <c r="F140" s="14">
        <f>+'KU_Summary - Reserve - P2 (REG)'!E12</f>
        <v>-11473992.720000001</v>
      </c>
      <c r="G140" s="14"/>
      <c r="H140" s="14">
        <f>+'KU_Summary - Reserve - P2 (REG)'!G12</f>
        <v>5739015.4199999999</v>
      </c>
      <c r="I140" s="14"/>
      <c r="J140" s="14">
        <f>+'KU_Summary - Reserve - P2 (REG)'!I12</f>
        <v>-13259.090000000022</v>
      </c>
      <c r="K140" s="14"/>
      <c r="L140" s="14">
        <f>+'KU_Summary - Reserve - P2 (REG)'!K12</f>
        <v>0</v>
      </c>
      <c r="M140" s="14"/>
      <c r="N140" s="14">
        <f>+'KU_Summary - Reserve - P2 (REG)'!M12</f>
        <v>0</v>
      </c>
      <c r="O140" s="14"/>
      <c r="P140" s="14">
        <f>+'KU_Summary - Reserve - P2 (REG)'!O12</f>
        <v>0</v>
      </c>
      <c r="Q140" s="14"/>
      <c r="R140" s="14">
        <f>+'KU_Summary - Reserve - P2 (REG)'!Q12</f>
        <v>0</v>
      </c>
      <c r="S140" s="19"/>
      <c r="T140" s="14">
        <f>+'KU_Summary - Reserve - P2 (REG)'!S12</f>
        <v>0</v>
      </c>
      <c r="U140" s="19"/>
      <c r="V140" s="19">
        <f t="shared" si="8"/>
        <v>-66620524.780000001</v>
      </c>
      <c r="W140" s="13"/>
    </row>
    <row r="141" spans="2:46" outlineLevel="3" x14ac:dyDescent="0.2">
      <c r="C141" s="3" t="s">
        <v>14</v>
      </c>
      <c r="D141" s="14">
        <f>+'KU_Summary - Reserve - P2 (REG)'!C13</f>
        <v>-12162259.890000001</v>
      </c>
      <c r="E141" s="14"/>
      <c r="F141" s="14">
        <f>+'KU_Summary - Reserve - P2 (REG)'!E13</f>
        <v>-1183261.57</v>
      </c>
      <c r="G141" s="14"/>
      <c r="H141" s="14">
        <f>+'KU_Summary - Reserve - P2 (REG)'!G13</f>
        <v>23675</v>
      </c>
      <c r="I141" s="14"/>
      <c r="J141" s="14">
        <f>+'KU_Summary - Reserve - P2 (REG)'!I13</f>
        <v>0</v>
      </c>
      <c r="K141" s="35"/>
      <c r="L141" s="14">
        <f>+'KU_Summary - Reserve - P2 (REG)'!K13</f>
        <v>0</v>
      </c>
      <c r="M141" s="14"/>
      <c r="N141" s="14">
        <f>+'KU_Summary - Reserve - P2 (REG)'!M13</f>
        <v>0</v>
      </c>
      <c r="O141" s="14"/>
      <c r="P141" s="14">
        <f>+'KU_Summary - Reserve - P2 (REG)'!O13</f>
        <v>0</v>
      </c>
      <c r="Q141" s="14"/>
      <c r="R141" s="14">
        <f>+'KU_Summary - Reserve - P2 (REG)'!Q13</f>
        <v>0</v>
      </c>
      <c r="S141" s="19"/>
      <c r="T141" s="14">
        <f>+'KU_Summary - Reserve - P2 (REG)'!S13</f>
        <v>0</v>
      </c>
      <c r="U141" s="19"/>
      <c r="V141" s="19">
        <f t="shared" si="8"/>
        <v>-13321846.460000001</v>
      </c>
      <c r="W141" s="13"/>
    </row>
    <row r="142" spans="2:46" outlineLevel="3" x14ac:dyDescent="0.2">
      <c r="C142" s="3" t="s">
        <v>47</v>
      </c>
      <c r="D142" s="14">
        <f>+'KU_Summary - Reserve - P2 (REG)'!C14</f>
        <v>-19701.79</v>
      </c>
      <c r="E142" s="14"/>
      <c r="F142" s="14">
        <f>+'KU_Summary - Reserve - P2 (REG)'!E14</f>
        <v>-17888.16</v>
      </c>
      <c r="G142" s="14"/>
      <c r="H142" s="14">
        <f>+'KU_Summary - Reserve - P2 (REG)'!G14</f>
        <v>0</v>
      </c>
      <c r="I142" s="14"/>
      <c r="J142" s="14">
        <f>+'KU_Summary - Reserve - P2 (REG)'!I14</f>
        <v>0</v>
      </c>
      <c r="K142" s="14"/>
      <c r="L142" s="14">
        <f>+'KU_Summary - Reserve - P2 (REG)'!K14</f>
        <v>0</v>
      </c>
      <c r="M142" s="14"/>
      <c r="N142" s="14">
        <f>+'KU_Summary - Reserve - P2 (REG)'!M14</f>
        <v>0</v>
      </c>
      <c r="O142" s="14"/>
      <c r="P142" s="14">
        <f>+'KU_Summary - Reserve - P2 (REG)'!O14</f>
        <v>0</v>
      </c>
      <c r="Q142" s="14"/>
      <c r="R142" s="14">
        <f>+'KU_Summary - Reserve - P2 (REG)'!Q14</f>
        <v>0</v>
      </c>
      <c r="S142" s="19"/>
      <c r="T142" s="14">
        <f>+'KU_Summary - Reserve - P2 (REG)'!S14</f>
        <v>0</v>
      </c>
      <c r="U142" s="19"/>
      <c r="V142" s="19">
        <f t="shared" si="8"/>
        <v>-37589.949999999997</v>
      </c>
      <c r="W142" s="13"/>
    </row>
    <row r="143" spans="2:46" outlineLevel="3" x14ac:dyDescent="0.2">
      <c r="C143" s="3" t="s">
        <v>16</v>
      </c>
      <c r="D143" s="14">
        <f>+'KU_Summary - Reserve - P2 (REG)'!C15</f>
        <v>-276847290.56</v>
      </c>
      <c r="E143" s="14"/>
      <c r="F143" s="14">
        <f>+'KU_Summary - Reserve - P2 (REG)'!E15</f>
        <v>-35768980.219999999</v>
      </c>
      <c r="G143" s="14"/>
      <c r="H143" s="14">
        <f>+'KU_Summary - Reserve - P2 (REG)'!G15</f>
        <v>3080794.96</v>
      </c>
      <c r="I143" s="14"/>
      <c r="J143" s="14">
        <f>+'KU_Summary - Reserve - P2 (REG)'!I15</f>
        <v>0</v>
      </c>
      <c r="K143" s="14"/>
      <c r="L143" s="14">
        <f>+'KU_Summary - Reserve - P2 (REG)'!K15</f>
        <v>0</v>
      </c>
      <c r="M143" s="14"/>
      <c r="N143" s="14">
        <f>+'KU_Summary - Reserve - P2 (REG)'!M15</f>
        <v>0</v>
      </c>
      <c r="O143" s="14"/>
      <c r="P143" s="14">
        <f>+'KU_Summary - Reserve - P2 (REG)'!O15</f>
        <v>0</v>
      </c>
      <c r="Q143" s="14"/>
      <c r="R143" s="14">
        <f>+'KU_Summary - Reserve - P2 (REG)'!Q15</f>
        <v>0</v>
      </c>
      <c r="S143" s="19"/>
      <c r="T143" s="14">
        <f>+'KU_Summary - Reserve - P2 (REG)'!S15</f>
        <v>0</v>
      </c>
      <c r="U143" s="19"/>
      <c r="V143" s="19">
        <f t="shared" si="8"/>
        <v>-309535475.81999999</v>
      </c>
      <c r="W143" s="13"/>
    </row>
    <row r="144" spans="2:46" outlineLevel="3" x14ac:dyDescent="0.2">
      <c r="C144" s="3" t="s">
        <v>48</v>
      </c>
      <c r="D144" s="14">
        <f>+'KU_Summary - Reserve - P2 (REG)'!C16</f>
        <v>-32972.979999999996</v>
      </c>
      <c r="E144" s="14"/>
      <c r="F144" s="14">
        <f>+'KU_Summary - Reserve - P2 (REG)'!E16</f>
        <v>-20404.599999999999</v>
      </c>
      <c r="G144" s="14"/>
      <c r="H144" s="14">
        <f>+'KU_Summary - Reserve - P2 (REG)'!G16</f>
        <v>0</v>
      </c>
      <c r="I144" s="14"/>
      <c r="J144" s="14">
        <f>+'KU_Summary - Reserve - P2 (REG)'!I16</f>
        <v>0</v>
      </c>
      <c r="K144" s="14"/>
      <c r="L144" s="14">
        <f>+'KU_Summary - Reserve - P2 (REG)'!K16</f>
        <v>0</v>
      </c>
      <c r="M144" s="14"/>
      <c r="N144" s="14">
        <f>+'KU_Summary - Reserve - P2 (REG)'!M16</f>
        <v>0</v>
      </c>
      <c r="O144" s="14"/>
      <c r="P144" s="14">
        <f>+'KU_Summary - Reserve - P2 (REG)'!O16</f>
        <v>0</v>
      </c>
      <c r="Q144" s="14"/>
      <c r="R144" s="14">
        <f>+'KU_Summary - Reserve - P2 (REG)'!Q16</f>
        <v>0</v>
      </c>
      <c r="S144" s="19"/>
      <c r="T144" s="14">
        <f>+'KU_Summary - Reserve - P2 (REG)'!S16</f>
        <v>0</v>
      </c>
      <c r="U144" s="19"/>
      <c r="V144" s="19">
        <f t="shared" si="8"/>
        <v>-53377.579999999994</v>
      </c>
      <c r="W144" s="13"/>
    </row>
    <row r="145" spans="1:23" outlineLevel="3" x14ac:dyDescent="0.2">
      <c r="C145" s="3" t="s">
        <v>17</v>
      </c>
      <c r="D145" s="14">
        <f>+'KU_Summary - Reserve - P2 (REG)'!C17</f>
        <v>-1433175831.1800001</v>
      </c>
      <c r="E145" s="14"/>
      <c r="F145" s="14">
        <f>+'KU_Summary - Reserve - P2 (REG)'!E17</f>
        <v>-121310270.25</v>
      </c>
      <c r="G145" s="14"/>
      <c r="H145" s="14">
        <f>+'KU_Summary - Reserve - P2 (REG)'!G17</f>
        <v>14353801.390000001</v>
      </c>
      <c r="I145" s="14"/>
      <c r="J145" s="14">
        <f>+'KU_Summary - Reserve - P2 (REG)'!I17</f>
        <v>0</v>
      </c>
      <c r="K145" s="14"/>
      <c r="L145" s="14">
        <f>+'KU_Summary - Reserve - P2 (REG)'!K17</f>
        <v>0</v>
      </c>
      <c r="M145" s="14"/>
      <c r="N145" s="14">
        <f>+'KU_Summary - Reserve - P2 (REG)'!M17</f>
        <v>0</v>
      </c>
      <c r="O145" s="14"/>
      <c r="P145" s="14">
        <f>+'KU_Summary - Reserve - P2 (REG)'!O17</f>
        <v>0</v>
      </c>
      <c r="Q145" s="14"/>
      <c r="R145" s="14">
        <f>+'KU_Summary - Reserve - P2 (REG)'!Q17</f>
        <v>0</v>
      </c>
      <c r="S145" s="19"/>
      <c r="T145" s="14">
        <f>+'KU_Summary - Reserve - P2 (REG)'!S17</f>
        <v>0</v>
      </c>
      <c r="U145" s="19"/>
      <c r="V145" s="19">
        <f t="shared" si="8"/>
        <v>-1540132300.04</v>
      </c>
      <c r="W145" s="13"/>
    </row>
    <row r="146" spans="1:23" outlineLevel="3" x14ac:dyDescent="0.2">
      <c r="C146" s="3" t="s">
        <v>49</v>
      </c>
      <c r="D146" s="14">
        <f>+'KU_Summary - Reserve - P2 (REG)'!C18</f>
        <v>-93356858.729999989</v>
      </c>
      <c r="E146" s="14"/>
      <c r="F146" s="14">
        <f>+'KU_Summary - Reserve - P2 (REG)'!E18</f>
        <v>-20831566.579999998</v>
      </c>
      <c r="G146" s="14"/>
      <c r="H146" s="14">
        <f>+'KU_Summary - Reserve - P2 (REG)'!G18</f>
        <v>203134</v>
      </c>
      <c r="I146" s="14"/>
      <c r="J146" s="14">
        <f>+'KU_Summary - Reserve - P2 (REG)'!I18</f>
        <v>0</v>
      </c>
      <c r="K146" s="14"/>
      <c r="L146" s="14">
        <f>+'KU_Summary - Reserve - P2 (REG)'!K18</f>
        <v>0</v>
      </c>
      <c r="M146" s="14"/>
      <c r="N146" s="14">
        <f>+'KU_Summary - Reserve - P2 (REG)'!M18</f>
        <v>0</v>
      </c>
      <c r="O146" s="14"/>
      <c r="P146" s="14">
        <f>+'KU_Summary - Reserve - P2 (REG)'!O18</f>
        <v>0</v>
      </c>
      <c r="Q146" s="14"/>
      <c r="R146" s="14">
        <f>+'KU_Summary - Reserve - P2 (REG)'!Q18</f>
        <v>0</v>
      </c>
      <c r="S146" s="19"/>
      <c r="T146" s="14">
        <f>+'KU_Summary - Reserve - P2 (REG)'!S18</f>
        <v>0</v>
      </c>
      <c r="U146" s="19"/>
      <c r="V146" s="19">
        <f t="shared" si="8"/>
        <v>-113985291.30999999</v>
      </c>
    </row>
    <row r="147" spans="1:23" outlineLevel="3" x14ac:dyDescent="0.2">
      <c r="C147" s="3" t="s">
        <v>18</v>
      </c>
      <c r="D147" s="14">
        <f>+'KU_Summary - Reserve - P2 (REG)'!C19</f>
        <v>-239527180.41999999</v>
      </c>
      <c r="E147" s="14"/>
      <c r="F147" s="14">
        <f>+'KU_Summary - Reserve - P2 (REG)'!E19</f>
        <v>-13091705.779999999</v>
      </c>
      <c r="G147" s="14"/>
      <c r="H147" s="14">
        <f>+'KU_Summary - Reserve - P2 (REG)'!G19</f>
        <v>12699756.27</v>
      </c>
      <c r="I147" s="14"/>
      <c r="J147" s="14">
        <f>+'KU_Summary - Reserve - P2 (REG)'!I19</f>
        <v>-123447.27</v>
      </c>
      <c r="K147" s="14"/>
      <c r="L147" s="14">
        <f>+'KU_Summary - Reserve - P2 (REG)'!K19</f>
        <v>0</v>
      </c>
      <c r="M147" s="14"/>
      <c r="N147" s="14">
        <f>+'KU_Summary - Reserve - P2 (REG)'!M19</f>
        <v>0</v>
      </c>
      <c r="O147" s="14"/>
      <c r="P147" s="14">
        <f>+'KU_Summary - Reserve - P2 (REG)'!O19</f>
        <v>0</v>
      </c>
      <c r="Q147" s="14"/>
      <c r="R147" s="14">
        <f>+'KU_Summary - Reserve - P2 (REG)'!Q19</f>
        <v>0</v>
      </c>
      <c r="S147" s="19"/>
      <c r="T147" s="14">
        <f>+'KU_Summary - Reserve - P2 (REG)'!S19</f>
        <v>0</v>
      </c>
      <c r="U147" s="19"/>
      <c r="V147" s="19">
        <f t="shared" si="8"/>
        <v>-240042577.19999999</v>
      </c>
    </row>
    <row r="148" spans="1:23" outlineLevel="3" x14ac:dyDescent="0.2">
      <c r="C148" s="3" t="s">
        <v>50</v>
      </c>
      <c r="D148" s="14">
        <f>+'KU_Summary - Reserve - P2 (REG)'!C20</f>
        <v>-53704.109999999993</v>
      </c>
      <c r="E148" s="14"/>
      <c r="F148" s="14">
        <f>+'KU_Summary - Reserve - P2 (REG)'!E20</f>
        <v>-19263.57</v>
      </c>
      <c r="G148" s="14"/>
      <c r="H148" s="14">
        <f>+'KU_Summary - Reserve - P2 (REG)'!G20</f>
        <v>0</v>
      </c>
      <c r="I148" s="14"/>
      <c r="J148" s="14">
        <f>+'KU_Summary - Reserve - P2 (REG)'!I20</f>
        <v>0</v>
      </c>
      <c r="K148" s="14"/>
      <c r="L148" s="14">
        <f>+'KU_Summary - Reserve - P2 (REG)'!K20</f>
        <v>0</v>
      </c>
      <c r="M148" s="14"/>
      <c r="N148" s="14">
        <f>+'KU_Summary - Reserve - P2 (REG)'!M20</f>
        <v>0</v>
      </c>
      <c r="O148" s="14"/>
      <c r="P148" s="14">
        <f>+'KU_Summary - Reserve - P2 (REG)'!O20</f>
        <v>0</v>
      </c>
      <c r="Q148" s="14"/>
      <c r="R148" s="14">
        <f>+'KU_Summary - Reserve - P2 (REG)'!Q20</f>
        <v>0</v>
      </c>
      <c r="S148" s="19"/>
      <c r="T148" s="14">
        <f>+'KU_Summary - Reserve - P2 (REG)'!S20</f>
        <v>0</v>
      </c>
      <c r="U148" s="19"/>
      <c r="V148" s="19">
        <f t="shared" si="8"/>
        <v>-72967.679999999993</v>
      </c>
    </row>
    <row r="149" spans="1:23" outlineLevel="3" x14ac:dyDescent="0.2">
      <c r="C149" s="3" t="s">
        <v>29</v>
      </c>
      <c r="D149" s="14">
        <f>+'KU_Summary - Reserve - P2 (REG)'!C21</f>
        <v>0</v>
      </c>
      <c r="E149" s="17"/>
      <c r="F149" s="14">
        <f>+'KU_Summary - Reserve - P2 (REG)'!E21</f>
        <v>0</v>
      </c>
      <c r="G149" s="17"/>
      <c r="H149" s="14">
        <f>+'KU_Summary - Reserve - P2 (REG)'!G21</f>
        <v>0</v>
      </c>
      <c r="I149" s="17"/>
      <c r="J149" s="14">
        <f>+'KU_Summary - Reserve - P2 (REG)'!I21</f>
        <v>0</v>
      </c>
      <c r="K149" s="17"/>
      <c r="L149" s="14">
        <f>+'KU_Summary - Reserve - P2 (REG)'!K21</f>
        <v>0</v>
      </c>
      <c r="M149" s="17"/>
      <c r="N149" s="14">
        <f>+'KU_Summary - Reserve - P2 (REG)'!M21</f>
        <v>0</v>
      </c>
      <c r="O149" s="17"/>
      <c r="P149" s="14">
        <f>+'KU_Summary - Reserve - P2 (REG)'!O21</f>
        <v>0</v>
      </c>
      <c r="Q149" s="17"/>
      <c r="R149" s="14">
        <f>+'KU_Summary - Reserve - P2 (REG)'!Q21</f>
        <v>0</v>
      </c>
      <c r="S149" s="26"/>
      <c r="T149" s="14">
        <f>+'KU_Summary - Reserve - P2 (REG)'!S21</f>
        <v>0</v>
      </c>
      <c r="U149" s="26"/>
      <c r="V149" s="27">
        <f t="shared" si="8"/>
        <v>0</v>
      </c>
    </row>
    <row r="150" spans="1:23" outlineLevel="3" x14ac:dyDescent="0.2">
      <c r="C150" s="20"/>
      <c r="D150" s="18">
        <f>SUM(D138:D149)</f>
        <v>-2606845093.75</v>
      </c>
      <c r="E150" s="17"/>
      <c r="F150" s="18">
        <f>SUM(F138:F149)</f>
        <v>-239469043.86999997</v>
      </c>
      <c r="G150" s="17"/>
      <c r="H150" s="18">
        <f>SUM(H138:H149)</f>
        <v>61543085.239999995</v>
      </c>
      <c r="I150" s="17"/>
      <c r="J150" s="18">
        <f>SUM(J138:J149)</f>
        <v>-27637.86000000003</v>
      </c>
      <c r="K150" s="17"/>
      <c r="L150" s="18">
        <f>SUM(L138:L149)</f>
        <v>0</v>
      </c>
      <c r="M150" s="17"/>
      <c r="N150" s="18">
        <f>SUM(N138:N149)</f>
        <v>0</v>
      </c>
      <c r="O150" s="17"/>
      <c r="P150" s="18">
        <f>SUM(P138:P149)</f>
        <v>0</v>
      </c>
      <c r="Q150" s="17"/>
      <c r="R150" s="18">
        <f>SUM(R138:R149)</f>
        <v>0</v>
      </c>
      <c r="S150" s="26"/>
      <c r="T150" s="18">
        <f>SUM(T138:T149)</f>
        <v>0</v>
      </c>
      <c r="U150" s="26"/>
      <c r="V150" s="17">
        <f>SUM(V138:V149)</f>
        <v>-2784798690.2399998</v>
      </c>
    </row>
    <row r="151" spans="1:23" outlineLevel="3" x14ac:dyDescent="0.2">
      <c r="C151" s="20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26"/>
      <c r="T151" s="17"/>
      <c r="U151" s="26"/>
      <c r="V151" s="17"/>
    </row>
    <row r="152" spans="1:23" outlineLevel="3" x14ac:dyDescent="0.2">
      <c r="B152" s="12" t="s">
        <v>56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3" outlineLevel="3" x14ac:dyDescent="0.2">
      <c r="C153" s="3" t="s">
        <v>11</v>
      </c>
      <c r="D153" s="14">
        <f>'KU_Summary - Reserve - P2 (REG)'!C66</f>
        <v>-50597023.839999989</v>
      </c>
      <c r="E153" s="26"/>
      <c r="F153" s="14">
        <f>'KU_Summary - Reserve - P2 (REG)'!E66</f>
        <v>-15572212.75</v>
      </c>
      <c r="G153" s="26"/>
      <c r="H153" s="14">
        <f>'KU_Summary - Reserve - P2 (REG)'!G66</f>
        <v>7464577.3600000003</v>
      </c>
      <c r="I153" s="26"/>
      <c r="J153" s="14">
        <f>'KU_Summary - Reserve - P2 (REG)'!I66</f>
        <v>0</v>
      </c>
      <c r="K153" s="26"/>
      <c r="L153" s="14">
        <f>'KU_Summary - Reserve - P2 (REG)'!K66</f>
        <v>0</v>
      </c>
      <c r="M153" s="26"/>
      <c r="N153" s="14">
        <f>'KU_Summary - Reserve - P2 (REG)'!M66</f>
        <v>0</v>
      </c>
      <c r="O153" s="26"/>
      <c r="P153" s="14">
        <f>'KU_Summary - Reserve - P2 (REG)'!O66</f>
        <v>0</v>
      </c>
      <c r="Q153" s="26"/>
      <c r="R153" s="14">
        <f>'KU_Summary - Reserve - P2 (REG)'!Q66</f>
        <v>0</v>
      </c>
      <c r="S153" s="26"/>
      <c r="T153" s="14">
        <f>+'KU_Summary - Reserve - P2 (REG)'!S66</f>
        <v>0</v>
      </c>
      <c r="U153" s="26"/>
      <c r="V153" s="27">
        <f>SUM(D153:T153)</f>
        <v>-58704659.229999989</v>
      </c>
    </row>
    <row r="154" spans="1:23" outlineLevel="3" x14ac:dyDescent="0.2">
      <c r="C154" s="20"/>
      <c r="D154" s="32">
        <f>SUM(D153:D153)</f>
        <v>-50597023.839999989</v>
      </c>
      <c r="E154" s="26"/>
      <c r="F154" s="32">
        <f>SUM(F153:F153)</f>
        <v>-15572212.75</v>
      </c>
      <c r="G154" s="26"/>
      <c r="H154" s="32">
        <f>SUM(H153:H153)</f>
        <v>7464577.3600000003</v>
      </c>
      <c r="I154" s="26"/>
      <c r="J154" s="32">
        <f>SUM(J153:J153)</f>
        <v>0</v>
      </c>
      <c r="K154" s="26"/>
      <c r="L154" s="32">
        <f>SUM(L153:L153)</f>
        <v>0</v>
      </c>
      <c r="M154" s="26"/>
      <c r="N154" s="32">
        <f>SUM(N153:N153)</f>
        <v>0</v>
      </c>
      <c r="O154" s="26"/>
      <c r="P154" s="32">
        <f>SUM(P153:P153)</f>
        <v>0</v>
      </c>
      <c r="Q154" s="26"/>
      <c r="R154" s="32">
        <f>SUM(R153:R153)</f>
        <v>0</v>
      </c>
      <c r="S154" s="26"/>
      <c r="T154" s="32">
        <f>SUM(T153:T153)</f>
        <v>0</v>
      </c>
      <c r="U154" s="26"/>
      <c r="V154" s="26">
        <f>SUM(V153:V153)</f>
        <v>-58704659.229999989</v>
      </c>
    </row>
    <row r="155" spans="1:23" outlineLevel="3" x14ac:dyDescent="0.2">
      <c r="C155" s="20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:23" outlineLevel="3" x14ac:dyDescent="0.2">
      <c r="A156" s="75" t="s">
        <v>123</v>
      </c>
      <c r="B156" s="12" t="s">
        <v>61</v>
      </c>
    </row>
    <row r="157" spans="1:23" outlineLevel="3" x14ac:dyDescent="0.2">
      <c r="C157" s="3" t="s">
        <v>11</v>
      </c>
      <c r="D157" s="19">
        <f>+D197</f>
        <v>0</v>
      </c>
      <c r="E157" s="19"/>
      <c r="F157" s="19">
        <f>+F197</f>
        <v>0</v>
      </c>
      <c r="G157" s="19"/>
      <c r="H157" s="19">
        <f>+H197</f>
        <v>0</v>
      </c>
      <c r="I157" s="19"/>
      <c r="J157" s="19">
        <f>+J197</f>
        <v>0</v>
      </c>
      <c r="K157" s="19"/>
      <c r="L157" s="19">
        <f>+L197</f>
        <v>0</v>
      </c>
      <c r="M157" s="19"/>
      <c r="N157" s="19">
        <f>+N197</f>
        <v>0</v>
      </c>
      <c r="O157" s="19"/>
      <c r="P157" s="19">
        <f>+P197</f>
        <v>0</v>
      </c>
      <c r="Q157" s="19"/>
      <c r="R157" s="19">
        <f>+R197</f>
        <v>0</v>
      </c>
      <c r="S157" s="19"/>
      <c r="T157" s="19">
        <f>+T197</f>
        <v>0</v>
      </c>
      <c r="U157" s="19"/>
      <c r="V157" s="27">
        <f>SUM(D157:T157)</f>
        <v>0</v>
      </c>
    </row>
    <row r="158" spans="1:23" outlineLevel="3" x14ac:dyDescent="0.2">
      <c r="C158" s="20"/>
      <c r="D158" s="31">
        <f>SUM(D157:D157)</f>
        <v>0</v>
      </c>
      <c r="E158" s="19"/>
      <c r="F158" s="31">
        <f>SUM(F157:F157)</f>
        <v>0</v>
      </c>
      <c r="G158" s="19"/>
      <c r="H158" s="31">
        <f>SUM(H157:H157)</f>
        <v>0</v>
      </c>
      <c r="I158" s="19"/>
      <c r="J158" s="31">
        <f>SUM(J157:J157)</f>
        <v>0</v>
      </c>
      <c r="K158" s="26"/>
      <c r="L158" s="31">
        <f>SUM(L157:L157)</f>
        <v>0</v>
      </c>
      <c r="M158" s="19"/>
      <c r="N158" s="31">
        <f>SUM(N157:N157)</f>
        <v>0</v>
      </c>
      <c r="O158" s="19"/>
      <c r="P158" s="31">
        <f>SUM(P157:P157)</f>
        <v>0</v>
      </c>
      <c r="Q158" s="19"/>
      <c r="R158" s="31">
        <f>SUM(R157:R157)</f>
        <v>0</v>
      </c>
      <c r="S158" s="19"/>
      <c r="T158" s="31">
        <f>SUM(T157:T157)</f>
        <v>0</v>
      </c>
      <c r="U158" s="19"/>
      <c r="V158" s="31">
        <f>SUM(V157:V157)</f>
        <v>0</v>
      </c>
    </row>
    <row r="159" spans="1:23" outlineLevel="3" x14ac:dyDescent="0.2">
      <c r="C159" s="20"/>
      <c r="D159" s="26"/>
      <c r="E159" s="19"/>
      <c r="F159" s="26"/>
      <c r="G159" s="19"/>
      <c r="H159" s="26"/>
      <c r="I159" s="19"/>
      <c r="J159" s="26"/>
      <c r="K159" s="26"/>
      <c r="L159" s="26"/>
      <c r="M159" s="19"/>
      <c r="N159" s="26"/>
      <c r="O159" s="19"/>
      <c r="P159" s="26"/>
      <c r="Q159" s="19"/>
      <c r="R159" s="26"/>
      <c r="S159" s="19"/>
      <c r="T159" s="26"/>
      <c r="U159" s="19"/>
      <c r="V159" s="26"/>
    </row>
    <row r="160" spans="1:23" outlineLevel="3" x14ac:dyDescent="0.2">
      <c r="A160" s="71" t="s">
        <v>122</v>
      </c>
      <c r="C160" s="12"/>
      <c r="D160" s="17"/>
      <c r="E160" s="14"/>
      <c r="F160" s="17"/>
      <c r="G160" s="14"/>
      <c r="H160" s="17"/>
      <c r="I160" s="14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4"/>
      <c r="V160" s="17"/>
    </row>
    <row r="161" spans="1:46" outlineLevel="3" x14ac:dyDescent="0.2">
      <c r="A161" s="76" t="s">
        <v>113</v>
      </c>
      <c r="C161" s="43" t="s">
        <v>114</v>
      </c>
      <c r="D161" s="17">
        <f>+'KY_Res by Plant Acct P16(REG)'!B84-22443.8</f>
        <v>-934776.4</v>
      </c>
      <c r="E161" s="14"/>
      <c r="F161" s="17">
        <f>+'KY_Res by Plant Acct P16(REG)'!D84</f>
        <v>0</v>
      </c>
      <c r="G161" s="14"/>
      <c r="H161" s="17">
        <f>+'KY_Res by Plant Acct P16(REG)'!F84</f>
        <v>23675</v>
      </c>
      <c r="I161" s="14"/>
      <c r="J161" s="17">
        <v>0</v>
      </c>
      <c r="K161" s="17"/>
      <c r="N161" s="17">
        <f>+'KY_Res by Plant Acct P16(REG)'!J84</f>
        <v>0</v>
      </c>
      <c r="O161" s="17"/>
      <c r="P161" s="17">
        <f>+'KY_Res by Plant Acct P16(REG)'!L84</f>
        <v>0</v>
      </c>
      <c r="Q161" s="17"/>
      <c r="R161" s="17">
        <f>+'KY_Res by Plant Acct P16(REG)'!N84+23675</f>
        <v>0</v>
      </c>
      <c r="S161" s="17"/>
      <c r="T161" s="17">
        <f>+'KY_Res by Plant Acct P16(REG)'!P84</f>
        <v>0</v>
      </c>
      <c r="U161" s="17"/>
      <c r="V161" s="19">
        <f>SUM(D161:T161)</f>
        <v>-911101.4</v>
      </c>
    </row>
    <row r="162" spans="1:46" outlineLevel="3" x14ac:dyDescent="0.2">
      <c r="A162" s="76" t="s">
        <v>115</v>
      </c>
      <c r="C162" s="43" t="s">
        <v>114</v>
      </c>
      <c r="D162" s="17">
        <f>+'KY_Res by Plant Acct P16(REG)'!B95</f>
        <v>-120484.00000000003</v>
      </c>
      <c r="E162" s="14"/>
      <c r="F162" s="17">
        <f>+'KY_Res by Plant Acct P16(REG)'!D95</f>
        <v>-3907.5</v>
      </c>
      <c r="G162" s="14"/>
      <c r="H162" s="17">
        <f>+'KY_Res by Plant Acct P16(REG)'!F95</f>
        <v>0</v>
      </c>
      <c r="I162" s="14"/>
      <c r="J162" s="17">
        <f>+'KY_Res by Plant Acct P16(REG)'!H95</f>
        <v>0</v>
      </c>
      <c r="K162" s="17"/>
      <c r="N162" s="17">
        <f>+'KY_Res by Plant Acct P16(REG)'!J95</f>
        <v>0</v>
      </c>
      <c r="O162" s="17"/>
      <c r="P162" s="17">
        <f>+'KY_Res by Plant Acct P16(REG)'!L95</f>
        <v>0</v>
      </c>
      <c r="Q162" s="17"/>
      <c r="R162" s="17">
        <f>+'KY_Res by Plant Acct P16(REG)'!N95</f>
        <v>0</v>
      </c>
      <c r="S162" s="17"/>
      <c r="T162" s="17">
        <f>+'KY_Res by Plant Acct P16(REG)'!P95</f>
        <v>0</v>
      </c>
      <c r="U162" s="17"/>
      <c r="V162" s="19">
        <f>SUM(D162:T162)</f>
        <v>-124391.50000000003</v>
      </c>
    </row>
    <row r="163" spans="1:46" outlineLevel="3" x14ac:dyDescent="0.2">
      <c r="A163" s="76" t="s">
        <v>116</v>
      </c>
      <c r="C163" s="43" t="s">
        <v>114</v>
      </c>
      <c r="D163" s="17">
        <f>+'KY_Res by Plant Acct P16(REG)'!B440+'VA_Res by Plant Acct P17(REG)'!B45+'TN_Res by Plant Acct P18(REG)'!B25+22444.65</f>
        <v>-17304333.310000002</v>
      </c>
      <c r="E163" s="14"/>
      <c r="F163" s="17">
        <f>+'KY_Res by Plant Acct P16(REG)'!D440+'VA_Res by Plant Acct P17(REG)'!D45+'TN_Res by Plant Acct P18(REG)'!D25</f>
        <v>-268721.46000000002</v>
      </c>
      <c r="G163" s="14"/>
      <c r="H163" s="17">
        <f>+'KY_Res by Plant Acct P16(REG)'!F440+'VA_Res by Plant Acct P17(REG)'!F45+'TN_Res by Plant Acct P18(REG)'!F25</f>
        <v>0</v>
      </c>
      <c r="I163" s="14"/>
      <c r="J163" s="17">
        <f>+'KY_Res by Plant Acct P16(REG)'!H440+'VA_Res by Plant Acct P17(REG)'!H45+'TN_Res by Plant Acct P18(REG)'!H25</f>
        <v>0</v>
      </c>
      <c r="K163" s="17"/>
      <c r="N163" s="17">
        <f>+'KY_Res by Plant Acct P16(REG)'!J440+'VA_Res by Plant Acct P17(REG)'!J45+'TN_Res by Plant Acct P18(REG)'!J25</f>
        <v>0</v>
      </c>
      <c r="O163" s="17"/>
      <c r="P163" s="17">
        <f>+'KY_Res by Plant Acct P16(REG)'!L440+'VA_Res by Plant Acct P17(REG)'!L45+'TN_Res by Plant Acct P18(REG)'!L25</f>
        <v>0</v>
      </c>
      <c r="Q163" s="17"/>
      <c r="R163" s="17">
        <f>+'KY_Res by Plant Acct P16(REG)'!N440+'VA_Res by Plant Acct P17(REG)'!N45+'TN_Res by Plant Acct P18(REG)'!N25</f>
        <v>0</v>
      </c>
      <c r="S163" s="17"/>
      <c r="T163" s="17">
        <f>+'KY_Res by Plant Acct P16(REG)'!P440+'VA_Res by Plant Acct P17(REG)'!P45+'TN_Res by Plant Acct P18(REG)'!P25</f>
        <v>0</v>
      </c>
      <c r="U163" s="17"/>
      <c r="V163" s="19">
        <f>SUM(D163:T163)</f>
        <v>-17573054.770000003</v>
      </c>
    </row>
    <row r="164" spans="1:46" outlineLevel="3" x14ac:dyDescent="0.2">
      <c r="A164" s="76" t="s">
        <v>117</v>
      </c>
      <c r="C164" s="43" t="s">
        <v>114</v>
      </c>
      <c r="D164" s="17">
        <f>+'KY_Res by Plant Acct P16(REG)'!B10+'VA_Res by Plant Acct P17(REG)'!B10+'TN_Res by Plant Acct P18(REG)'!B10+'KY_Res by Plant Acct P16(REG)'!B11+3304.98-56879.56+58761.78-5187.52</f>
        <v>-1470685.0199999998</v>
      </c>
      <c r="E164" s="14"/>
      <c r="F164" s="17">
        <f>+'KY_Res by Plant Acct P16(REG)'!D10+'VA_Res by Plant Acct P17(REG)'!D10+'TN_Res by Plant Acct P18(REG)'!D10+'KY_Res by Plant Acct P16(REG)'!D11</f>
        <v>-13230.42</v>
      </c>
      <c r="G164" s="14"/>
      <c r="H164" s="17">
        <f>+'KY_Res by Plant Acct P16(REG)'!F10+'VA_Res by Plant Acct P17(REG)'!F10+'TN_Res by Plant Acct P18(REG)'!F10+'KY_Res by Plant Acct P16(REG)'!F11</f>
        <v>0</v>
      </c>
      <c r="I164" s="14"/>
      <c r="J164" s="17"/>
      <c r="K164" s="17"/>
      <c r="N164" s="17">
        <f>+'KY_Res by Plant Acct P16(REG)'!J10+'VA_Res by Plant Acct P17(REG)'!J10+'TN_Res by Plant Acct P18(REG)'!J10+'KY_Res by Plant Acct P16(REG)'!J11</f>
        <v>0</v>
      </c>
      <c r="P164" s="17">
        <f>+'KY_Res by Plant Acct P16(REG)'!L10+'VA_Res by Plant Acct P17(REG)'!L10+'TN_Res by Plant Acct P18(REG)'!L10+'KY_Res by Plant Acct P16(REG)'!L11</f>
        <v>0</v>
      </c>
      <c r="Q164" s="17"/>
      <c r="R164" s="17">
        <f>+'KY_Res by Plant Acct P16(REG)'!N10+'VA_Res by Plant Acct P17(REG)'!N10+'TN_Res by Plant Acct P18(REG)'!N10+'KY_Res by Plant Acct P16(REG)'!N11</f>
        <v>0</v>
      </c>
      <c r="S164" s="17"/>
      <c r="T164" s="17">
        <f>+'KY_Res by Plant Acct P16(REG)'!P10+'VA_Res by Plant Acct P17(REG)'!P10+'TN_Res by Plant Acct P18(REG)'!P10+'KY_Res by Plant Acct P16(REG)'!P11</f>
        <v>0</v>
      </c>
      <c r="U164" s="17"/>
      <c r="V164" s="19">
        <f>SUM(D164:T164)</f>
        <v>-1483915.4399999997</v>
      </c>
    </row>
    <row r="165" spans="1:46" outlineLevel="3" x14ac:dyDescent="0.2">
      <c r="A165" s="76" t="s">
        <v>118</v>
      </c>
      <c r="C165" s="43" t="s">
        <v>119</v>
      </c>
      <c r="D165" s="17">
        <f>+'KY_Res by Plant Acct P16(REG)'!B474+'KY_Res by Plant Acct P16(REG)'!B475</f>
        <v>-63079.789999999994</v>
      </c>
      <c r="E165" s="14"/>
      <c r="F165" s="17">
        <f>+'KY_Res by Plant Acct P16(REG)'!D474+'KY_Res by Plant Acct P16(REG)'!D475</f>
        <v>-6265.68</v>
      </c>
      <c r="G165" s="14"/>
      <c r="H165" s="17">
        <f>+'KY_Res by Plant Acct P16(REG)'!F474+'KY_Res by Plant Acct P16(REG)'!F475</f>
        <v>0</v>
      </c>
      <c r="I165" s="14"/>
      <c r="J165" s="17">
        <f>+'KY_Res by Plant Acct P16(REG)'!H474+'KY_Res by Plant Acct P16(REG)'!H475</f>
        <v>0</v>
      </c>
      <c r="K165" s="17"/>
      <c r="N165" s="17">
        <f>+'KY_Res by Plant Acct P16(REG)'!J474+'KY_Res by Plant Acct P16(REG)'!J475</f>
        <v>0</v>
      </c>
      <c r="O165" s="17"/>
      <c r="P165" s="17">
        <f>+'KY_Res by Plant Acct P16(REG)'!L474+'KY_Res by Plant Acct P16(REG)'!L475</f>
        <v>0</v>
      </c>
      <c r="Q165" s="17"/>
      <c r="R165" s="17">
        <f>+'KY_Res by Plant Acct P16(REG)'!N474+'KY_Res by Plant Acct P16(REG)'!N475</f>
        <v>0</v>
      </c>
      <c r="S165" s="17"/>
      <c r="T165" s="17">
        <v>0</v>
      </c>
      <c r="U165" s="17"/>
      <c r="V165" s="19">
        <f>SUM(D165:T165)</f>
        <v>-69345.47</v>
      </c>
    </row>
    <row r="166" spans="1:46" outlineLevel="3" x14ac:dyDescent="0.2">
      <c r="C166" s="12" t="s">
        <v>120</v>
      </c>
      <c r="D166" s="156">
        <f>SUM(D160:D165)</f>
        <v>-19893358.52</v>
      </c>
      <c r="E166" s="14"/>
      <c r="F166" s="156">
        <f>SUM(F160:F165)</f>
        <v>-292125.06</v>
      </c>
      <c r="G166" s="14"/>
      <c r="H166" s="156">
        <f>SUM(H160:H165)</f>
        <v>23675</v>
      </c>
      <c r="I166" s="14"/>
      <c r="J166" s="156">
        <f>SUM(J160:J165)</f>
        <v>0</v>
      </c>
      <c r="K166" s="17"/>
      <c r="L166" s="156">
        <f>SUM(L160:L165)</f>
        <v>0</v>
      </c>
      <c r="M166" s="17"/>
      <c r="N166" s="156">
        <f>SUM(N160:N165)</f>
        <v>0</v>
      </c>
      <c r="O166" s="17"/>
      <c r="P166" s="156">
        <f>SUM(P160:P165)</f>
        <v>0</v>
      </c>
      <c r="Q166" s="17"/>
      <c r="R166" s="156">
        <f>SUM(R160:R165)</f>
        <v>0</v>
      </c>
      <c r="S166" s="17"/>
      <c r="T166" s="156">
        <f>SUM(T160:T165)</f>
        <v>0</v>
      </c>
      <c r="U166" s="14"/>
      <c r="V166" s="156">
        <f>SUM(V160:V165)</f>
        <v>-20161808.580000002</v>
      </c>
    </row>
    <row r="167" spans="1:46" outlineLevel="3" x14ac:dyDescent="0.2">
      <c r="C167" s="20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26"/>
      <c r="T167" s="17"/>
      <c r="U167" s="26"/>
      <c r="V167" s="17"/>
    </row>
    <row r="168" spans="1:46" outlineLevel="1" x14ac:dyDescent="0.2">
      <c r="B168" s="43" t="s">
        <v>124</v>
      </c>
      <c r="C168" s="20"/>
      <c r="D168" s="17">
        <f>+D150+D153+D158-D166</f>
        <v>-2637548759.0700002</v>
      </c>
      <c r="E168" s="17"/>
      <c r="F168" s="17">
        <f>+F150+F153+F158-F166</f>
        <v>-254749131.55999997</v>
      </c>
      <c r="G168" s="17"/>
      <c r="H168" s="17">
        <f>+H150+H153+H158-H166</f>
        <v>68983987.599999994</v>
      </c>
      <c r="I168" s="17"/>
      <c r="J168" s="17">
        <f>+J150+J153+J158-J166</f>
        <v>-27637.86000000003</v>
      </c>
      <c r="K168" s="17"/>
      <c r="L168" s="17">
        <f>+L150+L153+L158-L166</f>
        <v>0</v>
      </c>
      <c r="M168" s="17"/>
      <c r="N168" s="17">
        <f>+N150+N153+N158-N166</f>
        <v>0</v>
      </c>
      <c r="O168" s="17"/>
      <c r="P168" s="17">
        <f>+P150+P153+P158-P166</f>
        <v>0</v>
      </c>
      <c r="Q168" s="17"/>
      <c r="R168" s="17">
        <f>+R150+R153+R158-R166</f>
        <v>0</v>
      </c>
      <c r="S168" s="26"/>
      <c r="T168" s="17">
        <f>+T150+T153+T158-T166</f>
        <v>0</v>
      </c>
      <c r="U168" s="26"/>
      <c r="V168" s="17">
        <f>+V150+V153+V158-V166</f>
        <v>-2823341540.8899999</v>
      </c>
      <c r="X168" s="15">
        <f>+F168-Z168-AN168-Y168-AA168</f>
        <v>-232178801.86999997</v>
      </c>
      <c r="Y168" s="15">
        <v>0</v>
      </c>
      <c r="Z168" s="15">
        <v>-20891682.859999999</v>
      </c>
      <c r="AA168" s="15">
        <f>-AA211</f>
        <v>0</v>
      </c>
      <c r="AB168" s="15"/>
      <c r="AE168" s="15">
        <f>+H168</f>
        <v>68983987.599999994</v>
      </c>
      <c r="AF168" s="15">
        <v>0</v>
      </c>
      <c r="AG168" s="15">
        <f>+'Land_Vehicle Retire P3A (REG)'!I9-'Land_Vehicle Retire P3A (REG)'!K9</f>
        <v>0</v>
      </c>
      <c r="AH168" s="15"/>
      <c r="AI168" s="15"/>
      <c r="AJ168" s="15"/>
      <c r="AK168" s="15">
        <v>0</v>
      </c>
      <c r="AL168" s="15">
        <v>0</v>
      </c>
      <c r="AM168" s="15">
        <f>+J168-J157-AK168+AG168-AL168-AG168-AH168</f>
        <v>-27637.86000000003</v>
      </c>
      <c r="AN168" s="15">
        <f>+'Recon Depr Exp to IS P4 (REG)'!E18-'Recon Depr Exp to IS P4 (REG)'!I18-'Recon Depr Exp to IS P4 (REG)'!K18-'Recon Depr Exp to IS P4 (REG)'!M16-'Recon Depr Exp to IS P4 (REG)'!O13-'Recon Depr Exp to IS P4 (REG)'!Q18-AA168</f>
        <v>-1678646.8299999998</v>
      </c>
      <c r="AS168" s="15">
        <f>SUM(X168:AQ168)</f>
        <v>-185792781.81999999</v>
      </c>
      <c r="AT168" s="15">
        <f>+V168-D168-AS168</f>
        <v>2.9802322387695313E-7</v>
      </c>
    </row>
    <row r="169" spans="1:46" outlineLevel="1" x14ac:dyDescent="0.2">
      <c r="C169" s="20"/>
      <c r="D169" s="17">
        <f>+D12-D168</f>
        <v>0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26"/>
      <c r="T169" s="17"/>
      <c r="U169" s="26"/>
      <c r="V169" s="17">
        <f>+V12-V168</f>
        <v>0</v>
      </c>
    </row>
    <row r="170" spans="1:46" outlineLevel="1" x14ac:dyDescent="0.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26"/>
      <c r="S170" s="26"/>
      <c r="T170" s="26"/>
      <c r="U170" s="26"/>
      <c r="V170" s="26"/>
    </row>
    <row r="171" spans="1:46" outlineLevel="2" x14ac:dyDescent="0.2">
      <c r="B171" s="12" t="s">
        <v>51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</row>
    <row r="172" spans="1:46" outlineLevel="2" x14ac:dyDescent="0.2">
      <c r="C172" s="3" t="s">
        <v>12</v>
      </c>
      <c r="D172" s="17">
        <f>+'KU_Summary - Reserve - P2 (REG)'!C25</f>
        <v>-223361288.31</v>
      </c>
      <c r="E172" s="17"/>
      <c r="F172" s="17">
        <f>+'KU_Summary - Reserve - P2 (REG)'!E25</f>
        <v>-10618871.59</v>
      </c>
      <c r="G172" s="17"/>
      <c r="H172" s="17">
        <f>+'KU_Summary - Reserve - P2 (REG)'!G25</f>
        <v>0</v>
      </c>
      <c r="I172" s="17"/>
      <c r="J172" s="17">
        <f>+'KU_Summary - Reserve - P2 (REG)'!I25</f>
        <v>44144.83</v>
      </c>
      <c r="K172" s="17"/>
      <c r="L172" s="17">
        <f>+'KU_Summary - Reserve - P2 (REG)'!K25</f>
        <v>0</v>
      </c>
      <c r="M172" s="17"/>
      <c r="N172" s="17">
        <f>+'KU_Summary - Reserve - P2 (REG)'!M25</f>
        <v>0</v>
      </c>
      <c r="O172" s="17"/>
      <c r="P172" s="17">
        <f>+'KU_Summary - Reserve - P2 (REG)'!O25</f>
        <v>7327480.5</v>
      </c>
      <c r="Q172" s="17"/>
      <c r="R172" s="17">
        <f>+'KU_Summary - Reserve - P2 (REG)'!Q25</f>
        <v>0</v>
      </c>
      <c r="S172" s="26"/>
      <c r="T172" s="17">
        <f>+'KU_Summary - Reserve - P2 (REG)'!S25</f>
        <v>-469483.01</v>
      </c>
      <c r="U172" s="26"/>
      <c r="V172" s="26">
        <f t="shared" ref="V172:V178" si="9">T172+R172+P172+N172+J172+H172+F172+D172</f>
        <v>-227078017.58000001</v>
      </c>
    </row>
    <row r="173" spans="1:46" outlineLevel="2" x14ac:dyDescent="0.2">
      <c r="C173" s="3" t="s">
        <v>13</v>
      </c>
      <c r="D173" s="17">
        <f>+'KU_Summary - Reserve - P2 (REG)'!C26</f>
        <v>229453.61999999997</v>
      </c>
      <c r="E173" s="17"/>
      <c r="F173" s="17">
        <f>+'KU_Summary - Reserve - P2 (REG)'!E26</f>
        <v>-151724.42000000001</v>
      </c>
      <c r="G173" s="17"/>
      <c r="H173" s="17">
        <f>+'KU_Summary - Reserve - P2 (REG)'!G26</f>
        <v>0</v>
      </c>
      <c r="I173" s="17"/>
      <c r="J173" s="17">
        <f>+'KU_Summary - Reserve - P2 (REG)'!I26</f>
        <v>0</v>
      </c>
      <c r="K173" s="17"/>
      <c r="L173" s="17">
        <f>+'KU_Summary - Reserve - P2 (REG)'!K26</f>
        <v>0</v>
      </c>
      <c r="M173" s="17"/>
      <c r="N173" s="17">
        <f>+'KU_Summary - Reserve - P2 (REG)'!M26</f>
        <v>0</v>
      </c>
      <c r="O173" s="17"/>
      <c r="P173" s="17">
        <f>+'KU_Summary - Reserve - P2 (REG)'!O26</f>
        <v>29109.11</v>
      </c>
      <c r="Q173" s="17"/>
      <c r="R173" s="17">
        <f>+'KU_Summary - Reserve - P2 (REG)'!Q26</f>
        <v>0</v>
      </c>
      <c r="S173" s="26"/>
      <c r="T173" s="17">
        <f>+'KU_Summary - Reserve - P2 (REG)'!S26</f>
        <v>0</v>
      </c>
      <c r="U173" s="26"/>
      <c r="V173" s="26">
        <f t="shared" si="9"/>
        <v>106838.30999999995</v>
      </c>
    </row>
    <row r="174" spans="1:46" outlineLevel="2" x14ac:dyDescent="0.2">
      <c r="C174" s="3" t="s">
        <v>14</v>
      </c>
      <c r="D174" s="17">
        <f>+'KU_Summary - Reserve - P2 (REG)'!C27</f>
        <v>264266.51999999996</v>
      </c>
      <c r="E174" s="17"/>
      <c r="F174" s="17">
        <f>+'KU_Summary - Reserve - P2 (REG)'!E27</f>
        <v>-40652.58</v>
      </c>
      <c r="G174" s="17"/>
      <c r="H174" s="17">
        <f>+'KU_Summary - Reserve - P2 (REG)'!G27</f>
        <v>0</v>
      </c>
      <c r="I174" s="17"/>
      <c r="J174" s="17">
        <f>+'KU_Summary - Reserve - P2 (REG)'!I27</f>
        <v>0</v>
      </c>
      <c r="K174" s="17"/>
      <c r="L174" s="17">
        <f>+'KU_Summary - Reserve - P2 (REG)'!K27</f>
        <v>0</v>
      </c>
      <c r="M174" s="17"/>
      <c r="N174" s="17">
        <f>+'KU_Summary - Reserve - P2 (REG)'!M27</f>
        <v>0</v>
      </c>
      <c r="O174" s="17"/>
      <c r="P174" s="17">
        <f>+'KU_Summary - Reserve - P2 (REG)'!O27</f>
        <v>0</v>
      </c>
      <c r="Q174" s="17"/>
      <c r="R174" s="17">
        <f>+'KU_Summary - Reserve - P2 (REG)'!Q27</f>
        <v>0</v>
      </c>
      <c r="S174" s="26"/>
      <c r="T174" s="17">
        <f>+'KU_Summary - Reserve - P2 (REG)'!S27</f>
        <v>0</v>
      </c>
      <c r="U174" s="26"/>
      <c r="V174" s="26">
        <f t="shared" si="9"/>
        <v>223613.93999999994</v>
      </c>
    </row>
    <row r="175" spans="1:46" outlineLevel="2" x14ac:dyDescent="0.2">
      <c r="C175" s="3" t="s">
        <v>16</v>
      </c>
      <c r="D175" s="17">
        <f>+'KU_Summary - Reserve - P2 (REG)'!C28</f>
        <v>-6617473.1799999997</v>
      </c>
      <c r="E175" s="17"/>
      <c r="F175" s="17">
        <f>+'KU_Summary - Reserve - P2 (REG)'!E28</f>
        <v>-2498863.91</v>
      </c>
      <c r="G175" s="17"/>
      <c r="H175" s="17">
        <f>+'KU_Summary - Reserve - P2 (REG)'!G28</f>
        <v>0</v>
      </c>
      <c r="I175" s="17"/>
      <c r="J175" s="17">
        <f>+'KU_Summary - Reserve - P2 (REG)'!I28</f>
        <v>0</v>
      </c>
      <c r="K175" s="17"/>
      <c r="L175" s="17">
        <f>+'KU_Summary - Reserve - P2 (REG)'!K28</f>
        <v>0</v>
      </c>
      <c r="M175" s="17"/>
      <c r="N175" s="17">
        <f>+'KU_Summary - Reserve - P2 (REG)'!M28</f>
        <v>0</v>
      </c>
      <c r="O175" s="17"/>
      <c r="P175" s="17">
        <f>+'KU_Summary - Reserve - P2 (REG)'!O28</f>
        <v>411258.45</v>
      </c>
      <c r="Q175" s="17"/>
      <c r="R175" s="17">
        <f>+'KU_Summary - Reserve - P2 (REG)'!Q28</f>
        <v>0</v>
      </c>
      <c r="S175" s="26"/>
      <c r="T175" s="17">
        <f>+'KU_Summary - Reserve - P2 (REG)'!S28</f>
        <v>0</v>
      </c>
      <c r="U175" s="26"/>
      <c r="V175" s="26">
        <f t="shared" si="9"/>
        <v>-8705078.6400000006</v>
      </c>
    </row>
    <row r="176" spans="1:46" outlineLevel="2" x14ac:dyDescent="0.2">
      <c r="C176" s="3" t="s">
        <v>17</v>
      </c>
      <c r="D176" s="17">
        <f>+'KU_Summary - Reserve - P2 (REG)'!C29</f>
        <v>-173900143.88</v>
      </c>
      <c r="E176" s="17"/>
      <c r="F176" s="17">
        <f>+'KU_Summary - Reserve - P2 (REG)'!E29</f>
        <v>-6728948.2599999998</v>
      </c>
      <c r="G176" s="17"/>
      <c r="H176" s="17">
        <f>+'KU_Summary - Reserve - P2 (REG)'!G29</f>
        <v>0</v>
      </c>
      <c r="I176" s="17"/>
      <c r="J176" s="17">
        <f>+'KU_Summary - Reserve - P2 (REG)'!I29</f>
        <v>0</v>
      </c>
      <c r="K176" s="17"/>
      <c r="L176" s="17">
        <f>+'KU_Summary - Reserve - P2 (REG)'!K29</f>
        <v>0</v>
      </c>
      <c r="M176" s="17"/>
      <c r="N176" s="17">
        <f>+'KU_Summary - Reserve - P2 (REG)'!M29</f>
        <v>0</v>
      </c>
      <c r="O176" s="17"/>
      <c r="P176" s="17">
        <f>+'KU_Summary - Reserve - P2 (REG)'!O29</f>
        <v>7763019.1799999997</v>
      </c>
      <c r="Q176" s="17"/>
      <c r="R176" s="17">
        <f>+'KU_Summary - Reserve - P2 (REG)'!Q29</f>
        <v>0</v>
      </c>
      <c r="S176" s="26"/>
      <c r="T176" s="17">
        <f>+'KU_Summary - Reserve - P2 (REG)'!S29</f>
        <v>-151771.82999999999</v>
      </c>
      <c r="U176" s="26"/>
      <c r="V176" s="26">
        <f t="shared" si="9"/>
        <v>-173017844.78999999</v>
      </c>
    </row>
    <row r="177" spans="2:22" outlineLevel="2" x14ac:dyDescent="0.2">
      <c r="C177" s="3" t="s">
        <v>18</v>
      </c>
      <c r="D177" s="17">
        <f>+'KU_Summary - Reserve - P2 (REG)'!C30</f>
        <v>-126974304.68000001</v>
      </c>
      <c r="E177" s="17"/>
      <c r="F177" s="17">
        <f>+'KU_Summary - Reserve - P2 (REG)'!E30</f>
        <v>-6229923.0499999998</v>
      </c>
      <c r="G177" s="17"/>
      <c r="H177" s="17">
        <f>+'KU_Summary - Reserve - P2 (REG)'!G30</f>
        <v>0</v>
      </c>
      <c r="I177" s="17"/>
      <c r="J177" s="17">
        <f>+'KU_Summary - Reserve - P2 (REG)'!I30</f>
        <v>-44144.83</v>
      </c>
      <c r="K177" s="17"/>
      <c r="L177" s="17">
        <f>+'KU_Summary - Reserve - P2 (REG)'!K30</f>
        <v>0</v>
      </c>
      <c r="M177" s="17"/>
      <c r="N177" s="17">
        <f>+'KU_Summary - Reserve - P2 (REG)'!M30</f>
        <v>0</v>
      </c>
      <c r="O177" s="17"/>
      <c r="P177" s="17">
        <f>+'KU_Summary - Reserve - P2 (REG)'!O30</f>
        <v>5457492.21</v>
      </c>
      <c r="Q177" s="17"/>
      <c r="R177" s="17">
        <f>+'KU_Summary - Reserve - P2 (REG)'!Q30</f>
        <v>0</v>
      </c>
      <c r="S177" s="26"/>
      <c r="T177" s="17">
        <f>+'KU_Summary - Reserve - P2 (REG)'!S30</f>
        <v>-299309.67</v>
      </c>
      <c r="U177" s="26"/>
      <c r="V177" s="26">
        <f t="shared" si="9"/>
        <v>-128090190.02000001</v>
      </c>
    </row>
    <row r="178" spans="2:22" outlineLevel="2" x14ac:dyDescent="0.2">
      <c r="C178" s="3" t="s">
        <v>29</v>
      </c>
      <c r="D178" s="17">
        <f>+'KU_Summary - Reserve - P2 (REG)'!C31</f>
        <v>0</v>
      </c>
      <c r="E178" s="17"/>
      <c r="F178" s="17">
        <f>+'KU_Summary - Reserve - P2 (REG)'!E31</f>
        <v>0</v>
      </c>
      <c r="G178" s="17"/>
      <c r="H178" s="17">
        <f>+'KU_Summary - Reserve - P2 (REG)'!G31</f>
        <v>0</v>
      </c>
      <c r="I178" s="17"/>
      <c r="J178" s="17">
        <f>+'KU_Summary - Reserve - P2 (REG)'!I31</f>
        <v>0</v>
      </c>
      <c r="K178" s="17"/>
      <c r="L178" s="17">
        <f>+'KU_Summary - Reserve - P2 (REG)'!K31</f>
        <v>0</v>
      </c>
      <c r="M178" s="17"/>
      <c r="N178" s="17">
        <f>+'KU_Summary - Reserve - P2 (REG)'!M31</f>
        <v>0</v>
      </c>
      <c r="O178" s="17"/>
      <c r="P178" s="17">
        <f>+'KU_Summary - Reserve - P2 (REG)'!O31</f>
        <v>0</v>
      </c>
      <c r="Q178" s="17"/>
      <c r="R178" s="17">
        <f>+'KU_Summary - Reserve - P2 (REG)'!Q31</f>
        <v>0</v>
      </c>
      <c r="S178" s="26"/>
      <c r="T178" s="17">
        <f>+'KU_Summary - Reserve - P2 (REG)'!S31</f>
        <v>0</v>
      </c>
      <c r="U178" s="26"/>
      <c r="V178" s="27">
        <f t="shared" si="9"/>
        <v>0</v>
      </c>
    </row>
    <row r="179" spans="2:22" outlineLevel="2" x14ac:dyDescent="0.2">
      <c r="C179" s="20"/>
      <c r="D179" s="18">
        <f>SUM(D172:D178)</f>
        <v>-530359489.91000003</v>
      </c>
      <c r="E179" s="17"/>
      <c r="F179" s="18">
        <f>SUM(F172:F178)</f>
        <v>-26268983.809999999</v>
      </c>
      <c r="G179" s="17"/>
      <c r="H179" s="18">
        <f>SUM(H172:H178)</f>
        <v>0</v>
      </c>
      <c r="I179" s="17"/>
      <c r="J179" s="18">
        <f>SUM(J172:J178)</f>
        <v>0</v>
      </c>
      <c r="K179" s="17"/>
      <c r="L179" s="18">
        <f>SUM(L172:L178)</f>
        <v>0</v>
      </c>
      <c r="M179" s="17"/>
      <c r="N179" s="18">
        <f>SUM(N172:N178)</f>
        <v>0</v>
      </c>
      <c r="O179" s="17"/>
      <c r="P179" s="18">
        <f>SUM(P172:P178)</f>
        <v>20988359.449999999</v>
      </c>
      <c r="Q179" s="17"/>
      <c r="R179" s="18">
        <f>SUM(R172:R178)</f>
        <v>0</v>
      </c>
      <c r="S179" s="26"/>
      <c r="T179" s="18">
        <f>SUM(T172:T178)</f>
        <v>-920564.51</v>
      </c>
      <c r="U179" s="26"/>
      <c r="V179" s="17">
        <f>SUM(V172:V178)</f>
        <v>-536560678.77999997</v>
      </c>
    </row>
    <row r="180" spans="2:22" outlineLevel="2" x14ac:dyDescent="0.2"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</row>
    <row r="181" spans="2:22" outlineLevel="2" x14ac:dyDescent="0.2">
      <c r="B181" s="12" t="s">
        <v>52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</row>
    <row r="182" spans="2:22" outlineLevel="2" x14ac:dyDescent="0.2">
      <c r="C182" s="3" t="s">
        <v>12</v>
      </c>
      <c r="D182" s="17">
        <f>+'KU_Summary - Reserve - P2 (REG)'!C35</f>
        <v>51879922.400000013</v>
      </c>
      <c r="E182" s="17"/>
      <c r="F182" s="17">
        <f>+'KU_Summary - Reserve - P2 (REG)'!E35</f>
        <v>1441808.22</v>
      </c>
      <c r="G182" s="17"/>
      <c r="H182" s="17">
        <f>+'KU_Summary - Reserve - P2 (REG)'!G35</f>
        <v>0</v>
      </c>
      <c r="I182" s="17"/>
      <c r="J182" s="17">
        <f>+'KU_Summary - Reserve - P2 (REG)'!I35</f>
        <v>0</v>
      </c>
      <c r="K182" s="17"/>
      <c r="L182" s="17">
        <f>+'KU_Summary - Reserve - P2 (REG)'!K35</f>
        <v>0</v>
      </c>
      <c r="M182" s="17"/>
      <c r="N182" s="17">
        <f>+'KU_Summary - Reserve - P2 (REG)'!M35</f>
        <v>0</v>
      </c>
      <c r="O182" s="17"/>
      <c r="P182" s="17">
        <f>+'KU_Summary - Reserve - P2 (REG)'!O35</f>
        <v>0</v>
      </c>
      <c r="Q182" s="17"/>
      <c r="R182" s="17">
        <f>+'KU_Summary - Reserve - P2 (REG)'!Q35</f>
        <v>-437076.06</v>
      </c>
      <c r="S182" s="26"/>
      <c r="T182" s="17">
        <f>+'KU_Summary - Reserve - P2 (REG)'!S35</f>
        <v>0</v>
      </c>
      <c r="U182" s="26"/>
      <c r="V182" s="26">
        <f t="shared" ref="V182:V188" si="10">T182+R182+P182+N182+J182+H182+F182+D182</f>
        <v>52884654.56000001</v>
      </c>
    </row>
    <row r="183" spans="2:22" outlineLevel="2" x14ac:dyDescent="0.2">
      <c r="C183" s="3" t="s">
        <v>13</v>
      </c>
      <c r="D183" s="17">
        <f>+'KU_Summary - Reserve - P2 (REG)'!C36</f>
        <v>55856.760000000024</v>
      </c>
      <c r="E183" s="17"/>
      <c r="F183" s="17">
        <f>+'KU_Summary - Reserve - P2 (REG)'!E36</f>
        <v>0</v>
      </c>
      <c r="G183" s="17"/>
      <c r="H183" s="17">
        <f>+'KU_Summary - Reserve - P2 (REG)'!G36</f>
        <v>0</v>
      </c>
      <c r="I183" s="17"/>
      <c r="J183" s="17">
        <f>+'KU_Summary - Reserve - P2 (REG)'!I36</f>
        <v>0</v>
      </c>
      <c r="K183" s="17"/>
      <c r="L183" s="17">
        <f>+'KU_Summary - Reserve - P2 (REG)'!K36</f>
        <v>0</v>
      </c>
      <c r="M183" s="17"/>
      <c r="N183" s="17">
        <f>+'KU_Summary - Reserve - P2 (REG)'!M36</f>
        <v>0</v>
      </c>
      <c r="O183" s="17"/>
      <c r="P183" s="17">
        <f>+'KU_Summary - Reserve - P2 (REG)'!O36</f>
        <v>0</v>
      </c>
      <c r="Q183" s="17"/>
      <c r="R183" s="17">
        <f>+'KU_Summary - Reserve - P2 (REG)'!Q36</f>
        <v>0</v>
      </c>
      <c r="S183" s="26"/>
      <c r="T183" s="17">
        <f>+'KU_Summary - Reserve - P2 (REG)'!S36</f>
        <v>0</v>
      </c>
      <c r="U183" s="26"/>
      <c r="V183" s="26">
        <f>T183+R183+P183+N183+J183+H183+F183+D183</f>
        <v>55856.760000000024</v>
      </c>
    </row>
    <row r="184" spans="2:22" outlineLevel="2" x14ac:dyDescent="0.2">
      <c r="C184" s="3" t="s">
        <v>14</v>
      </c>
      <c r="D184" s="17">
        <f>+'KU_Summary - Reserve - P2 (REG)'!C37</f>
        <v>68129.13</v>
      </c>
      <c r="E184" s="17"/>
      <c r="F184" s="17">
        <f>+'KU_Summary - Reserve - P2 (REG)'!E37</f>
        <v>5618.64</v>
      </c>
      <c r="G184" s="17"/>
      <c r="H184" s="17">
        <f>+'KU_Summary - Reserve - P2 (REG)'!G37</f>
        <v>0</v>
      </c>
      <c r="I184" s="17"/>
      <c r="J184" s="17">
        <f>+'KU_Summary - Reserve - P2 (REG)'!I37</f>
        <v>0</v>
      </c>
      <c r="K184" s="17"/>
      <c r="L184" s="17">
        <f>+'KU_Summary - Reserve - P2 (REG)'!K37</f>
        <v>0</v>
      </c>
      <c r="M184" s="17"/>
      <c r="N184" s="17">
        <f>+'KU_Summary - Reserve - P2 (REG)'!M37</f>
        <v>0</v>
      </c>
      <c r="O184" s="17"/>
      <c r="P184" s="17">
        <f>+'KU_Summary - Reserve - P2 (REG)'!O37</f>
        <v>0</v>
      </c>
      <c r="Q184" s="17"/>
      <c r="R184" s="17">
        <f>+'KU_Summary - Reserve - P2 (REG)'!Q37</f>
        <v>-23675</v>
      </c>
      <c r="S184" s="26"/>
      <c r="T184" s="17">
        <f>+'KU_Summary - Reserve - P2 (REG)'!S37</f>
        <v>0</v>
      </c>
      <c r="U184" s="26"/>
      <c r="V184" s="26">
        <f t="shared" si="10"/>
        <v>50072.770000000004</v>
      </c>
    </row>
    <row r="185" spans="2:22" outlineLevel="2" x14ac:dyDescent="0.2">
      <c r="C185" s="3" t="s">
        <v>16</v>
      </c>
      <c r="D185" s="17">
        <f>+'KU_Summary - Reserve - P2 (REG)'!C38</f>
        <v>1457118.38</v>
      </c>
      <c r="E185" s="17"/>
      <c r="F185" s="17">
        <f>+'KU_Summary - Reserve - P2 (REG)'!E38</f>
        <v>310563</v>
      </c>
      <c r="G185" s="17"/>
      <c r="H185" s="17">
        <f>+'KU_Summary - Reserve - P2 (REG)'!G38</f>
        <v>0</v>
      </c>
      <c r="I185" s="17"/>
      <c r="J185" s="17">
        <f>+'KU_Summary - Reserve - P2 (REG)'!I38</f>
        <v>0</v>
      </c>
      <c r="K185" s="17"/>
      <c r="L185" s="17">
        <f>+'KU_Summary - Reserve - P2 (REG)'!K38</f>
        <v>0</v>
      </c>
      <c r="M185" s="17"/>
      <c r="N185" s="17">
        <f>+'KU_Summary - Reserve - P2 (REG)'!M38</f>
        <v>0</v>
      </c>
      <c r="O185" s="17"/>
      <c r="P185" s="17">
        <f>+'KU_Summary - Reserve - P2 (REG)'!O38</f>
        <v>0</v>
      </c>
      <c r="Q185" s="17"/>
      <c r="R185" s="17">
        <f>+'KU_Summary - Reserve - P2 (REG)'!Q38</f>
        <v>0</v>
      </c>
      <c r="S185" s="26"/>
      <c r="T185" s="17">
        <f>+'KU_Summary - Reserve - P2 (REG)'!S38</f>
        <v>0</v>
      </c>
      <c r="U185" s="26"/>
      <c r="V185" s="26">
        <f t="shared" si="10"/>
        <v>1767681.38</v>
      </c>
    </row>
    <row r="186" spans="2:22" outlineLevel="2" x14ac:dyDescent="0.2">
      <c r="C186" s="3" t="s">
        <v>17</v>
      </c>
      <c r="D186" s="17">
        <f>+'KU_Summary - Reserve - P2 (REG)'!C39</f>
        <v>32521675.160000008</v>
      </c>
      <c r="E186" s="17"/>
      <c r="F186" s="17">
        <f>+'KU_Summary - Reserve - P2 (REG)'!E39</f>
        <v>2137534.7999999998</v>
      </c>
      <c r="G186" s="17"/>
      <c r="H186" s="17">
        <f>+'KU_Summary - Reserve - P2 (REG)'!G39</f>
        <v>0</v>
      </c>
      <c r="I186" s="17"/>
      <c r="J186" s="17">
        <f>+'KU_Summary - Reserve - P2 (REG)'!I39</f>
        <v>0</v>
      </c>
      <c r="K186" s="17"/>
      <c r="L186" s="17">
        <f>+'KU_Summary - Reserve - P2 (REG)'!K39</f>
        <v>0</v>
      </c>
      <c r="M186" s="17"/>
      <c r="N186" s="17">
        <f>+'KU_Summary - Reserve - P2 (REG)'!M39</f>
        <v>0</v>
      </c>
      <c r="O186" s="17"/>
      <c r="P186" s="17">
        <f>+'KU_Summary - Reserve - P2 (REG)'!O39</f>
        <v>0</v>
      </c>
      <c r="Q186" s="17"/>
      <c r="R186" s="17">
        <f>+'KU_Summary - Reserve - P2 (REG)'!Q39</f>
        <v>-93042.37</v>
      </c>
      <c r="S186" s="26"/>
      <c r="T186" s="17">
        <f>+'KU_Summary - Reserve - P2 (REG)'!S39</f>
        <v>0</v>
      </c>
      <c r="U186" s="26"/>
      <c r="V186" s="26">
        <f t="shared" si="10"/>
        <v>34566167.590000004</v>
      </c>
    </row>
    <row r="187" spans="2:22" outlineLevel="2" x14ac:dyDescent="0.2">
      <c r="C187" s="3" t="s">
        <v>18</v>
      </c>
      <c r="D187" s="17">
        <f>+'KU_Summary - Reserve - P2 (REG)'!C40</f>
        <v>24444848.720000003</v>
      </c>
      <c r="E187" s="17"/>
      <c r="F187" s="17">
        <f>+'KU_Summary - Reserve - P2 (REG)'!E40</f>
        <v>740838.21</v>
      </c>
      <c r="G187" s="17"/>
      <c r="H187" s="17">
        <f>+'KU_Summary - Reserve - P2 (REG)'!G40</f>
        <v>0</v>
      </c>
      <c r="I187" s="17"/>
      <c r="J187" s="17">
        <f>+'KU_Summary - Reserve - P2 (REG)'!I40</f>
        <v>0</v>
      </c>
      <c r="K187" s="17"/>
      <c r="L187" s="17">
        <f>+'KU_Summary - Reserve - P2 (REG)'!K40</f>
        <v>0</v>
      </c>
      <c r="M187" s="17"/>
      <c r="N187" s="17">
        <f>+'KU_Summary - Reserve - P2 (REG)'!M40</f>
        <v>0</v>
      </c>
      <c r="O187" s="17"/>
      <c r="P187" s="17">
        <f>+'KU_Summary - Reserve - P2 (REG)'!O40</f>
        <v>0</v>
      </c>
      <c r="Q187" s="17"/>
      <c r="R187" s="17">
        <f>+'KU_Summary - Reserve - P2 (REG)'!Q40</f>
        <v>-52231.96</v>
      </c>
      <c r="S187" s="26"/>
      <c r="T187" s="17">
        <f>+'KU_Summary - Reserve - P2 (REG)'!S40</f>
        <v>0</v>
      </c>
      <c r="U187" s="26"/>
      <c r="V187" s="26">
        <f t="shared" si="10"/>
        <v>25133454.970000003</v>
      </c>
    </row>
    <row r="188" spans="2:22" outlineLevel="2" x14ac:dyDescent="0.2">
      <c r="C188" s="3" t="s">
        <v>29</v>
      </c>
      <c r="D188" s="17">
        <f>+'KU_Summary - Reserve - P2 (REG)'!C41</f>
        <v>0</v>
      </c>
      <c r="E188" s="17"/>
      <c r="F188" s="17">
        <f>+'KU_Summary - Reserve - P2 (REG)'!E41</f>
        <v>0</v>
      </c>
      <c r="G188" s="17"/>
      <c r="H188" s="17">
        <f>+'KU_Summary - Reserve - P2 (REG)'!G41</f>
        <v>0</v>
      </c>
      <c r="I188" s="17"/>
      <c r="J188" s="17">
        <f>+'KU_Summary - Reserve - P2 (REG)'!I41</f>
        <v>0</v>
      </c>
      <c r="K188" s="17"/>
      <c r="L188" s="17">
        <f>+'KU_Summary - Reserve - P2 (REG)'!K41</f>
        <v>0</v>
      </c>
      <c r="M188" s="17"/>
      <c r="N188" s="17">
        <f>+'KU_Summary - Reserve - P2 (REG)'!M41</f>
        <v>0</v>
      </c>
      <c r="O188" s="17"/>
      <c r="P188" s="17">
        <f>+'KU_Summary - Reserve - P2 (REG)'!O41</f>
        <v>0</v>
      </c>
      <c r="Q188" s="17"/>
      <c r="R188" s="17">
        <f>+'KU_Summary - Reserve - P2 (REG)'!Q41</f>
        <v>0</v>
      </c>
      <c r="S188" s="26"/>
      <c r="T188" s="17">
        <f>+'KU_Summary - Reserve - P2 (REG)'!S41</f>
        <v>0</v>
      </c>
      <c r="U188" s="26"/>
      <c r="V188" s="27">
        <f t="shared" si="10"/>
        <v>0</v>
      </c>
    </row>
    <row r="189" spans="2:22" outlineLevel="2" x14ac:dyDescent="0.2">
      <c r="C189" s="20"/>
      <c r="D189" s="18">
        <f>SUM(D182:D188)</f>
        <v>110427550.55000003</v>
      </c>
      <c r="E189" s="17"/>
      <c r="F189" s="18">
        <f>SUM(F182:F188)</f>
        <v>4636362.8699999992</v>
      </c>
      <c r="G189" s="17"/>
      <c r="H189" s="18">
        <f>SUM(H182:H188)</f>
        <v>0</v>
      </c>
      <c r="I189" s="17"/>
      <c r="J189" s="18">
        <f>SUM(J182:J188)</f>
        <v>0</v>
      </c>
      <c r="K189" s="17"/>
      <c r="L189" s="18">
        <f>SUM(L182:L188)</f>
        <v>0</v>
      </c>
      <c r="M189" s="17"/>
      <c r="N189" s="18">
        <f>SUM(N182:N188)</f>
        <v>0</v>
      </c>
      <c r="O189" s="17"/>
      <c r="P189" s="18">
        <f>SUM(P182:P188)</f>
        <v>0</v>
      </c>
      <c r="Q189" s="17"/>
      <c r="R189" s="18">
        <f>SUM(R182:R188)</f>
        <v>-606025.3899999999</v>
      </c>
      <c r="S189" s="26"/>
      <c r="T189" s="18">
        <f>SUM(T182:T188)</f>
        <v>0</v>
      </c>
      <c r="U189" s="26"/>
      <c r="V189" s="17">
        <f>SUM(V182:V188)</f>
        <v>114457888.03000002</v>
      </c>
    </row>
    <row r="190" spans="2:22" outlineLevel="2" x14ac:dyDescent="0.2"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2:22" outlineLevel="2" x14ac:dyDescent="0.2"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2:22" outlineLevel="2" x14ac:dyDescent="0.2">
      <c r="B192" s="12" t="s">
        <v>54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outlineLevel="2" x14ac:dyDescent="0.2">
      <c r="C193" s="3" t="s">
        <v>11</v>
      </c>
      <c r="D193" s="19">
        <f>+'KU_Summary - Reserve - P2 (REG)'!C60</f>
        <v>26176244.770000018</v>
      </c>
      <c r="E193" s="19"/>
      <c r="F193" s="19">
        <f>+'KU_Summary - Reserve - P2 (REG)'!E60</f>
        <v>0</v>
      </c>
      <c r="G193" s="19"/>
      <c r="H193" s="19">
        <f>+'KU_Summary - Reserve - P2 (REG)'!G60</f>
        <v>0</v>
      </c>
      <c r="I193" s="19"/>
      <c r="J193" s="19">
        <f>+'KU_Summary - Reserve - P2 (REG)'!I60</f>
        <v>19720.13</v>
      </c>
      <c r="K193" s="19"/>
      <c r="L193" s="19">
        <f>+'KU_Summary - Reserve - P2 (REG)'!K60</f>
        <v>-257776.82</v>
      </c>
      <c r="M193" s="19"/>
      <c r="N193" s="19">
        <f>+'KU_Summary - Reserve - P2 (REG)'!M60</f>
        <v>-19203992.729999997</v>
      </c>
      <c r="O193" s="19"/>
      <c r="P193" s="19">
        <f>+'KU_Summary - Reserve - P2 (REG)'!O60</f>
        <v>22475230.02</v>
      </c>
      <c r="Q193" s="19"/>
      <c r="R193" s="19">
        <f>+'KU_Summary - Reserve - P2 (REG)'!Q60</f>
        <v>-675637.77</v>
      </c>
      <c r="S193" s="19"/>
      <c r="T193" s="19">
        <f>+'KU_Summary - Reserve - P2 (REG)'!S60</f>
        <v>-1069429.21</v>
      </c>
      <c r="U193" s="19"/>
      <c r="V193" s="19">
        <f>T193+R193+P193+N193+J193+H193+F193+D193+L193</f>
        <v>27464358.390000019</v>
      </c>
    </row>
    <row r="194" spans="1:22" outlineLevel="2" x14ac:dyDescent="0.2">
      <c r="C194" s="20"/>
      <c r="D194" s="31">
        <f>SUM(D193:D193)</f>
        <v>26176244.770000018</v>
      </c>
      <c r="E194" s="19"/>
      <c r="F194" s="31">
        <f>SUM(F193:F193)</f>
        <v>0</v>
      </c>
      <c r="G194" s="19"/>
      <c r="H194" s="31">
        <f>SUM(H193:H193)</f>
        <v>0</v>
      </c>
      <c r="I194" s="19"/>
      <c r="J194" s="31">
        <f>SUM(J193:J193)</f>
        <v>19720.13</v>
      </c>
      <c r="K194" s="26"/>
      <c r="L194" s="31">
        <f>SUM(L193:L193)</f>
        <v>-257776.82</v>
      </c>
      <c r="M194" s="19"/>
      <c r="N194" s="31">
        <f>SUM(N193:N193)</f>
        <v>-19203992.729999997</v>
      </c>
      <c r="O194" s="19"/>
      <c r="P194" s="31">
        <f>SUM(P193:P193)</f>
        <v>22475230.02</v>
      </c>
      <c r="Q194" s="19"/>
      <c r="R194" s="31">
        <f>SUM(R193:R193)</f>
        <v>-675637.77</v>
      </c>
      <c r="S194" s="19"/>
      <c r="T194" s="31">
        <f>SUM(T193:T193)</f>
        <v>-1069429.21</v>
      </c>
      <c r="U194" s="19"/>
      <c r="V194" s="31">
        <f>SUM(V193:V193)</f>
        <v>27464358.390000019</v>
      </c>
    </row>
    <row r="195" spans="1:22" outlineLevel="2" x14ac:dyDescent="0.2"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outlineLevel="2" x14ac:dyDescent="0.2">
      <c r="A196" s="75" t="s">
        <v>125</v>
      </c>
      <c r="B196" s="12" t="s">
        <v>61</v>
      </c>
    </row>
    <row r="197" spans="1:22" outlineLevel="2" x14ac:dyDescent="0.2">
      <c r="C197" s="3" t="s">
        <v>11</v>
      </c>
      <c r="D197" s="19">
        <v>0</v>
      </c>
      <c r="E197" s="19"/>
      <c r="F197" s="19">
        <v>0</v>
      </c>
      <c r="G197" s="19"/>
      <c r="H197" s="19">
        <v>0</v>
      </c>
      <c r="I197" s="19"/>
      <c r="J197" s="19">
        <v>0</v>
      </c>
      <c r="K197" s="19"/>
      <c r="L197" s="19">
        <v>0</v>
      </c>
      <c r="M197" s="19"/>
      <c r="N197" s="19">
        <v>0</v>
      </c>
      <c r="O197" s="19"/>
      <c r="P197" s="19">
        <v>0</v>
      </c>
      <c r="Q197" s="19"/>
      <c r="R197" s="19">
        <v>0</v>
      </c>
      <c r="S197" s="19"/>
      <c r="T197" s="19">
        <v>0</v>
      </c>
      <c r="U197" s="19"/>
      <c r="V197" s="19">
        <v>0</v>
      </c>
    </row>
    <row r="198" spans="1:22" outlineLevel="2" x14ac:dyDescent="0.2">
      <c r="C198" s="20"/>
      <c r="D198" s="31">
        <f>SUM(D197:D197)</f>
        <v>0</v>
      </c>
      <c r="E198" s="19"/>
      <c r="F198" s="31">
        <f>SUM(F197:F197)</f>
        <v>0</v>
      </c>
      <c r="G198" s="19"/>
      <c r="H198" s="31">
        <f>SUM(H197:H197)</f>
        <v>0</v>
      </c>
      <c r="I198" s="19"/>
      <c r="J198" s="31">
        <f>SUM(J197:J197)</f>
        <v>0</v>
      </c>
      <c r="K198" s="26"/>
      <c r="L198" s="31">
        <f>SUM(L197:L197)</f>
        <v>0</v>
      </c>
      <c r="M198" s="19"/>
      <c r="N198" s="31">
        <f>SUM(N197:N197)</f>
        <v>0</v>
      </c>
      <c r="O198" s="19"/>
      <c r="P198" s="31">
        <f>SUM(P197:P197)</f>
        <v>0</v>
      </c>
      <c r="Q198" s="19"/>
      <c r="R198" s="31">
        <f>SUM(R197:R197)</f>
        <v>0</v>
      </c>
      <c r="S198" s="19"/>
      <c r="T198" s="31">
        <f>SUM(T197:T197)</f>
        <v>0</v>
      </c>
      <c r="U198" s="19"/>
      <c r="V198" s="31">
        <f>SUM(V197:V197)</f>
        <v>0</v>
      </c>
    </row>
    <row r="199" spans="1:22" outlineLevel="2" x14ac:dyDescent="0.2"/>
    <row r="200" spans="1:22" outlineLevel="2" x14ac:dyDescent="0.2">
      <c r="A200" s="75" t="s">
        <v>125</v>
      </c>
      <c r="B200" s="12" t="s">
        <v>62</v>
      </c>
    </row>
    <row r="201" spans="1:22" outlineLevel="2" x14ac:dyDescent="0.2">
      <c r="C201" s="3" t="s">
        <v>11</v>
      </c>
      <c r="D201" s="19">
        <v>672459.67</v>
      </c>
      <c r="E201" s="19"/>
      <c r="F201" s="19">
        <v>0</v>
      </c>
      <c r="G201" s="19"/>
      <c r="H201" s="19">
        <v>0</v>
      </c>
      <c r="I201" s="19"/>
      <c r="J201" s="19">
        <v>0</v>
      </c>
      <c r="K201" s="19"/>
      <c r="L201" s="19">
        <v>-257776.82</v>
      </c>
      <c r="M201" s="19"/>
      <c r="N201" s="19">
        <v>0</v>
      </c>
      <c r="O201" s="19"/>
      <c r="P201" s="19">
        <v>307256.19999999995</v>
      </c>
      <c r="Q201" s="19"/>
      <c r="R201" s="19">
        <v>0</v>
      </c>
      <c r="S201" s="19"/>
      <c r="T201" s="19">
        <v>0</v>
      </c>
      <c r="U201" s="19"/>
      <c r="V201" s="19">
        <v>721939.05</v>
      </c>
    </row>
    <row r="202" spans="1:22" outlineLevel="2" x14ac:dyDescent="0.2">
      <c r="C202" s="20"/>
      <c r="D202" s="31">
        <f>SUM(D201:D201)</f>
        <v>672459.67</v>
      </c>
      <c r="E202" s="19"/>
      <c r="F202" s="31">
        <f>SUM(F201:F201)</f>
        <v>0</v>
      </c>
      <c r="G202" s="19"/>
      <c r="H202" s="31">
        <f>SUM(H201:H201)</f>
        <v>0</v>
      </c>
      <c r="I202" s="19"/>
      <c r="J202" s="31">
        <f>SUM(J201:J201)</f>
        <v>0</v>
      </c>
      <c r="K202" s="26"/>
      <c r="L202" s="31">
        <f>SUM(L201:L201)</f>
        <v>-257776.82</v>
      </c>
      <c r="M202" s="19"/>
      <c r="N202" s="31">
        <f>SUM(N201:N201)</f>
        <v>0</v>
      </c>
      <c r="O202" s="19"/>
      <c r="P202" s="31">
        <f>SUM(P201:P201)</f>
        <v>307256.19999999995</v>
      </c>
      <c r="Q202" s="19"/>
      <c r="R202" s="31">
        <f>SUM(R201:R201)</f>
        <v>0</v>
      </c>
      <c r="S202" s="19"/>
      <c r="T202" s="31">
        <f>SUM(T201:T201)</f>
        <v>0</v>
      </c>
      <c r="U202" s="19"/>
      <c r="V202" s="31">
        <f>SUM(V201:V201)</f>
        <v>721939.05</v>
      </c>
    </row>
    <row r="203" spans="1:22" outlineLevel="2" x14ac:dyDescent="0.2">
      <c r="C203" s="20"/>
      <c r="D203" s="26"/>
      <c r="E203" s="19"/>
      <c r="F203" s="26"/>
      <c r="G203" s="19"/>
      <c r="H203" s="26"/>
      <c r="I203" s="19"/>
      <c r="J203" s="26"/>
      <c r="K203" s="26"/>
      <c r="L203" s="26"/>
      <c r="M203" s="19"/>
      <c r="N203" s="26"/>
      <c r="O203" s="19"/>
      <c r="P203" s="26"/>
      <c r="Q203" s="19"/>
      <c r="R203" s="26"/>
      <c r="S203" s="19"/>
      <c r="T203" s="26"/>
      <c r="U203" s="19"/>
      <c r="V203" s="26"/>
    </row>
    <row r="204" spans="1:22" outlineLevel="2" x14ac:dyDescent="0.2">
      <c r="A204" s="75" t="s">
        <v>125</v>
      </c>
      <c r="B204" s="12" t="s">
        <v>63</v>
      </c>
    </row>
    <row r="205" spans="1:22" outlineLevel="2" x14ac:dyDescent="0.2">
      <c r="C205" s="3" t="s">
        <v>11</v>
      </c>
      <c r="D205" s="19">
        <f>'RWIP BY ACCOUNT - P2A (REG)'!C22</f>
        <v>25503785.100000001</v>
      </c>
      <c r="E205" s="19"/>
      <c r="F205" s="19">
        <f>'RWIP BY ACCOUNT - P2A (REG)'!E22</f>
        <v>0</v>
      </c>
      <c r="G205" s="19"/>
      <c r="H205" s="19">
        <f>'RWIP BY ACCOUNT - P2A (REG)'!G22</f>
        <v>0</v>
      </c>
      <c r="I205" s="19"/>
      <c r="J205" s="19">
        <f>'RWIP BY ACCOUNT - P2A (REG)'!I22</f>
        <v>19720.13</v>
      </c>
      <c r="K205" s="19"/>
      <c r="L205" s="19">
        <f>'RWIP BY ACCOUNT - P2A (REG)'!K22</f>
        <v>0</v>
      </c>
      <c r="M205" s="19"/>
      <c r="N205" s="19">
        <f>'RWIP BY ACCOUNT - P2A (REG)'!M22</f>
        <v>-19203992.729999997</v>
      </c>
      <c r="O205" s="19"/>
      <c r="P205" s="19">
        <f>'RWIP BY ACCOUNT - P2A (REG)'!O22</f>
        <v>22167973.82</v>
      </c>
      <c r="Q205" s="19"/>
      <c r="R205" s="19">
        <f>'RWIP BY ACCOUNT - P2A (REG)'!Q22</f>
        <v>-675637.77</v>
      </c>
      <c r="S205" s="19"/>
      <c r="T205" s="19">
        <f>'RWIP BY ACCOUNT - P2A (REG)'!S22</f>
        <v>-1069429.21</v>
      </c>
      <c r="U205" s="19"/>
      <c r="V205" s="19">
        <f>'RWIP BY ACCOUNT - P2A (REG)'!U22</f>
        <v>26742419.340000004</v>
      </c>
    </row>
    <row r="206" spans="1:22" outlineLevel="2" x14ac:dyDescent="0.2">
      <c r="C206" s="20"/>
      <c r="D206" s="31">
        <f>SUM(D205:D205)</f>
        <v>25503785.100000001</v>
      </c>
      <c r="E206" s="19"/>
      <c r="F206" s="31">
        <f>SUM(F205:F205)</f>
        <v>0</v>
      </c>
      <c r="G206" s="19"/>
      <c r="H206" s="31">
        <f>SUM(H205:H205)</f>
        <v>0</v>
      </c>
      <c r="I206" s="19"/>
      <c r="J206" s="31">
        <f>SUM(J205:J205)</f>
        <v>19720.13</v>
      </c>
      <c r="K206" s="26"/>
      <c r="L206" s="31">
        <f>SUM(L205:L205)</f>
        <v>0</v>
      </c>
      <c r="M206" s="19"/>
      <c r="N206" s="31">
        <f>SUM(N205:N205)</f>
        <v>-19203992.729999997</v>
      </c>
      <c r="O206" s="19"/>
      <c r="P206" s="31">
        <f>SUM(P205:P205)</f>
        <v>22167973.82</v>
      </c>
      <c r="Q206" s="19"/>
      <c r="R206" s="31">
        <f>SUM(R205:R205)</f>
        <v>-675637.77</v>
      </c>
      <c r="S206" s="19"/>
      <c r="T206" s="31">
        <f>SUM(T205:T205)</f>
        <v>-1069429.21</v>
      </c>
      <c r="U206" s="19"/>
      <c r="V206" s="31">
        <f>SUM(V205:V205)</f>
        <v>26742419.340000004</v>
      </c>
    </row>
    <row r="207" spans="1:22" outlineLevel="2" x14ac:dyDescent="0.2">
      <c r="A207" s="8" t="s">
        <v>126</v>
      </c>
      <c r="B207" s="12" t="s">
        <v>127</v>
      </c>
      <c r="C207" s="20"/>
      <c r="D207" s="26"/>
      <c r="E207" s="19"/>
      <c r="F207" s="26"/>
      <c r="G207" s="19"/>
      <c r="H207" s="26"/>
      <c r="I207" s="19"/>
      <c r="J207" s="26"/>
      <c r="K207" s="26"/>
      <c r="L207" s="26"/>
      <c r="M207" s="19"/>
      <c r="N207" s="26"/>
      <c r="O207" s="19"/>
      <c r="P207" s="26"/>
      <c r="Q207" s="19"/>
      <c r="R207" s="26"/>
      <c r="S207" s="19"/>
      <c r="T207" s="26"/>
      <c r="U207" s="19"/>
      <c r="V207" s="26"/>
    </row>
    <row r="208" spans="1:22" outlineLevel="2" x14ac:dyDescent="0.2">
      <c r="C208" s="3" t="s">
        <v>11</v>
      </c>
      <c r="D208" s="26">
        <v>0</v>
      </c>
      <c r="E208" s="19"/>
      <c r="F208" s="26">
        <f>-D208</f>
        <v>0</v>
      </c>
      <c r="G208" s="19"/>
      <c r="H208" s="26"/>
      <c r="I208" s="19"/>
      <c r="J208" s="26"/>
      <c r="K208" s="26"/>
      <c r="L208" s="26"/>
      <c r="M208" s="19"/>
      <c r="N208" s="26"/>
      <c r="O208" s="19"/>
      <c r="P208" s="26"/>
      <c r="Q208" s="19"/>
      <c r="R208" s="26"/>
      <c r="S208" s="19"/>
      <c r="T208" s="26"/>
      <c r="U208" s="19"/>
      <c r="V208" s="26">
        <f>T208+R208+P208+N208+J208+H208+F208+D208</f>
        <v>0</v>
      </c>
    </row>
    <row r="209" spans="1:46" outlineLevel="2" x14ac:dyDescent="0.2">
      <c r="D209" s="48">
        <f>SUM(D208)</f>
        <v>0</v>
      </c>
      <c r="F209" s="48">
        <f>SUM(F208)</f>
        <v>0</v>
      </c>
      <c r="H209" s="48">
        <f>SUM(H208)</f>
        <v>0</v>
      </c>
      <c r="J209" s="48">
        <f>SUM(J208)</f>
        <v>0</v>
      </c>
      <c r="L209" s="48">
        <f>SUM(L208)</f>
        <v>0</v>
      </c>
      <c r="N209" s="48">
        <f>SUM(N208)</f>
        <v>0</v>
      </c>
      <c r="P209" s="48">
        <f>SUM(P208)</f>
        <v>0</v>
      </c>
      <c r="R209" s="48">
        <f>SUM(R208)</f>
        <v>0</v>
      </c>
      <c r="T209" s="48">
        <f>SUM(T208)</f>
        <v>0</v>
      </c>
      <c r="V209" s="48">
        <f>SUM(V208)</f>
        <v>0</v>
      </c>
    </row>
    <row r="210" spans="1:46" outlineLevel="2" x14ac:dyDescent="0.2">
      <c r="D210" s="59"/>
    </row>
    <row r="211" spans="1:46" outlineLevel="1" x14ac:dyDescent="0.2">
      <c r="B211" s="3" t="s">
        <v>98</v>
      </c>
      <c r="D211" s="15">
        <f>+D179+D189+D194-D198-D201+D208</f>
        <v>-394428154.25999999</v>
      </c>
      <c r="F211" s="15">
        <f>+F179+F189+F194-F198-F201+F208</f>
        <v>-21632620.939999998</v>
      </c>
      <c r="H211" s="15">
        <f>+H179+H189+H194-H198-H201+H208</f>
        <v>0</v>
      </c>
      <c r="J211" s="15">
        <f>+J179+J189+J194-J198-J201+J208</f>
        <v>19720.13</v>
      </c>
      <c r="L211" s="15">
        <f>+L179+L189+L194-L198-L201+L208</f>
        <v>0</v>
      </c>
      <c r="N211" s="15">
        <f>+N179+N189+N194-N198-N201+N208</f>
        <v>-19203992.729999997</v>
      </c>
      <c r="P211" s="15">
        <f>+P179+P189+P194-P198-P201+P208</f>
        <v>43156333.269999996</v>
      </c>
      <c r="R211" s="15">
        <f>+R179+R189+R194-R198-R201+R208</f>
        <v>-1281663.1599999999</v>
      </c>
      <c r="T211" s="15">
        <f>+T179+T189+T194-T198-T201+T208</f>
        <v>-1989993.72</v>
      </c>
      <c r="V211" s="15">
        <f>+V179+V189+V194-V198-V201+V208</f>
        <v>-395360371.40999991</v>
      </c>
      <c r="X211" s="15">
        <f>+F211-Y211-Z211-AA211</f>
        <v>-21632620.939999998</v>
      </c>
      <c r="Y211" s="15">
        <v>0</v>
      </c>
      <c r="Z211" s="15"/>
      <c r="AA211" s="15">
        <f>+F208</f>
        <v>0</v>
      </c>
      <c r="AB211" s="15"/>
      <c r="AE211" s="15">
        <f>+H211</f>
        <v>0</v>
      </c>
      <c r="AF211" s="15"/>
      <c r="AG211" s="15">
        <f>-'Land_Vehicle Retire P3A (REG)'!I15-AG168</f>
        <v>19720.13</v>
      </c>
      <c r="AH211" s="15">
        <f>-L201</f>
        <v>257776.82</v>
      </c>
      <c r="AI211" s="15"/>
      <c r="AJ211" s="15"/>
      <c r="AK211" s="15">
        <v>0</v>
      </c>
      <c r="AL211" s="15"/>
      <c r="AM211" s="15">
        <f>+J211-AG211-AK211+J197</f>
        <v>0</v>
      </c>
      <c r="AN211" s="15">
        <f>+N211+P179+R179+T179+T189+R189+P189-AH211</f>
        <v>2.6193447411060333E-9</v>
      </c>
      <c r="AO211" s="15">
        <f>+P193+R193+T193-P201-R201-T201</f>
        <v>20422906.84</v>
      </c>
      <c r="AP211" s="15"/>
      <c r="AS211" s="15">
        <f>SUM(X211:AQ211)</f>
        <v>-932217.14999999478</v>
      </c>
      <c r="AT211" s="15">
        <f>+V211-D211-AS211</f>
        <v>7.8231096267700195E-8</v>
      </c>
    </row>
    <row r="212" spans="1:46" outlineLevel="1" x14ac:dyDescent="0.2">
      <c r="D212" s="15">
        <f>+D211-D15</f>
        <v>0</v>
      </c>
      <c r="V212" s="15">
        <f>+V211-V15</f>
        <v>0</v>
      </c>
    </row>
    <row r="213" spans="1:46" outlineLevel="1" x14ac:dyDescent="0.2">
      <c r="V213" s="15">
        <f>+V211-D211-F211-H211-J211-L211-N211-P211-R211-T211</f>
        <v>7.9162418842315674E-8</v>
      </c>
      <c r="X213" s="15"/>
    </row>
    <row r="214" spans="1:46" x14ac:dyDescent="0.2">
      <c r="A214" s="3"/>
      <c r="F214" s="15"/>
      <c r="H214" s="15"/>
    </row>
    <row r="215" spans="1:46" x14ac:dyDescent="0.2">
      <c r="A215" s="3"/>
      <c r="V215" s="15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</sheetData>
  <mergeCells count="5">
    <mergeCell ref="A1:AT1"/>
    <mergeCell ref="A2:AT2"/>
    <mergeCell ref="A3:AT3"/>
    <mergeCell ref="X7:AN7"/>
    <mergeCell ref="AO7:AQ7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1" manualBreakCount="1">
    <brk id="9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0"/>
  <sheetViews>
    <sheetView zoomScale="80" zoomScaleNormal="80" workbookViewId="0">
      <pane xSplit="2" ySplit="9" topLeftCell="C10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1.5703125" style="3" customWidth="1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30" width="1.5703125" style="3" customWidth="1"/>
    <col min="31" max="33" width="17.7109375" style="3" customWidth="1"/>
    <col min="34" max="34" width="8" style="3" customWidth="1"/>
    <col min="35" max="35" width="17.7109375" style="3" customWidth="1"/>
    <col min="36" max="36" width="9.140625" style="3"/>
    <col min="37" max="37" width="17.7109375" style="3" customWidth="1"/>
    <col min="38" max="38" width="1.5703125" style="3" customWidth="1"/>
    <col min="39" max="39" width="17.7109375" style="3" customWidth="1"/>
    <col min="40" max="40" width="1.5703125" style="3" customWidth="1"/>
    <col min="41" max="41" width="17.7109375" style="3" customWidth="1"/>
    <col min="42" max="42" width="1.5703125" style="3" customWidth="1"/>
    <col min="43" max="43" width="17.7109375" style="3" customWidth="1"/>
    <col min="44" max="44" width="1.5703125" style="3" customWidth="1"/>
    <col min="45" max="45" width="17.7109375" style="3" customWidth="1"/>
    <col min="46" max="46" width="1.5703125" style="3" customWidth="1"/>
    <col min="47" max="47" width="17.7109375" style="3" customWidth="1"/>
    <col min="48" max="50" width="9.140625" style="3" customWidth="1"/>
    <col min="51" max="16384" width="9.140625" style="3"/>
  </cols>
  <sheetData>
    <row r="1" spans="1:47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U1" s="142" t="s">
        <v>128</v>
      </c>
    </row>
    <row r="2" spans="1:47" x14ac:dyDescent="0.2">
      <c r="A2" s="95" t="s">
        <v>129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U2" s="144" t="s">
        <v>130</v>
      </c>
    </row>
    <row r="3" spans="1:47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U3" s="144" t="s">
        <v>131</v>
      </c>
    </row>
    <row r="4" spans="1:4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9"/>
      <c r="AL4" s="4"/>
      <c r="AM4" s="79"/>
      <c r="AN4" s="4"/>
      <c r="AO4" s="79"/>
      <c r="AP4" s="4"/>
      <c r="AQ4" s="79"/>
      <c r="AR4" s="4"/>
      <c r="AS4" s="79"/>
      <c r="AT4" s="4"/>
      <c r="AU4" s="145" t="s">
        <v>132</v>
      </c>
    </row>
    <row r="5" spans="1:47" x14ac:dyDescent="0.2">
      <c r="A5" s="4"/>
      <c r="B5" s="4"/>
      <c r="C5" s="80" t="s">
        <v>133</v>
      </c>
      <c r="D5" s="4"/>
      <c r="E5" s="80" t="s">
        <v>134</v>
      </c>
      <c r="F5" s="4"/>
      <c r="G5" s="80" t="s">
        <v>135</v>
      </c>
      <c r="H5" s="4"/>
      <c r="I5" s="80" t="s">
        <v>136</v>
      </c>
      <c r="J5" s="4"/>
      <c r="K5" s="79">
        <v>42856</v>
      </c>
      <c r="L5" s="4"/>
      <c r="M5" s="79" t="s">
        <v>137</v>
      </c>
      <c r="N5" s="4"/>
      <c r="O5" s="79" t="s">
        <v>138</v>
      </c>
      <c r="P5" s="4"/>
      <c r="Q5" s="79" t="s">
        <v>139</v>
      </c>
      <c r="R5" s="4"/>
      <c r="S5" s="4">
        <v>42917</v>
      </c>
      <c r="T5" s="4"/>
      <c r="U5" s="4">
        <v>42948</v>
      </c>
      <c r="V5" s="4"/>
      <c r="W5" s="4">
        <v>42979</v>
      </c>
      <c r="X5" s="4"/>
      <c r="Y5" s="4">
        <v>43009</v>
      </c>
      <c r="Z5" s="4"/>
      <c r="AA5" s="4">
        <v>43040</v>
      </c>
      <c r="AB5" s="4"/>
      <c r="AC5" s="4" t="s">
        <v>140</v>
      </c>
      <c r="AD5" s="4"/>
      <c r="AE5" s="4" t="s">
        <v>141</v>
      </c>
      <c r="AF5" s="79"/>
      <c r="AG5" s="79"/>
      <c r="AH5" s="4"/>
      <c r="AI5" s="4"/>
      <c r="AJ5" s="4"/>
      <c r="AK5" s="79"/>
      <c r="AL5" s="4"/>
      <c r="AM5" s="79"/>
      <c r="AN5" s="4"/>
      <c r="AO5" s="79"/>
      <c r="AP5" s="4"/>
      <c r="AQ5" s="79"/>
      <c r="AR5" s="4"/>
      <c r="AS5" s="79"/>
      <c r="AT5" s="4"/>
      <c r="AU5" s="79"/>
    </row>
    <row r="6" spans="1:47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3</v>
      </c>
      <c r="R6" s="7"/>
      <c r="S6" s="25" t="s">
        <v>3</v>
      </c>
      <c r="T6" s="7"/>
      <c r="U6" s="25" t="s">
        <v>3</v>
      </c>
      <c r="V6" s="7"/>
      <c r="W6" s="25" t="s">
        <v>3</v>
      </c>
      <c r="X6" s="7"/>
      <c r="Y6" s="25" t="s">
        <v>3</v>
      </c>
      <c r="Z6" s="7"/>
      <c r="AA6" s="25" t="s">
        <v>3</v>
      </c>
      <c r="AB6" s="7"/>
      <c r="AC6" s="25" t="s">
        <v>3</v>
      </c>
      <c r="AD6" s="7"/>
      <c r="AE6" s="25" t="s">
        <v>3</v>
      </c>
      <c r="AF6" s="25" t="s">
        <v>3</v>
      </c>
      <c r="AG6" s="25" t="s">
        <v>3</v>
      </c>
      <c r="AH6" s="7"/>
      <c r="AI6" s="25" t="s">
        <v>4</v>
      </c>
      <c r="AJ6" s="4"/>
      <c r="AK6" s="25" t="s">
        <v>142</v>
      </c>
      <c r="AL6" s="7"/>
      <c r="AM6" s="25" t="s">
        <v>142</v>
      </c>
      <c r="AN6" s="7"/>
      <c r="AO6" s="25" t="s">
        <v>142</v>
      </c>
      <c r="AP6" s="7"/>
      <c r="AQ6" s="25" t="s">
        <v>142</v>
      </c>
      <c r="AR6" s="7"/>
      <c r="AS6" s="25" t="s">
        <v>143</v>
      </c>
      <c r="AT6" s="7"/>
      <c r="AU6" s="25"/>
    </row>
    <row r="7" spans="1:47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8</v>
      </c>
      <c r="R7" s="9"/>
      <c r="S7" s="10" t="s">
        <v>8</v>
      </c>
      <c r="T7" s="9"/>
      <c r="U7" s="10" t="s">
        <v>8</v>
      </c>
      <c r="V7" s="9"/>
      <c r="W7" s="10" t="s">
        <v>8</v>
      </c>
      <c r="X7" s="9"/>
      <c r="Y7" s="10" t="s">
        <v>8</v>
      </c>
      <c r="Z7" s="9"/>
      <c r="AA7" s="10" t="s">
        <v>8</v>
      </c>
      <c r="AB7" s="9"/>
      <c r="AC7" s="10" t="s">
        <v>8</v>
      </c>
      <c r="AD7" s="9"/>
      <c r="AE7" s="10" t="s">
        <v>8</v>
      </c>
      <c r="AF7" s="10" t="s">
        <v>8</v>
      </c>
      <c r="AG7" s="10" t="s">
        <v>8</v>
      </c>
      <c r="AH7" s="9"/>
      <c r="AI7" s="10" t="s">
        <v>5</v>
      </c>
      <c r="AJ7" s="4"/>
      <c r="AK7" s="10" t="s">
        <v>6</v>
      </c>
      <c r="AL7" s="9"/>
      <c r="AM7" s="10" t="s">
        <v>8</v>
      </c>
      <c r="AN7" s="9"/>
      <c r="AO7" s="10" t="s">
        <v>144</v>
      </c>
      <c r="AP7" s="9"/>
      <c r="AQ7" s="10" t="s">
        <v>132</v>
      </c>
      <c r="AR7" s="9"/>
      <c r="AS7" s="10" t="s">
        <v>142</v>
      </c>
      <c r="AT7" s="9"/>
      <c r="AU7" s="10" t="s">
        <v>102</v>
      </c>
    </row>
    <row r="8" spans="1:47" x14ac:dyDescent="0.2">
      <c r="A8" s="8"/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9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  <c r="AD8" s="9"/>
      <c r="AE8" s="11"/>
      <c r="AF8" s="11"/>
      <c r="AG8" s="11"/>
      <c r="AH8" s="9"/>
      <c r="AI8" s="11"/>
      <c r="AJ8" s="4"/>
      <c r="AK8" s="11"/>
      <c r="AL8" s="9"/>
      <c r="AM8" s="11"/>
      <c r="AN8" s="9"/>
      <c r="AO8" s="11"/>
      <c r="AP8" s="9"/>
      <c r="AQ8" s="11"/>
      <c r="AR8" s="9"/>
      <c r="AS8" s="11"/>
      <c r="AT8" s="9"/>
      <c r="AU8" s="11"/>
    </row>
    <row r="9" spans="1:47" x14ac:dyDescent="0.2">
      <c r="A9" s="71" t="s">
        <v>145</v>
      </c>
      <c r="C9" s="72" t="s">
        <v>131</v>
      </c>
      <c r="D9" s="11"/>
      <c r="E9" s="72" t="s">
        <v>131</v>
      </c>
      <c r="F9" s="11"/>
      <c r="G9" s="42" t="s">
        <v>132</v>
      </c>
      <c r="H9" s="11"/>
      <c r="I9" s="72" t="s">
        <v>132</v>
      </c>
      <c r="J9" s="11"/>
      <c r="K9" s="9" t="s">
        <v>132</v>
      </c>
      <c r="L9" s="11"/>
      <c r="M9" s="9" t="s">
        <v>128</v>
      </c>
      <c r="N9" s="11"/>
      <c r="O9" s="9" t="s">
        <v>130</v>
      </c>
      <c r="P9" s="11"/>
      <c r="Q9" s="9" t="s">
        <v>131</v>
      </c>
      <c r="R9" s="11"/>
      <c r="S9" s="9" t="s">
        <v>131</v>
      </c>
      <c r="T9" s="9"/>
      <c r="U9" s="9" t="s">
        <v>131</v>
      </c>
      <c r="V9" s="9"/>
      <c r="W9" s="9" t="s">
        <v>128</v>
      </c>
      <c r="X9" s="9"/>
      <c r="Y9" s="9" t="s">
        <v>131</v>
      </c>
      <c r="Z9" s="11"/>
      <c r="AA9" s="9" t="s">
        <v>131</v>
      </c>
      <c r="AB9" s="11"/>
      <c r="AC9" s="9" t="s">
        <v>128</v>
      </c>
      <c r="AD9" s="11"/>
      <c r="AE9" s="9" t="s">
        <v>130</v>
      </c>
      <c r="AF9" s="9"/>
      <c r="AG9" s="9"/>
      <c r="AH9" s="11"/>
      <c r="AI9" s="9"/>
      <c r="AJ9" s="11"/>
      <c r="AK9" s="9"/>
      <c r="AL9" s="11"/>
      <c r="AM9" s="9"/>
      <c r="AN9" s="11"/>
      <c r="AO9" s="9"/>
      <c r="AP9" s="11"/>
      <c r="AQ9" s="9"/>
      <c r="AR9" s="11"/>
      <c r="AS9" s="9"/>
      <c r="AT9" s="11"/>
      <c r="AU9" s="9"/>
    </row>
    <row r="10" spans="1:47" x14ac:dyDescent="0.2">
      <c r="A10" s="8"/>
    </row>
    <row r="11" spans="1:47" x14ac:dyDescent="0.2">
      <c r="A11" s="8">
        <v>101</v>
      </c>
      <c r="B11" s="12" t="s">
        <v>10</v>
      </c>
    </row>
    <row r="12" spans="1:47" x14ac:dyDescent="0.2">
      <c r="A12" s="8"/>
      <c r="B12" s="12"/>
    </row>
    <row r="13" spans="1:47" x14ac:dyDescent="0.2">
      <c r="A13" s="71" t="s">
        <v>11</v>
      </c>
      <c r="B13" s="12"/>
    </row>
    <row r="14" spans="1:47" x14ac:dyDescent="0.2">
      <c r="A14" s="71"/>
      <c r="B14" s="12" t="s">
        <v>12</v>
      </c>
    </row>
    <row r="15" spans="1:47" x14ac:dyDescent="0.2">
      <c r="A15" s="71"/>
      <c r="B15" s="3" t="s">
        <v>146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v>0</v>
      </c>
      <c r="S15" s="14">
        <v>0</v>
      </c>
      <c r="U15" s="14">
        <v>0</v>
      </c>
      <c r="W15" s="14">
        <v>0</v>
      </c>
      <c r="Y15" s="14">
        <v>0</v>
      </c>
      <c r="AA15" s="14">
        <v>0</v>
      </c>
      <c r="AC15" s="14">
        <v>0</v>
      </c>
      <c r="AE15" s="14">
        <v>0</v>
      </c>
      <c r="AF15" s="14">
        <v>0</v>
      </c>
      <c r="AG15" s="14">
        <v>0</v>
      </c>
      <c r="AI15" s="14">
        <f>SUM(C15:AG15)</f>
        <v>0</v>
      </c>
      <c r="AK15" s="14">
        <f t="shared" ref="AK15:AK31" si="0">SUMIF($C$9:$AH$9,"=Addition",$C15:$AH15)</f>
        <v>0</v>
      </c>
      <c r="AM15" s="14">
        <f t="shared" ref="AM15:AM31" si="1">SUMIF($C$9:$AH$9,"=Adjustment",$C15:$AH15)</f>
        <v>0</v>
      </c>
      <c r="AO15" s="14">
        <f t="shared" ref="AO15:AO31" si="2">SUMIF($C$9:$AH$9,"=Transfer",$C15:$AH15)</f>
        <v>0</v>
      </c>
      <c r="AQ15" s="14">
        <f t="shared" ref="AQ15:AQ31" si="3">SUMIF($C$9:$Z$9,"=N/A",$C15:$Z15)</f>
        <v>0</v>
      </c>
      <c r="AS15" s="14">
        <f t="shared" ref="AS15:AS31" si="4">SUM(AK15:AQ15)</f>
        <v>0</v>
      </c>
      <c r="AU15" s="14">
        <f>+AI15-AS15</f>
        <v>0</v>
      </c>
    </row>
    <row r="16" spans="1:47" x14ac:dyDescent="0.2">
      <c r="A16" s="71"/>
      <c r="B16" s="3" t="s">
        <v>147</v>
      </c>
      <c r="C16" s="14">
        <v>0</v>
      </c>
      <c r="E16" s="14">
        <v>0</v>
      </c>
      <c r="G16" s="14"/>
      <c r="I16" s="14">
        <v>0</v>
      </c>
      <c r="K16" s="14">
        <v>0</v>
      </c>
      <c r="M16" s="14">
        <v>0</v>
      </c>
      <c r="O16" s="14">
        <v>0</v>
      </c>
      <c r="Q16" s="14">
        <v>0</v>
      </c>
      <c r="S16" s="14">
        <v>0</v>
      </c>
      <c r="U16" s="14">
        <v>-240853.29</v>
      </c>
      <c r="W16" s="14">
        <v>0</v>
      </c>
      <c r="Y16" s="14">
        <v>0</v>
      </c>
      <c r="AA16" s="14">
        <v>0</v>
      </c>
      <c r="AC16" s="14">
        <v>0</v>
      </c>
      <c r="AE16" s="14">
        <v>0</v>
      </c>
      <c r="AF16" s="14">
        <v>0</v>
      </c>
      <c r="AG16" s="14">
        <v>0</v>
      </c>
      <c r="AI16" s="14">
        <f t="shared" ref="AI16:AI31" si="5">SUM(C16:AG16)</f>
        <v>-240853.29</v>
      </c>
      <c r="AK16" s="14">
        <f t="shared" si="0"/>
        <v>0</v>
      </c>
      <c r="AM16" s="14">
        <f t="shared" si="1"/>
        <v>0</v>
      </c>
      <c r="AO16" s="14">
        <f t="shared" si="2"/>
        <v>-240853.29</v>
      </c>
      <c r="AQ16" s="14">
        <f t="shared" si="3"/>
        <v>0</v>
      </c>
      <c r="AS16" s="14">
        <f t="shared" si="4"/>
        <v>-240853.29</v>
      </c>
      <c r="AU16" s="14">
        <f t="shared" ref="AU16:AU82" si="6">+AI16-AS16</f>
        <v>0</v>
      </c>
    </row>
    <row r="17" spans="1:47" x14ac:dyDescent="0.2">
      <c r="A17" s="71"/>
      <c r="B17" s="3" t="s">
        <v>148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v>0</v>
      </c>
      <c r="S17" s="14">
        <v>0</v>
      </c>
      <c r="U17" s="14">
        <v>0</v>
      </c>
      <c r="W17" s="14">
        <v>0</v>
      </c>
      <c r="Y17" s="14">
        <v>-2287.4499999999998</v>
      </c>
      <c r="AA17" s="14">
        <v>-71337.33</v>
      </c>
      <c r="AC17" s="14">
        <v>0</v>
      </c>
      <c r="AE17" s="14">
        <v>0</v>
      </c>
      <c r="AF17" s="14">
        <v>0</v>
      </c>
      <c r="AG17" s="14">
        <v>0</v>
      </c>
      <c r="AI17" s="14">
        <f t="shared" si="5"/>
        <v>-73624.78</v>
      </c>
      <c r="AK17" s="14">
        <f t="shared" si="0"/>
        <v>0</v>
      </c>
      <c r="AM17" s="14">
        <f t="shared" si="1"/>
        <v>0</v>
      </c>
      <c r="AO17" s="14">
        <f t="shared" si="2"/>
        <v>-73624.78</v>
      </c>
      <c r="AQ17" s="14">
        <f t="shared" si="3"/>
        <v>0</v>
      </c>
      <c r="AS17" s="14">
        <f t="shared" si="4"/>
        <v>-73624.78</v>
      </c>
      <c r="AU17" s="14">
        <f t="shared" si="6"/>
        <v>0</v>
      </c>
    </row>
    <row r="18" spans="1:47" x14ac:dyDescent="0.2">
      <c r="A18" s="71"/>
      <c r="B18" s="3" t="s">
        <v>149</v>
      </c>
      <c r="C18" s="14">
        <v>0</v>
      </c>
      <c r="E18" s="14">
        <v>-59393.04</v>
      </c>
      <c r="G18" s="14">
        <v>0</v>
      </c>
      <c r="I18" s="14">
        <v>0</v>
      </c>
      <c r="K18" s="14">
        <v>0</v>
      </c>
      <c r="M18" s="14">
        <v>0</v>
      </c>
      <c r="O18" s="14">
        <v>0</v>
      </c>
      <c r="Q18" s="14">
        <v>0</v>
      </c>
      <c r="S18" s="14">
        <v>0</v>
      </c>
      <c r="U18" s="14">
        <v>3108.84</v>
      </c>
      <c r="W18" s="14">
        <v>0</v>
      </c>
      <c r="Y18" s="14">
        <v>-613024.68000000005</v>
      </c>
      <c r="AA18" s="14">
        <v>0</v>
      </c>
      <c r="AC18" s="14">
        <v>0</v>
      </c>
      <c r="AE18" s="14">
        <v>0</v>
      </c>
      <c r="AF18" s="14">
        <v>0</v>
      </c>
      <c r="AG18" s="14">
        <v>0</v>
      </c>
      <c r="AI18" s="14">
        <f t="shared" si="5"/>
        <v>-669308.88</v>
      </c>
      <c r="AK18" s="14">
        <f t="shared" si="0"/>
        <v>0</v>
      </c>
      <c r="AM18" s="14">
        <f t="shared" si="1"/>
        <v>0</v>
      </c>
      <c r="AO18" s="14">
        <f t="shared" si="2"/>
        <v>-669308.88</v>
      </c>
      <c r="AQ18" s="14">
        <f t="shared" si="3"/>
        <v>0</v>
      </c>
      <c r="AS18" s="14">
        <f t="shared" si="4"/>
        <v>-669308.88</v>
      </c>
      <c r="AU18" s="14">
        <f t="shared" si="6"/>
        <v>0</v>
      </c>
    </row>
    <row r="19" spans="1:47" x14ac:dyDescent="0.2">
      <c r="A19" s="71"/>
      <c r="B19" s="3" t="s">
        <v>150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v>0</v>
      </c>
      <c r="S19" s="14">
        <v>0</v>
      </c>
      <c r="U19" s="14">
        <v>0</v>
      </c>
      <c r="W19" s="14">
        <v>0</v>
      </c>
      <c r="Y19" s="14">
        <v>0</v>
      </c>
      <c r="AA19" s="14">
        <v>0</v>
      </c>
      <c r="AC19" s="14">
        <v>0</v>
      </c>
      <c r="AE19" s="14">
        <v>0</v>
      </c>
      <c r="AF19" s="14">
        <v>0</v>
      </c>
      <c r="AG19" s="14">
        <v>0</v>
      </c>
      <c r="AI19" s="14">
        <f t="shared" si="5"/>
        <v>0</v>
      </c>
      <c r="AK19" s="14">
        <f t="shared" si="0"/>
        <v>0</v>
      </c>
      <c r="AM19" s="14">
        <f t="shared" si="1"/>
        <v>0</v>
      </c>
      <c r="AO19" s="14">
        <f t="shared" si="2"/>
        <v>0</v>
      </c>
      <c r="AQ19" s="14">
        <f t="shared" si="3"/>
        <v>0</v>
      </c>
      <c r="AS19" s="14">
        <f t="shared" si="4"/>
        <v>0</v>
      </c>
      <c r="AU19" s="14">
        <f t="shared" si="6"/>
        <v>0</v>
      </c>
    </row>
    <row r="20" spans="1:47" x14ac:dyDescent="0.2">
      <c r="A20" s="71"/>
      <c r="B20" s="3" t="s">
        <v>151</v>
      </c>
      <c r="C20" s="14">
        <v>0</v>
      </c>
      <c r="E20" s="14">
        <v>0</v>
      </c>
      <c r="G20" s="14">
        <v>0</v>
      </c>
      <c r="I20" s="14">
        <v>0</v>
      </c>
      <c r="K20" s="14">
        <v>0</v>
      </c>
      <c r="M20" s="14">
        <v>0</v>
      </c>
      <c r="O20" s="14">
        <v>0</v>
      </c>
      <c r="Q20" s="14">
        <v>0</v>
      </c>
      <c r="S20" s="14">
        <v>0</v>
      </c>
      <c r="U20" s="14">
        <v>0</v>
      </c>
      <c r="W20" s="14">
        <v>0</v>
      </c>
      <c r="Y20" s="14">
        <v>0</v>
      </c>
      <c r="AA20" s="14">
        <v>0</v>
      </c>
      <c r="AC20" s="14">
        <v>0</v>
      </c>
      <c r="AE20" s="14">
        <v>0</v>
      </c>
      <c r="AF20" s="14">
        <v>0</v>
      </c>
      <c r="AG20" s="14">
        <v>0</v>
      </c>
      <c r="AI20" s="14">
        <f t="shared" si="5"/>
        <v>0</v>
      </c>
      <c r="AK20" s="14">
        <f t="shared" si="0"/>
        <v>0</v>
      </c>
      <c r="AM20" s="14">
        <f t="shared" si="1"/>
        <v>0</v>
      </c>
      <c r="AO20" s="14">
        <f t="shared" si="2"/>
        <v>0</v>
      </c>
      <c r="AQ20" s="14">
        <f t="shared" si="3"/>
        <v>0</v>
      </c>
      <c r="AS20" s="14">
        <f t="shared" si="4"/>
        <v>0</v>
      </c>
      <c r="AU20" s="14">
        <f t="shared" si="6"/>
        <v>0</v>
      </c>
    </row>
    <row r="21" spans="1:47" x14ac:dyDescent="0.2">
      <c r="A21" s="71"/>
      <c r="B21" s="3" t="s">
        <v>152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v>0</v>
      </c>
      <c r="S21" s="14">
        <v>0</v>
      </c>
      <c r="U21" s="14">
        <v>0</v>
      </c>
      <c r="W21" s="14">
        <v>0</v>
      </c>
      <c r="Y21" s="14">
        <v>0</v>
      </c>
      <c r="AA21" s="14">
        <v>0</v>
      </c>
      <c r="AC21" s="14">
        <v>0</v>
      </c>
      <c r="AE21" s="14">
        <v>0</v>
      </c>
      <c r="AF21" s="14">
        <v>0</v>
      </c>
      <c r="AG21" s="14">
        <v>0</v>
      </c>
      <c r="AI21" s="14">
        <f t="shared" si="5"/>
        <v>0</v>
      </c>
      <c r="AK21" s="14">
        <f t="shared" si="0"/>
        <v>0</v>
      </c>
      <c r="AM21" s="14">
        <f t="shared" si="1"/>
        <v>0</v>
      </c>
      <c r="AO21" s="14">
        <f t="shared" si="2"/>
        <v>0</v>
      </c>
      <c r="AQ21" s="14">
        <f t="shared" si="3"/>
        <v>0</v>
      </c>
      <c r="AS21" s="14">
        <f t="shared" si="4"/>
        <v>0</v>
      </c>
      <c r="AU21" s="14">
        <f t="shared" si="6"/>
        <v>0</v>
      </c>
    </row>
    <row r="22" spans="1:47" x14ac:dyDescent="0.2">
      <c r="A22" s="71"/>
      <c r="B22" s="3" t="s">
        <v>153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v>0</v>
      </c>
      <c r="S22" s="14">
        <v>0</v>
      </c>
      <c r="U22" s="14">
        <v>0</v>
      </c>
      <c r="W22" s="14">
        <v>0</v>
      </c>
      <c r="Y22" s="14">
        <v>0</v>
      </c>
      <c r="AA22" s="14">
        <v>0</v>
      </c>
      <c r="AC22" s="14">
        <v>0</v>
      </c>
      <c r="AE22" s="14">
        <v>0</v>
      </c>
      <c r="AF22" s="14">
        <v>0</v>
      </c>
      <c r="AG22" s="14">
        <v>0</v>
      </c>
      <c r="AI22" s="14">
        <f t="shared" si="5"/>
        <v>0</v>
      </c>
      <c r="AK22" s="14">
        <f t="shared" si="0"/>
        <v>0</v>
      </c>
      <c r="AM22" s="14">
        <f t="shared" si="1"/>
        <v>0</v>
      </c>
      <c r="AO22" s="14">
        <f t="shared" si="2"/>
        <v>0</v>
      </c>
      <c r="AQ22" s="14">
        <f t="shared" si="3"/>
        <v>0</v>
      </c>
      <c r="AS22" s="14">
        <f t="shared" si="4"/>
        <v>0</v>
      </c>
      <c r="AU22" s="14">
        <f t="shared" si="6"/>
        <v>0</v>
      </c>
    </row>
    <row r="23" spans="1:47" x14ac:dyDescent="0.2">
      <c r="A23" s="71"/>
      <c r="B23" s="3" t="s">
        <v>154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v>0</v>
      </c>
      <c r="S23" s="14">
        <v>0</v>
      </c>
      <c r="U23" s="14">
        <v>0</v>
      </c>
      <c r="W23" s="14">
        <v>0</v>
      </c>
      <c r="Y23" s="14">
        <v>0</v>
      </c>
      <c r="AA23" s="14">
        <v>0</v>
      </c>
      <c r="AC23" s="14">
        <v>0</v>
      </c>
      <c r="AE23" s="14">
        <v>0</v>
      </c>
      <c r="AF23" s="14">
        <v>0</v>
      </c>
      <c r="AG23" s="14">
        <v>0</v>
      </c>
      <c r="AI23" s="14">
        <f t="shared" si="5"/>
        <v>0</v>
      </c>
      <c r="AK23" s="14">
        <f t="shared" si="0"/>
        <v>0</v>
      </c>
      <c r="AM23" s="14">
        <f t="shared" si="1"/>
        <v>0</v>
      </c>
      <c r="AO23" s="14">
        <f t="shared" si="2"/>
        <v>0</v>
      </c>
      <c r="AQ23" s="14">
        <f t="shared" si="3"/>
        <v>0</v>
      </c>
      <c r="AS23" s="14">
        <f t="shared" si="4"/>
        <v>0</v>
      </c>
      <c r="AU23" s="14">
        <f t="shared" si="6"/>
        <v>0</v>
      </c>
    </row>
    <row r="24" spans="1:47" x14ac:dyDescent="0.2">
      <c r="A24" s="71"/>
      <c r="B24" s="3" t="s">
        <v>155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v>0</v>
      </c>
      <c r="S24" s="14">
        <v>0</v>
      </c>
      <c r="U24" s="14">
        <v>0</v>
      </c>
      <c r="W24" s="14">
        <v>0</v>
      </c>
      <c r="Y24" s="14">
        <v>0</v>
      </c>
      <c r="AA24" s="14">
        <v>0</v>
      </c>
      <c r="AC24" s="14">
        <v>0</v>
      </c>
      <c r="AE24" s="14">
        <v>0</v>
      </c>
      <c r="AF24" s="14">
        <v>0</v>
      </c>
      <c r="AG24" s="14">
        <v>0</v>
      </c>
      <c r="AI24" s="14">
        <f t="shared" si="5"/>
        <v>0</v>
      </c>
      <c r="AK24" s="14">
        <f t="shared" si="0"/>
        <v>0</v>
      </c>
      <c r="AM24" s="14">
        <f t="shared" si="1"/>
        <v>0</v>
      </c>
      <c r="AO24" s="14">
        <f t="shared" si="2"/>
        <v>0</v>
      </c>
      <c r="AQ24" s="14">
        <f t="shared" si="3"/>
        <v>0</v>
      </c>
      <c r="AS24" s="14">
        <f t="shared" si="4"/>
        <v>0</v>
      </c>
      <c r="AU24" s="14">
        <f t="shared" si="6"/>
        <v>0</v>
      </c>
    </row>
    <row r="25" spans="1:47" x14ac:dyDescent="0.2">
      <c r="A25" s="71"/>
      <c r="B25" s="3" t="s">
        <v>156</v>
      </c>
      <c r="C25" s="14">
        <v>0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v>0</v>
      </c>
      <c r="S25" s="14">
        <v>-10038276.189999999</v>
      </c>
      <c r="U25" s="14">
        <v>0</v>
      </c>
      <c r="W25" s="14">
        <v>0</v>
      </c>
      <c r="Y25" s="14">
        <v>0</v>
      </c>
      <c r="AA25" s="14">
        <v>0</v>
      </c>
      <c r="AC25" s="14">
        <v>0</v>
      </c>
      <c r="AE25" s="14">
        <v>0</v>
      </c>
      <c r="AF25" s="14">
        <v>0</v>
      </c>
      <c r="AG25" s="14">
        <v>0</v>
      </c>
      <c r="AI25" s="14">
        <f t="shared" si="5"/>
        <v>-10038276.189999999</v>
      </c>
      <c r="AK25" s="14">
        <f t="shared" si="0"/>
        <v>0</v>
      </c>
      <c r="AM25" s="14">
        <f t="shared" si="1"/>
        <v>0</v>
      </c>
      <c r="AO25" s="14">
        <f t="shared" si="2"/>
        <v>-10038276.189999999</v>
      </c>
      <c r="AQ25" s="14">
        <f t="shared" si="3"/>
        <v>0</v>
      </c>
      <c r="AS25" s="14">
        <f t="shared" si="4"/>
        <v>-10038276.189999999</v>
      </c>
      <c r="AU25" s="14">
        <f t="shared" si="6"/>
        <v>0</v>
      </c>
    </row>
    <row r="26" spans="1:47" x14ac:dyDescent="0.2">
      <c r="A26" s="71"/>
      <c r="B26" s="43" t="s">
        <v>157</v>
      </c>
      <c r="C26" s="14">
        <v>0</v>
      </c>
      <c r="D26" s="3">
        <v>0</v>
      </c>
      <c r="E26" s="14">
        <v>0</v>
      </c>
      <c r="G26" s="14">
        <v>0</v>
      </c>
      <c r="I26" s="14">
        <v>0</v>
      </c>
      <c r="K26" s="14">
        <v>0</v>
      </c>
      <c r="M26" s="14">
        <v>0</v>
      </c>
      <c r="O26" s="14">
        <v>0</v>
      </c>
      <c r="Q26" s="14">
        <v>0</v>
      </c>
      <c r="S26" s="14">
        <v>0</v>
      </c>
      <c r="U26" s="14">
        <v>0</v>
      </c>
      <c r="W26" s="14">
        <v>0</v>
      </c>
      <c r="Y26" s="14">
        <v>0</v>
      </c>
      <c r="AA26" s="14">
        <v>0</v>
      </c>
      <c r="AC26" s="14">
        <v>0</v>
      </c>
      <c r="AE26" s="14">
        <v>0</v>
      </c>
      <c r="AF26" s="14">
        <v>0</v>
      </c>
      <c r="AG26" s="14">
        <v>0</v>
      </c>
      <c r="AI26" s="14">
        <f t="shared" si="5"/>
        <v>0</v>
      </c>
      <c r="AK26" s="14">
        <f t="shared" si="0"/>
        <v>0</v>
      </c>
      <c r="AM26" s="14">
        <f t="shared" si="1"/>
        <v>0</v>
      </c>
      <c r="AO26" s="14">
        <f t="shared" si="2"/>
        <v>0</v>
      </c>
      <c r="AQ26" s="14">
        <f t="shared" si="3"/>
        <v>0</v>
      </c>
      <c r="AS26" s="14">
        <f t="shared" si="4"/>
        <v>0</v>
      </c>
      <c r="AU26" s="14">
        <f t="shared" si="6"/>
        <v>0</v>
      </c>
    </row>
    <row r="27" spans="1:47" x14ac:dyDescent="0.2">
      <c r="A27" s="71"/>
      <c r="B27" s="3" t="s">
        <v>158</v>
      </c>
      <c r="C27" s="14"/>
      <c r="E27" s="14"/>
      <c r="G27" s="14"/>
      <c r="I27" s="14"/>
      <c r="K27" s="14"/>
      <c r="M27" s="14"/>
      <c r="O27" s="14"/>
      <c r="Q27" s="14"/>
      <c r="S27" s="14">
        <v>10038276.189999999</v>
      </c>
      <c r="U27" s="14"/>
      <c r="W27" s="14"/>
      <c r="Y27" s="14"/>
      <c r="AA27" s="14"/>
      <c r="AC27" s="14"/>
      <c r="AE27" s="14"/>
      <c r="AF27" s="14"/>
      <c r="AG27" s="14"/>
      <c r="AI27" s="14">
        <f t="shared" si="5"/>
        <v>10038276.189999999</v>
      </c>
      <c r="AK27" s="14"/>
      <c r="AM27" s="14"/>
      <c r="AO27" s="14">
        <f t="shared" si="2"/>
        <v>10038276.189999999</v>
      </c>
      <c r="AQ27" s="14"/>
      <c r="AS27" s="14">
        <f t="shared" si="4"/>
        <v>10038276.189999999</v>
      </c>
      <c r="AU27" s="14"/>
    </row>
    <row r="28" spans="1:47" x14ac:dyDescent="0.2">
      <c r="A28" s="71"/>
      <c r="B28" s="3" t="s">
        <v>159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v>0</v>
      </c>
      <c r="O28" s="14">
        <v>0</v>
      </c>
      <c r="Q28" s="14">
        <v>0</v>
      </c>
      <c r="S28" s="14">
        <v>0</v>
      </c>
      <c r="U28" s="14">
        <v>0</v>
      </c>
      <c r="W28" s="14">
        <v>0</v>
      </c>
      <c r="Y28" s="14">
        <v>0</v>
      </c>
      <c r="AA28" s="14">
        <v>0</v>
      </c>
      <c r="AC28" s="14">
        <v>0</v>
      </c>
      <c r="AE28" s="14">
        <v>0</v>
      </c>
      <c r="AF28" s="14">
        <v>0</v>
      </c>
      <c r="AG28" s="14">
        <v>0</v>
      </c>
      <c r="AI28" s="14">
        <f t="shared" si="5"/>
        <v>0</v>
      </c>
      <c r="AK28" s="14">
        <f t="shared" si="0"/>
        <v>0</v>
      </c>
      <c r="AM28" s="14">
        <f t="shared" si="1"/>
        <v>0</v>
      </c>
      <c r="AO28" s="14">
        <f t="shared" si="2"/>
        <v>0</v>
      </c>
      <c r="AQ28" s="14">
        <f t="shared" si="3"/>
        <v>0</v>
      </c>
      <c r="AS28" s="14">
        <f t="shared" si="4"/>
        <v>0</v>
      </c>
      <c r="AU28" s="14">
        <f t="shared" si="6"/>
        <v>0</v>
      </c>
    </row>
    <row r="29" spans="1:47" x14ac:dyDescent="0.2">
      <c r="A29" s="71"/>
      <c r="B29" s="3" t="s">
        <v>160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v>0</v>
      </c>
      <c r="S29" s="14">
        <v>0</v>
      </c>
      <c r="U29" s="14">
        <v>0</v>
      </c>
      <c r="W29" s="14">
        <v>0</v>
      </c>
      <c r="Y29" s="14">
        <v>0</v>
      </c>
      <c r="AA29" s="14">
        <v>0</v>
      </c>
      <c r="AC29" s="14">
        <v>0</v>
      </c>
      <c r="AE29" s="14">
        <v>0</v>
      </c>
      <c r="AF29" s="14">
        <v>0</v>
      </c>
      <c r="AG29" s="14">
        <v>0</v>
      </c>
      <c r="AI29" s="14">
        <f t="shared" si="5"/>
        <v>0</v>
      </c>
      <c r="AK29" s="14">
        <f t="shared" si="0"/>
        <v>0</v>
      </c>
      <c r="AM29" s="14">
        <f t="shared" si="1"/>
        <v>0</v>
      </c>
      <c r="AO29" s="14">
        <f t="shared" si="2"/>
        <v>0</v>
      </c>
      <c r="AQ29" s="14">
        <f t="shared" si="3"/>
        <v>0</v>
      </c>
      <c r="AS29" s="14">
        <f t="shared" si="4"/>
        <v>0</v>
      </c>
      <c r="AU29" s="14">
        <f t="shared" si="6"/>
        <v>0</v>
      </c>
    </row>
    <row r="30" spans="1:47" x14ac:dyDescent="0.2">
      <c r="A30" s="71"/>
      <c r="B30" s="3" t="s">
        <v>161</v>
      </c>
      <c r="C30" s="14">
        <v>0</v>
      </c>
      <c r="E30" s="14">
        <v>0</v>
      </c>
      <c r="G30" s="14">
        <v>0</v>
      </c>
      <c r="I30" s="14">
        <v>0</v>
      </c>
      <c r="K30" s="14">
        <v>0</v>
      </c>
      <c r="M30" s="14">
        <v>33436.79</v>
      </c>
      <c r="O30" s="14">
        <v>-13881.44</v>
      </c>
      <c r="Q30" s="14">
        <v>0</v>
      </c>
      <c r="S30" s="14">
        <v>0</v>
      </c>
      <c r="U30" s="14">
        <v>0</v>
      </c>
      <c r="W30" s="14">
        <v>0</v>
      </c>
      <c r="Y30" s="14">
        <v>0</v>
      </c>
      <c r="AA30" s="14">
        <v>0</v>
      </c>
      <c r="AC30" s="14">
        <v>0</v>
      </c>
      <c r="AE30" s="14">
        <v>0</v>
      </c>
      <c r="AF30" s="14">
        <v>0</v>
      </c>
      <c r="AG30" s="14">
        <v>0</v>
      </c>
      <c r="AI30" s="14">
        <f t="shared" si="5"/>
        <v>19555.349999999999</v>
      </c>
      <c r="AK30" s="14">
        <f t="shared" si="0"/>
        <v>33436.79</v>
      </c>
      <c r="AM30" s="14">
        <f t="shared" si="1"/>
        <v>-13881.44</v>
      </c>
      <c r="AO30" s="14">
        <f t="shared" si="2"/>
        <v>0</v>
      </c>
      <c r="AQ30" s="14">
        <f t="shared" si="3"/>
        <v>0</v>
      </c>
      <c r="AS30" s="14">
        <f t="shared" si="4"/>
        <v>19555.349999999999</v>
      </c>
      <c r="AU30" s="14">
        <f t="shared" si="6"/>
        <v>0</v>
      </c>
    </row>
    <row r="31" spans="1:47" x14ac:dyDescent="0.2">
      <c r="A31" s="71"/>
      <c r="B31" s="73" t="s">
        <v>162</v>
      </c>
      <c r="C31" s="14">
        <v>0</v>
      </c>
      <c r="E31" s="14">
        <v>0</v>
      </c>
      <c r="G31" s="14">
        <v>0</v>
      </c>
      <c r="I31" s="14">
        <v>0</v>
      </c>
      <c r="K31" s="14">
        <v>0</v>
      </c>
      <c r="M31" s="14">
        <v>0</v>
      </c>
      <c r="O31" s="14">
        <v>-41067.300000000003</v>
      </c>
      <c r="Q31" s="14">
        <v>0</v>
      </c>
      <c r="S31" s="14">
        <v>0</v>
      </c>
      <c r="U31" s="14">
        <v>0</v>
      </c>
      <c r="W31" s="14">
        <v>0</v>
      </c>
      <c r="Y31" s="14">
        <v>0</v>
      </c>
      <c r="AA31" s="14">
        <v>0</v>
      </c>
      <c r="AC31" s="14">
        <v>0</v>
      </c>
      <c r="AE31" s="14">
        <v>0</v>
      </c>
      <c r="AF31" s="14">
        <v>0</v>
      </c>
      <c r="AG31" s="14">
        <v>0</v>
      </c>
      <c r="AI31" s="14">
        <f t="shared" si="5"/>
        <v>-41067.300000000003</v>
      </c>
      <c r="AK31" s="14">
        <f t="shared" si="0"/>
        <v>0</v>
      </c>
      <c r="AM31" s="14">
        <f t="shared" si="1"/>
        <v>-41067.300000000003</v>
      </c>
      <c r="AO31" s="14">
        <f t="shared" si="2"/>
        <v>0</v>
      </c>
      <c r="AQ31" s="14">
        <f t="shared" si="3"/>
        <v>0</v>
      </c>
      <c r="AS31" s="14">
        <f t="shared" si="4"/>
        <v>-41067.300000000003</v>
      </c>
      <c r="AU31" s="14">
        <f t="shared" si="6"/>
        <v>0</v>
      </c>
    </row>
    <row r="32" spans="1:47" x14ac:dyDescent="0.2">
      <c r="A32" s="71"/>
      <c r="B32" s="12" t="s">
        <v>163</v>
      </c>
      <c r="C32" s="18">
        <f>SUM(C15:C31)</f>
        <v>0</v>
      </c>
      <c r="E32" s="18">
        <f>SUM(E15:E31)</f>
        <v>-59393.04</v>
      </c>
      <c r="G32" s="18">
        <f>SUM(G15:G31)</f>
        <v>0</v>
      </c>
      <c r="I32" s="18">
        <f>SUM(I15:I31)</f>
        <v>0</v>
      </c>
      <c r="K32" s="18">
        <f>SUM(K15:K31)</f>
        <v>0</v>
      </c>
      <c r="M32" s="18">
        <f>SUM(M15:M31)</f>
        <v>33436.79</v>
      </c>
      <c r="O32" s="18">
        <f>SUM(O15:O31)</f>
        <v>-54948.740000000005</v>
      </c>
      <c r="Q32" s="18">
        <f>SUM(Q15:Q31)</f>
        <v>0</v>
      </c>
      <c r="S32" s="18">
        <f>SUM(S15:S31)</f>
        <v>0</v>
      </c>
      <c r="U32" s="18">
        <f>SUM(U15:U31)</f>
        <v>-237744.45</v>
      </c>
      <c r="W32" s="18">
        <f>SUM(W15:W31)</f>
        <v>0</v>
      </c>
      <c r="Y32" s="18">
        <f>SUM(Y15:Y31)</f>
        <v>-615312.13</v>
      </c>
      <c r="AA32" s="18">
        <f>SUM(AA15:AA31)</f>
        <v>-71337.33</v>
      </c>
      <c r="AC32" s="18">
        <f>SUM(AC15:AC31)</f>
        <v>0</v>
      </c>
      <c r="AE32" s="18">
        <f>SUM(AE15:AE31)</f>
        <v>0</v>
      </c>
      <c r="AF32" s="18">
        <f>SUM(AF15:AF31)</f>
        <v>0</v>
      </c>
      <c r="AG32" s="18">
        <f>SUM(AG15:AG31)</f>
        <v>0</v>
      </c>
      <c r="AI32" s="18">
        <f>SUM(AI15:AI31)</f>
        <v>-1005298.8999999993</v>
      </c>
      <c r="AK32" s="18">
        <f>SUM(AK15:AK31)</f>
        <v>33436.79</v>
      </c>
      <c r="AM32" s="18">
        <f>SUM(AM15:AM31)</f>
        <v>-54948.740000000005</v>
      </c>
      <c r="AO32" s="18">
        <f>SUM(AO15:AO31)</f>
        <v>-983786.94999999925</v>
      </c>
      <c r="AQ32" s="18">
        <f>SUM(AQ15:AQ31)</f>
        <v>0</v>
      </c>
      <c r="AS32" s="18">
        <f>SUM(AS15:AS31)</f>
        <v>-1005298.8999999993</v>
      </c>
      <c r="AU32" s="18">
        <f t="shared" si="6"/>
        <v>0</v>
      </c>
    </row>
    <row r="33" spans="1:47" x14ac:dyDescent="0.2">
      <c r="A33" s="71"/>
      <c r="C33" s="14"/>
      <c r="E33" s="14"/>
      <c r="G33" s="14"/>
      <c r="I33" s="14"/>
      <c r="K33" s="14"/>
      <c r="M33" s="14"/>
      <c r="O33" s="14"/>
      <c r="Q33" s="14"/>
      <c r="S33" s="14"/>
      <c r="U33" s="14"/>
      <c r="W33" s="14"/>
      <c r="Y33" s="14"/>
      <c r="AA33" s="14"/>
      <c r="AC33" s="14"/>
      <c r="AE33" s="14"/>
      <c r="AF33" s="14"/>
      <c r="AG33" s="14"/>
      <c r="AI33" s="14"/>
      <c r="AK33" s="14"/>
      <c r="AM33" s="14"/>
      <c r="AO33" s="14"/>
      <c r="AQ33" s="14"/>
      <c r="AS33" s="14"/>
      <c r="AU33" s="14"/>
    </row>
    <row r="34" spans="1:47" x14ac:dyDescent="0.2">
      <c r="A34" s="71"/>
      <c r="B34" s="12" t="s">
        <v>13</v>
      </c>
      <c r="C34" s="14"/>
      <c r="E34" s="14"/>
      <c r="G34" s="14"/>
      <c r="I34" s="14"/>
      <c r="K34" s="14"/>
      <c r="M34" s="14"/>
      <c r="O34" s="14"/>
      <c r="Q34" s="14"/>
      <c r="S34" s="14"/>
      <c r="U34" s="14"/>
      <c r="W34" s="14"/>
      <c r="Y34" s="14"/>
      <c r="AA34" s="14"/>
      <c r="AC34" s="14"/>
      <c r="AE34" s="14"/>
      <c r="AF34" s="14"/>
      <c r="AG34" s="14"/>
      <c r="AI34" s="14"/>
      <c r="AK34" s="14"/>
      <c r="AM34" s="14"/>
      <c r="AO34" s="14"/>
      <c r="AQ34" s="14"/>
      <c r="AS34" s="14"/>
      <c r="AU34" s="14"/>
    </row>
    <row r="35" spans="1:47" x14ac:dyDescent="0.2">
      <c r="A35" s="71"/>
      <c r="B35" s="43" t="s">
        <v>164</v>
      </c>
      <c r="C35" s="14">
        <v>-131956.31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v>0</v>
      </c>
      <c r="S35" s="14">
        <v>0</v>
      </c>
      <c r="U35" s="14">
        <v>0</v>
      </c>
      <c r="W35" s="14">
        <v>0</v>
      </c>
      <c r="Y35" s="14">
        <v>0</v>
      </c>
      <c r="AA35" s="14">
        <v>0</v>
      </c>
      <c r="AC35" s="14">
        <v>0</v>
      </c>
      <c r="AE35" s="14">
        <v>0</v>
      </c>
      <c r="AF35" s="14">
        <v>0</v>
      </c>
      <c r="AG35" s="14">
        <v>0</v>
      </c>
      <c r="AI35" s="14">
        <f>SUM(C35:AG35)</f>
        <v>-131956.31</v>
      </c>
      <c r="AK35" s="14">
        <f t="shared" ref="AK35:AK51" si="7">SUMIF($C$9:$AH$9,"=Addition",$C35:$AH35)</f>
        <v>0</v>
      </c>
      <c r="AM35" s="14">
        <f t="shared" ref="AM35:AM51" si="8">SUMIF($C$9:$AH$9,"=Adjustment",$C35:$AH35)</f>
        <v>0</v>
      </c>
      <c r="AO35" s="14">
        <f t="shared" ref="AO35:AO51" si="9">SUMIF($C$9:$AH$9,"=Transfer",$C35:$AH35)</f>
        <v>-131956.31</v>
      </c>
      <c r="AQ35" s="14">
        <f t="shared" ref="AQ35:AQ51" si="10">SUMIF($C$9:$Z$9,"=N/A",$C35:$Z35)</f>
        <v>0</v>
      </c>
      <c r="AS35" s="14">
        <f t="shared" ref="AS35:AS51" si="11">SUM(AK35:AQ35)</f>
        <v>-131956.31</v>
      </c>
      <c r="AU35" s="14">
        <f t="shared" si="6"/>
        <v>0</v>
      </c>
    </row>
    <row r="36" spans="1:47" x14ac:dyDescent="0.2">
      <c r="A36" s="71"/>
      <c r="B36" s="3" t="s">
        <v>165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v>0</v>
      </c>
      <c r="S36" s="14">
        <v>0</v>
      </c>
      <c r="U36" s="14">
        <v>0</v>
      </c>
      <c r="W36" s="14">
        <v>0</v>
      </c>
      <c r="Y36" s="14">
        <v>0</v>
      </c>
      <c r="AA36" s="14">
        <v>0</v>
      </c>
      <c r="AC36" s="14">
        <v>0</v>
      </c>
      <c r="AE36" s="14">
        <v>0</v>
      </c>
      <c r="AF36" s="14">
        <v>0</v>
      </c>
      <c r="AG36" s="14">
        <v>0</v>
      </c>
      <c r="AI36" s="14">
        <f t="shared" ref="AI36:AI51" si="12">SUM(C36:AG36)</f>
        <v>0</v>
      </c>
      <c r="AK36" s="14">
        <f t="shared" si="7"/>
        <v>0</v>
      </c>
      <c r="AM36" s="14">
        <f t="shared" si="8"/>
        <v>0</v>
      </c>
      <c r="AO36" s="14">
        <f t="shared" si="9"/>
        <v>0</v>
      </c>
      <c r="AQ36" s="14">
        <f t="shared" si="10"/>
        <v>0</v>
      </c>
      <c r="AS36" s="14">
        <f t="shared" si="11"/>
        <v>0</v>
      </c>
      <c r="AU36" s="14">
        <f t="shared" si="6"/>
        <v>0</v>
      </c>
    </row>
    <row r="37" spans="1:47" x14ac:dyDescent="0.2">
      <c r="A37" s="71"/>
      <c r="B37" s="3" t="s">
        <v>166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v>0</v>
      </c>
      <c r="S37" s="14">
        <v>0</v>
      </c>
      <c r="U37" s="14">
        <v>0</v>
      </c>
      <c r="W37" s="14">
        <v>0</v>
      </c>
      <c r="Y37" s="14">
        <v>0</v>
      </c>
      <c r="AA37" s="14">
        <v>0</v>
      </c>
      <c r="AC37" s="14">
        <v>0</v>
      </c>
      <c r="AE37" s="14">
        <v>0</v>
      </c>
      <c r="AF37" s="14">
        <v>0</v>
      </c>
      <c r="AG37" s="14">
        <v>0</v>
      </c>
      <c r="AI37" s="14">
        <f t="shared" si="12"/>
        <v>0</v>
      </c>
      <c r="AK37" s="14">
        <f t="shared" si="7"/>
        <v>0</v>
      </c>
      <c r="AM37" s="14">
        <f t="shared" si="8"/>
        <v>0</v>
      </c>
      <c r="AO37" s="14">
        <f t="shared" si="9"/>
        <v>0</v>
      </c>
      <c r="AQ37" s="14">
        <f t="shared" si="10"/>
        <v>0</v>
      </c>
      <c r="AS37" s="14">
        <f t="shared" si="11"/>
        <v>0</v>
      </c>
      <c r="AU37" s="14">
        <f t="shared" si="6"/>
        <v>0</v>
      </c>
    </row>
    <row r="38" spans="1:47" x14ac:dyDescent="0.2">
      <c r="A38" s="71"/>
      <c r="B38" s="3" t="s">
        <v>167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v>0</v>
      </c>
      <c r="S38" s="14">
        <v>0</v>
      </c>
      <c r="U38" s="14">
        <v>0</v>
      </c>
      <c r="W38" s="14">
        <v>0</v>
      </c>
      <c r="Y38" s="14">
        <v>0</v>
      </c>
      <c r="AA38" s="14">
        <v>0</v>
      </c>
      <c r="AC38" s="14">
        <v>0</v>
      </c>
      <c r="AE38" s="14">
        <v>0</v>
      </c>
      <c r="AF38" s="14">
        <v>0</v>
      </c>
      <c r="AG38" s="14">
        <v>0</v>
      </c>
      <c r="AI38" s="14">
        <f t="shared" si="12"/>
        <v>0</v>
      </c>
      <c r="AK38" s="14">
        <f t="shared" si="7"/>
        <v>0</v>
      </c>
      <c r="AM38" s="14">
        <f t="shared" si="8"/>
        <v>0</v>
      </c>
      <c r="AO38" s="14">
        <f t="shared" si="9"/>
        <v>0</v>
      </c>
      <c r="AQ38" s="14">
        <f t="shared" si="10"/>
        <v>0</v>
      </c>
      <c r="AS38" s="14">
        <f t="shared" si="11"/>
        <v>0</v>
      </c>
      <c r="AU38" s="14">
        <f t="shared" si="6"/>
        <v>0</v>
      </c>
    </row>
    <row r="39" spans="1:47" x14ac:dyDescent="0.2">
      <c r="A39" s="71"/>
      <c r="B39" s="3" t="s">
        <v>168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v>0</v>
      </c>
      <c r="S39" s="14">
        <v>0</v>
      </c>
      <c r="U39" s="14">
        <v>0</v>
      </c>
      <c r="W39" s="14">
        <v>0</v>
      </c>
      <c r="Y39" s="14">
        <v>0</v>
      </c>
      <c r="AA39" s="14">
        <v>0</v>
      </c>
      <c r="AC39" s="14">
        <v>0</v>
      </c>
      <c r="AE39" s="14">
        <v>0</v>
      </c>
      <c r="AF39" s="14">
        <v>0</v>
      </c>
      <c r="AG39" s="14">
        <v>0</v>
      </c>
      <c r="AI39" s="14">
        <f t="shared" si="12"/>
        <v>0</v>
      </c>
      <c r="AK39" s="14">
        <f t="shared" si="7"/>
        <v>0</v>
      </c>
      <c r="AM39" s="14">
        <f t="shared" si="8"/>
        <v>0</v>
      </c>
      <c r="AO39" s="14">
        <f t="shared" si="9"/>
        <v>0</v>
      </c>
      <c r="AQ39" s="14">
        <f t="shared" si="10"/>
        <v>0</v>
      </c>
      <c r="AS39" s="14">
        <f t="shared" si="11"/>
        <v>0</v>
      </c>
      <c r="AU39" s="14">
        <f t="shared" si="6"/>
        <v>0</v>
      </c>
    </row>
    <row r="40" spans="1:47" x14ac:dyDescent="0.2">
      <c r="A40" s="71"/>
      <c r="B40" s="3" t="s">
        <v>169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v>0</v>
      </c>
      <c r="S40" s="14">
        <v>0</v>
      </c>
      <c r="U40" s="14">
        <v>0</v>
      </c>
      <c r="W40" s="14">
        <v>0</v>
      </c>
      <c r="Y40" s="14">
        <v>0</v>
      </c>
      <c r="AA40" s="14">
        <v>0</v>
      </c>
      <c r="AC40" s="14">
        <v>0</v>
      </c>
      <c r="AE40" s="14">
        <v>0</v>
      </c>
      <c r="AF40" s="14">
        <v>0</v>
      </c>
      <c r="AG40" s="14">
        <v>0</v>
      </c>
      <c r="AI40" s="14">
        <f t="shared" si="12"/>
        <v>0</v>
      </c>
      <c r="AK40" s="14">
        <f t="shared" si="7"/>
        <v>0</v>
      </c>
      <c r="AM40" s="14">
        <f t="shared" si="8"/>
        <v>0</v>
      </c>
      <c r="AO40" s="14">
        <f t="shared" si="9"/>
        <v>0</v>
      </c>
      <c r="AQ40" s="14">
        <f t="shared" si="10"/>
        <v>0</v>
      </c>
      <c r="AS40" s="14">
        <f t="shared" si="11"/>
        <v>0</v>
      </c>
      <c r="AU40" s="14">
        <f t="shared" si="6"/>
        <v>0</v>
      </c>
    </row>
    <row r="41" spans="1:47" x14ac:dyDescent="0.2">
      <c r="A41" s="71"/>
      <c r="B41" s="3" t="s">
        <v>170</v>
      </c>
      <c r="C41" s="14">
        <v>0</v>
      </c>
      <c r="E41" s="14">
        <v>0</v>
      </c>
      <c r="G41" s="14">
        <v>0</v>
      </c>
      <c r="I41" s="14">
        <v>0</v>
      </c>
      <c r="K41" s="14">
        <v>0</v>
      </c>
      <c r="M41" s="14">
        <v>0</v>
      </c>
      <c r="O41" s="14">
        <v>0</v>
      </c>
      <c r="Q41" s="14">
        <v>0</v>
      </c>
      <c r="S41" s="14">
        <v>0</v>
      </c>
      <c r="U41" s="14">
        <v>0</v>
      </c>
      <c r="W41" s="14">
        <v>0</v>
      </c>
      <c r="Y41" s="14">
        <v>0</v>
      </c>
      <c r="AA41" s="14">
        <v>0</v>
      </c>
      <c r="AC41" s="14">
        <v>0</v>
      </c>
      <c r="AE41" s="14">
        <v>0</v>
      </c>
      <c r="AF41" s="14">
        <v>0</v>
      </c>
      <c r="AG41" s="14">
        <v>0</v>
      </c>
      <c r="AI41" s="14">
        <f t="shared" si="12"/>
        <v>0</v>
      </c>
      <c r="AK41" s="14">
        <f t="shared" si="7"/>
        <v>0</v>
      </c>
      <c r="AM41" s="14">
        <f t="shared" si="8"/>
        <v>0</v>
      </c>
      <c r="AO41" s="14">
        <f t="shared" si="9"/>
        <v>0</v>
      </c>
      <c r="AQ41" s="14">
        <f t="shared" si="10"/>
        <v>0</v>
      </c>
      <c r="AS41" s="14">
        <f t="shared" si="11"/>
        <v>0</v>
      </c>
      <c r="AU41" s="14">
        <f t="shared" si="6"/>
        <v>0</v>
      </c>
    </row>
    <row r="42" spans="1:47" x14ac:dyDescent="0.2">
      <c r="A42" s="71"/>
      <c r="B42" s="3" t="s">
        <v>171</v>
      </c>
      <c r="C42" s="14">
        <v>0</v>
      </c>
      <c r="E42" s="14">
        <v>0</v>
      </c>
      <c r="G42" s="14">
        <v>0</v>
      </c>
      <c r="I42" s="14">
        <v>0</v>
      </c>
      <c r="K42" s="19">
        <v>0</v>
      </c>
      <c r="M42" s="19">
        <v>0</v>
      </c>
      <c r="O42" s="14">
        <v>0</v>
      </c>
      <c r="Q42" s="14">
        <v>0</v>
      </c>
      <c r="S42" s="14">
        <v>0</v>
      </c>
      <c r="U42" s="14">
        <v>0</v>
      </c>
      <c r="W42" s="14">
        <v>0</v>
      </c>
      <c r="Y42" s="14">
        <v>0</v>
      </c>
      <c r="AA42" s="14">
        <v>0</v>
      </c>
      <c r="AC42" s="14">
        <v>0</v>
      </c>
      <c r="AE42" s="14">
        <v>0</v>
      </c>
      <c r="AF42" s="14">
        <v>0</v>
      </c>
      <c r="AG42" s="14">
        <v>0</v>
      </c>
      <c r="AI42" s="14">
        <f t="shared" si="12"/>
        <v>0</v>
      </c>
      <c r="AK42" s="14">
        <f t="shared" si="7"/>
        <v>0</v>
      </c>
      <c r="AM42" s="14">
        <f t="shared" si="8"/>
        <v>0</v>
      </c>
      <c r="AO42" s="14">
        <f t="shared" si="9"/>
        <v>0</v>
      </c>
      <c r="AQ42" s="14">
        <f t="shared" si="10"/>
        <v>0</v>
      </c>
      <c r="AS42" s="14">
        <f t="shared" si="11"/>
        <v>0</v>
      </c>
      <c r="AU42" s="14">
        <f t="shared" si="6"/>
        <v>0</v>
      </c>
    </row>
    <row r="43" spans="1:47" x14ac:dyDescent="0.2">
      <c r="A43" s="71"/>
      <c r="B43" s="3" t="s">
        <v>172</v>
      </c>
      <c r="C43" s="14">
        <v>0</v>
      </c>
      <c r="E43" s="14">
        <v>0</v>
      </c>
      <c r="G43" s="14">
        <v>0</v>
      </c>
      <c r="I43" s="14">
        <v>0</v>
      </c>
      <c r="K43" s="19">
        <v>0</v>
      </c>
      <c r="M43" s="19">
        <v>0</v>
      </c>
      <c r="O43" s="14">
        <v>0</v>
      </c>
      <c r="Q43" s="14">
        <v>0</v>
      </c>
      <c r="S43" s="14">
        <v>0</v>
      </c>
      <c r="U43" s="14">
        <v>0</v>
      </c>
      <c r="W43" s="14">
        <v>0</v>
      </c>
      <c r="Y43" s="14">
        <v>0</v>
      </c>
      <c r="AA43" s="14">
        <v>0</v>
      </c>
      <c r="AC43" s="14">
        <v>0</v>
      </c>
      <c r="AE43" s="14">
        <v>0</v>
      </c>
      <c r="AF43" s="14">
        <v>0</v>
      </c>
      <c r="AG43" s="14">
        <v>0</v>
      </c>
      <c r="AI43" s="14">
        <f t="shared" si="12"/>
        <v>0</v>
      </c>
      <c r="AK43" s="14">
        <f t="shared" si="7"/>
        <v>0</v>
      </c>
      <c r="AM43" s="14">
        <f t="shared" si="8"/>
        <v>0</v>
      </c>
      <c r="AO43" s="14">
        <f t="shared" si="9"/>
        <v>0</v>
      </c>
      <c r="AQ43" s="14">
        <f t="shared" si="10"/>
        <v>0</v>
      </c>
      <c r="AS43" s="14">
        <f>SUM(AK43:AQ43)</f>
        <v>0</v>
      </c>
      <c r="AU43" s="14">
        <f>+AI43-AS43</f>
        <v>0</v>
      </c>
    </row>
    <row r="44" spans="1:47" x14ac:dyDescent="0.2">
      <c r="A44" s="71"/>
      <c r="B44" s="3" t="s">
        <v>173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v>0</v>
      </c>
      <c r="S44" s="14">
        <v>0</v>
      </c>
      <c r="U44" s="14">
        <v>0</v>
      </c>
      <c r="W44" s="14">
        <v>0</v>
      </c>
      <c r="Y44" s="14">
        <v>0</v>
      </c>
      <c r="AA44" s="14">
        <v>0</v>
      </c>
      <c r="AC44" s="14">
        <v>0</v>
      </c>
      <c r="AE44" s="14">
        <v>0</v>
      </c>
      <c r="AF44" s="14">
        <v>0</v>
      </c>
      <c r="AG44" s="14">
        <v>0</v>
      </c>
      <c r="AI44" s="14">
        <f t="shared" si="12"/>
        <v>0</v>
      </c>
      <c r="AK44" s="14">
        <f t="shared" si="7"/>
        <v>0</v>
      </c>
      <c r="AM44" s="14">
        <f t="shared" si="8"/>
        <v>0</v>
      </c>
      <c r="AO44" s="14">
        <f t="shared" si="9"/>
        <v>0</v>
      </c>
      <c r="AQ44" s="14">
        <f t="shared" si="10"/>
        <v>0</v>
      </c>
      <c r="AS44" s="14">
        <f t="shared" si="11"/>
        <v>0</v>
      </c>
      <c r="AU44" s="14">
        <f t="shared" si="6"/>
        <v>0</v>
      </c>
    </row>
    <row r="45" spans="1:47" x14ac:dyDescent="0.2">
      <c r="A45" s="71"/>
      <c r="B45" s="3" t="s">
        <v>174</v>
      </c>
      <c r="C45" s="14">
        <v>0</v>
      </c>
      <c r="E45" s="14">
        <v>0</v>
      </c>
      <c r="G45" s="14">
        <v>0</v>
      </c>
      <c r="I45" s="14">
        <v>0</v>
      </c>
      <c r="K45" s="14">
        <v>0</v>
      </c>
      <c r="M45" s="14">
        <v>0</v>
      </c>
      <c r="O45" s="14">
        <v>0</v>
      </c>
      <c r="Q45" s="14">
        <v>0</v>
      </c>
      <c r="S45" s="14">
        <v>0</v>
      </c>
      <c r="U45" s="14">
        <v>0</v>
      </c>
      <c r="W45" s="14">
        <v>0</v>
      </c>
      <c r="Y45" s="14">
        <v>0</v>
      </c>
      <c r="AA45" s="14">
        <v>0</v>
      </c>
      <c r="AC45" s="14">
        <v>0</v>
      </c>
      <c r="AE45" s="14">
        <v>0</v>
      </c>
      <c r="AF45" s="14">
        <v>0</v>
      </c>
      <c r="AG45" s="14">
        <v>0</v>
      </c>
      <c r="AI45" s="14">
        <f t="shared" si="12"/>
        <v>0</v>
      </c>
      <c r="AK45" s="14">
        <f t="shared" si="7"/>
        <v>0</v>
      </c>
      <c r="AM45" s="14">
        <f t="shared" si="8"/>
        <v>0</v>
      </c>
      <c r="AO45" s="14">
        <f t="shared" si="9"/>
        <v>0</v>
      </c>
      <c r="AQ45" s="14">
        <f t="shared" si="10"/>
        <v>0</v>
      </c>
      <c r="AS45" s="14">
        <f t="shared" si="11"/>
        <v>0</v>
      </c>
      <c r="AU45" s="14">
        <f t="shared" si="6"/>
        <v>0</v>
      </c>
    </row>
    <row r="46" spans="1:47" x14ac:dyDescent="0.2">
      <c r="A46" s="71"/>
      <c r="B46" s="3" t="s">
        <v>175</v>
      </c>
      <c r="C46" s="14">
        <v>0</v>
      </c>
      <c r="E46" s="14">
        <v>0</v>
      </c>
      <c r="G46" s="14">
        <v>0</v>
      </c>
      <c r="I46" s="14">
        <v>0</v>
      </c>
      <c r="K46" s="14">
        <v>0</v>
      </c>
      <c r="M46" s="14">
        <v>0</v>
      </c>
      <c r="O46" s="14">
        <v>0</v>
      </c>
      <c r="Q46" s="14">
        <v>0</v>
      </c>
      <c r="S46" s="14">
        <v>0</v>
      </c>
      <c r="U46" s="14">
        <v>0</v>
      </c>
      <c r="W46" s="14">
        <v>0</v>
      </c>
      <c r="Y46" s="14">
        <v>0</v>
      </c>
      <c r="AA46" s="14">
        <v>0</v>
      </c>
      <c r="AC46" s="14">
        <v>0</v>
      </c>
      <c r="AE46" s="14">
        <v>0</v>
      </c>
      <c r="AF46" s="14">
        <v>0</v>
      </c>
      <c r="AG46" s="14">
        <v>0</v>
      </c>
      <c r="AI46" s="14">
        <f t="shared" si="12"/>
        <v>0</v>
      </c>
      <c r="AK46" s="14">
        <f t="shared" si="7"/>
        <v>0</v>
      </c>
      <c r="AM46" s="14">
        <f t="shared" si="8"/>
        <v>0</v>
      </c>
      <c r="AO46" s="14">
        <f t="shared" si="9"/>
        <v>0</v>
      </c>
      <c r="AQ46" s="14">
        <f t="shared" si="10"/>
        <v>0</v>
      </c>
      <c r="AS46" s="14">
        <f t="shared" si="11"/>
        <v>0</v>
      </c>
      <c r="AU46" s="14">
        <f t="shared" si="6"/>
        <v>0</v>
      </c>
    </row>
    <row r="47" spans="1:47" x14ac:dyDescent="0.2">
      <c r="A47" s="71"/>
      <c r="B47" s="3" t="s">
        <v>176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v>0</v>
      </c>
      <c r="S47" s="14">
        <v>0</v>
      </c>
      <c r="U47" s="14">
        <v>0</v>
      </c>
      <c r="W47" s="14">
        <v>0</v>
      </c>
      <c r="Y47" s="14">
        <v>0</v>
      </c>
      <c r="AA47" s="14">
        <v>0</v>
      </c>
      <c r="AC47" s="14">
        <v>0</v>
      </c>
      <c r="AE47" s="14">
        <v>0</v>
      </c>
      <c r="AF47" s="14">
        <v>0</v>
      </c>
      <c r="AG47" s="14">
        <v>0</v>
      </c>
      <c r="AI47" s="14">
        <f t="shared" si="12"/>
        <v>0</v>
      </c>
      <c r="AK47" s="14">
        <f t="shared" si="7"/>
        <v>0</v>
      </c>
      <c r="AM47" s="14">
        <f t="shared" si="8"/>
        <v>0</v>
      </c>
      <c r="AO47" s="14">
        <f t="shared" si="9"/>
        <v>0</v>
      </c>
      <c r="AQ47" s="14">
        <f t="shared" si="10"/>
        <v>0</v>
      </c>
      <c r="AS47" s="14">
        <f t="shared" si="11"/>
        <v>0</v>
      </c>
      <c r="AU47" s="14">
        <f t="shared" si="6"/>
        <v>0</v>
      </c>
    </row>
    <row r="48" spans="1:47" x14ac:dyDescent="0.2">
      <c r="A48" s="71"/>
      <c r="B48" s="43" t="s">
        <v>177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v>0</v>
      </c>
      <c r="S48" s="14">
        <v>0</v>
      </c>
      <c r="U48" s="14">
        <v>0</v>
      </c>
      <c r="W48" s="14">
        <v>0</v>
      </c>
      <c r="Y48" s="14">
        <f>-3461.75+3461.75</f>
        <v>0</v>
      </c>
      <c r="AA48" s="14">
        <v>0</v>
      </c>
      <c r="AC48" s="14">
        <v>0</v>
      </c>
      <c r="AE48" s="14">
        <v>0</v>
      </c>
      <c r="AF48" s="14">
        <v>0</v>
      </c>
      <c r="AG48" s="14">
        <v>0</v>
      </c>
      <c r="AI48" s="14">
        <f t="shared" si="12"/>
        <v>0</v>
      </c>
      <c r="AK48" s="14">
        <f t="shared" si="7"/>
        <v>0</v>
      </c>
      <c r="AM48" s="14">
        <f t="shared" si="8"/>
        <v>0</v>
      </c>
      <c r="AO48" s="14">
        <f t="shared" si="9"/>
        <v>0</v>
      </c>
      <c r="AQ48" s="14">
        <f t="shared" si="10"/>
        <v>0</v>
      </c>
      <c r="AS48" s="14">
        <f t="shared" si="11"/>
        <v>0</v>
      </c>
      <c r="AU48" s="14">
        <f t="shared" si="6"/>
        <v>0</v>
      </c>
    </row>
    <row r="49" spans="1:47" x14ac:dyDescent="0.2">
      <c r="A49" s="71"/>
      <c r="B49" s="43" t="s">
        <v>178</v>
      </c>
      <c r="C49" s="14">
        <v>0</v>
      </c>
      <c r="E49" s="14">
        <v>0</v>
      </c>
      <c r="G49" s="14">
        <v>0</v>
      </c>
      <c r="I49" s="14">
        <v>0</v>
      </c>
      <c r="K49" s="14">
        <v>0</v>
      </c>
      <c r="M49" s="14">
        <v>0</v>
      </c>
      <c r="O49" s="14">
        <v>0</v>
      </c>
      <c r="Q49" s="14">
        <v>0</v>
      </c>
      <c r="S49" s="14">
        <v>0</v>
      </c>
      <c r="U49" s="14">
        <v>0</v>
      </c>
      <c r="W49" s="14">
        <v>0</v>
      </c>
      <c r="Y49" s="14">
        <v>0</v>
      </c>
      <c r="AA49" s="14">
        <v>0</v>
      </c>
      <c r="AC49" s="14">
        <v>0</v>
      </c>
      <c r="AE49" s="14">
        <v>0</v>
      </c>
      <c r="AF49" s="14">
        <v>0</v>
      </c>
      <c r="AG49" s="14">
        <v>0</v>
      </c>
      <c r="AI49" s="14">
        <f t="shared" si="12"/>
        <v>0</v>
      </c>
      <c r="AK49" s="14">
        <f t="shared" si="7"/>
        <v>0</v>
      </c>
      <c r="AM49" s="14">
        <f t="shared" si="8"/>
        <v>0</v>
      </c>
      <c r="AO49" s="14">
        <f t="shared" si="9"/>
        <v>0</v>
      </c>
      <c r="AQ49" s="14">
        <f t="shared" si="10"/>
        <v>0</v>
      </c>
      <c r="AS49" s="14">
        <f t="shared" si="11"/>
        <v>0</v>
      </c>
      <c r="AU49" s="14">
        <f t="shared" si="6"/>
        <v>0</v>
      </c>
    </row>
    <row r="50" spans="1:47" x14ac:dyDescent="0.2">
      <c r="A50" s="71"/>
      <c r="B50" s="3" t="s">
        <v>179</v>
      </c>
      <c r="C50" s="14">
        <v>0</v>
      </c>
      <c r="E50" s="14">
        <v>0</v>
      </c>
      <c r="G50" s="14">
        <v>0</v>
      </c>
      <c r="I50" s="14">
        <v>0</v>
      </c>
      <c r="K50" s="14">
        <v>0</v>
      </c>
      <c r="M50" s="14">
        <v>0</v>
      </c>
      <c r="O50" s="14">
        <v>0</v>
      </c>
      <c r="Q50" s="14">
        <v>0</v>
      </c>
      <c r="S50" s="14">
        <v>0</v>
      </c>
      <c r="U50" s="14">
        <v>0</v>
      </c>
      <c r="W50" s="14">
        <v>0</v>
      </c>
      <c r="Y50" s="14">
        <v>0</v>
      </c>
      <c r="AA50" s="14">
        <v>0</v>
      </c>
      <c r="AC50" s="14">
        <v>0</v>
      </c>
      <c r="AE50" s="14">
        <v>0</v>
      </c>
      <c r="AF50" s="14">
        <v>0</v>
      </c>
      <c r="AG50" s="14">
        <v>0</v>
      </c>
      <c r="AI50" s="14">
        <f t="shared" si="12"/>
        <v>0</v>
      </c>
      <c r="AK50" s="14">
        <f t="shared" si="7"/>
        <v>0</v>
      </c>
      <c r="AM50" s="14">
        <f t="shared" si="8"/>
        <v>0</v>
      </c>
      <c r="AO50" s="14">
        <f t="shared" si="9"/>
        <v>0</v>
      </c>
      <c r="AQ50" s="14">
        <f t="shared" si="10"/>
        <v>0</v>
      </c>
      <c r="AS50" s="14">
        <f t="shared" si="11"/>
        <v>0</v>
      </c>
      <c r="AU50" s="14">
        <f t="shared" si="6"/>
        <v>0</v>
      </c>
    </row>
    <row r="51" spans="1:47" x14ac:dyDescent="0.2">
      <c r="A51" s="71"/>
      <c r="B51" s="3" t="s">
        <v>180</v>
      </c>
      <c r="C51" s="14">
        <v>0</v>
      </c>
      <c r="E51" s="14">
        <v>0</v>
      </c>
      <c r="G51" s="14">
        <v>0</v>
      </c>
      <c r="I51" s="14">
        <v>0</v>
      </c>
      <c r="K51" s="14">
        <v>0</v>
      </c>
      <c r="M51" s="14">
        <v>0</v>
      </c>
      <c r="O51" s="14">
        <v>0</v>
      </c>
      <c r="Q51" s="14">
        <v>0</v>
      </c>
      <c r="S51" s="14">
        <v>0</v>
      </c>
      <c r="U51" s="14">
        <v>0</v>
      </c>
      <c r="W51" s="14">
        <v>0</v>
      </c>
      <c r="Y51" s="14">
        <v>0</v>
      </c>
      <c r="AA51" s="14">
        <v>0</v>
      </c>
      <c r="AC51" s="14">
        <v>0</v>
      </c>
      <c r="AE51" s="14">
        <v>0</v>
      </c>
      <c r="AF51" s="14">
        <v>0</v>
      </c>
      <c r="AG51" s="14">
        <v>0</v>
      </c>
      <c r="AI51" s="14">
        <f t="shared" si="12"/>
        <v>0</v>
      </c>
      <c r="AK51" s="14">
        <f t="shared" si="7"/>
        <v>0</v>
      </c>
      <c r="AM51" s="14">
        <f t="shared" si="8"/>
        <v>0</v>
      </c>
      <c r="AO51" s="14">
        <f t="shared" si="9"/>
        <v>0</v>
      </c>
      <c r="AQ51" s="14">
        <f t="shared" si="10"/>
        <v>0</v>
      </c>
      <c r="AS51" s="14">
        <f t="shared" si="11"/>
        <v>0</v>
      </c>
      <c r="AU51" s="14">
        <f t="shared" si="6"/>
        <v>0</v>
      </c>
    </row>
    <row r="52" spans="1:47" x14ac:dyDescent="0.2">
      <c r="A52" s="71"/>
      <c r="B52" s="12" t="s">
        <v>181</v>
      </c>
      <c r="C52" s="18">
        <f>SUM(C35:C51)</f>
        <v>-131956.31</v>
      </c>
      <c r="E52" s="18">
        <f>SUM(E35:E51)</f>
        <v>0</v>
      </c>
      <c r="G52" s="18">
        <f>SUM(G35:G51)</f>
        <v>0</v>
      </c>
      <c r="I52" s="18">
        <f>SUM(I35:I51)</f>
        <v>0</v>
      </c>
      <c r="K52" s="18">
        <f>SUM(K35:K51)</f>
        <v>0</v>
      </c>
      <c r="M52" s="18">
        <f>SUM(M35:M51)</f>
        <v>0</v>
      </c>
      <c r="O52" s="18">
        <f>SUM(O35:O51)</f>
        <v>0</v>
      </c>
      <c r="Q52" s="18">
        <f>SUM(Q35:Q51)</f>
        <v>0</v>
      </c>
      <c r="S52" s="18">
        <f>SUM(S35:S51)</f>
        <v>0</v>
      </c>
      <c r="U52" s="18">
        <f>SUM(U35:U51)</f>
        <v>0</v>
      </c>
      <c r="W52" s="18">
        <f>SUM(W35:W51)</f>
        <v>0</v>
      </c>
      <c r="Y52" s="18">
        <f>SUM(Y35:Y51)</f>
        <v>0</v>
      </c>
      <c r="AA52" s="18">
        <f>SUM(AA35:AA51)</f>
        <v>0</v>
      </c>
      <c r="AC52" s="18">
        <f>SUM(AC35:AC51)</f>
        <v>0</v>
      </c>
      <c r="AE52" s="18">
        <f>SUM(AE35:AE51)</f>
        <v>0</v>
      </c>
      <c r="AF52" s="18">
        <f>SUM(AF35:AF51)</f>
        <v>0</v>
      </c>
      <c r="AG52" s="18">
        <f>SUM(AG35:AG51)</f>
        <v>0</v>
      </c>
      <c r="AI52" s="18">
        <f>SUM(AI35:AI51)</f>
        <v>-131956.31</v>
      </c>
      <c r="AK52" s="18">
        <f>SUM(AK35:AK51)</f>
        <v>0</v>
      </c>
      <c r="AM52" s="18">
        <f>SUM(AM35:AM51)</f>
        <v>0</v>
      </c>
      <c r="AO52" s="18">
        <f>SUM(AO35:AO51)</f>
        <v>-131956.31</v>
      </c>
      <c r="AQ52" s="18">
        <f>SUM(AQ35:AQ51)</f>
        <v>0</v>
      </c>
      <c r="AS52" s="18">
        <f>SUM(AS35:AS51)</f>
        <v>-131956.31</v>
      </c>
      <c r="AU52" s="18">
        <f t="shared" si="6"/>
        <v>0</v>
      </c>
    </row>
    <row r="53" spans="1:47" x14ac:dyDescent="0.2">
      <c r="A53" s="71"/>
      <c r="C53" s="14"/>
      <c r="E53" s="14"/>
      <c r="G53" s="14"/>
      <c r="I53" s="14"/>
      <c r="K53" s="14"/>
      <c r="M53" s="14"/>
      <c r="O53" s="14"/>
      <c r="Q53" s="14"/>
      <c r="S53" s="14"/>
      <c r="U53" s="14"/>
      <c r="W53" s="14"/>
      <c r="Y53" s="14"/>
      <c r="AA53" s="14"/>
      <c r="AC53" s="14"/>
      <c r="AE53" s="14"/>
      <c r="AF53" s="14"/>
      <c r="AG53" s="14"/>
      <c r="AI53" s="14"/>
      <c r="AK53" s="14"/>
      <c r="AM53" s="14"/>
      <c r="AO53" s="14"/>
      <c r="AQ53" s="14"/>
      <c r="AS53" s="14"/>
      <c r="AU53" s="14"/>
    </row>
    <row r="54" spans="1:47" x14ac:dyDescent="0.2">
      <c r="A54" s="71"/>
      <c r="B54" s="12" t="s">
        <v>14</v>
      </c>
      <c r="C54" s="14"/>
      <c r="E54" s="14"/>
      <c r="G54" s="14"/>
      <c r="I54" s="14"/>
      <c r="K54" s="14"/>
      <c r="M54" s="14"/>
      <c r="O54" s="14"/>
      <c r="Q54" s="14"/>
      <c r="S54" s="14"/>
      <c r="U54" s="14"/>
      <c r="W54" s="14"/>
      <c r="Y54" s="14"/>
      <c r="AA54" s="14"/>
      <c r="AC54" s="14"/>
      <c r="AE54" s="14"/>
      <c r="AF54" s="14"/>
      <c r="AG54" s="14"/>
      <c r="AI54" s="14"/>
      <c r="AK54" s="14"/>
      <c r="AM54" s="14"/>
      <c r="AO54" s="14"/>
      <c r="AQ54" s="14"/>
      <c r="AS54" s="14"/>
      <c r="AU54" s="14"/>
    </row>
    <row r="55" spans="1:47" x14ac:dyDescent="0.2">
      <c r="A55" s="71"/>
      <c r="B55" s="43" t="s">
        <v>182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v>0</v>
      </c>
      <c r="S55" s="14">
        <v>0</v>
      </c>
      <c r="U55" s="14">
        <v>0</v>
      </c>
      <c r="W55" s="14">
        <v>0</v>
      </c>
      <c r="Y55" s="14">
        <v>0</v>
      </c>
      <c r="AA55" s="14">
        <v>0</v>
      </c>
      <c r="AC55" s="14">
        <v>0</v>
      </c>
      <c r="AE55" s="14">
        <v>0</v>
      </c>
      <c r="AF55" s="14">
        <v>0</v>
      </c>
      <c r="AG55" s="14">
        <v>0</v>
      </c>
      <c r="AI55" s="17">
        <f>SUM(C55:AG55)</f>
        <v>0</v>
      </c>
      <c r="AK55" s="14">
        <f t="shared" ref="AK55:AK62" si="13">SUMIF($C$9:$AH$9,"=Addition",$C55:$AH55)</f>
        <v>0</v>
      </c>
      <c r="AM55" s="14">
        <f t="shared" ref="AM55:AM62" si="14">SUMIF($C$9:$AH$9,"=Adjustment",$C55:$AH55)</f>
        <v>0</v>
      </c>
      <c r="AO55" s="14">
        <f t="shared" ref="AO55:AO62" si="15">SUMIF($C$9:$AH$9,"=Transfer",$C55:$AH55)</f>
        <v>0</v>
      </c>
      <c r="AQ55" s="14">
        <f t="shared" ref="AQ55:AQ62" si="16">SUMIF($C$9:$Z$9,"=N/A",$C55:$Z55)</f>
        <v>0</v>
      </c>
      <c r="AS55" s="14">
        <f t="shared" ref="AS55:AS62" si="17">SUM(AK55:AQ55)</f>
        <v>0</v>
      </c>
      <c r="AU55" s="14">
        <f t="shared" si="6"/>
        <v>0</v>
      </c>
    </row>
    <row r="56" spans="1:47" x14ac:dyDescent="0.2">
      <c r="A56" s="71"/>
      <c r="B56" s="3" t="s">
        <v>183</v>
      </c>
      <c r="C56" s="14">
        <v>0</v>
      </c>
      <c r="E56" s="14">
        <v>0</v>
      </c>
      <c r="G56" s="14">
        <v>0</v>
      </c>
      <c r="I56" s="14">
        <v>0</v>
      </c>
      <c r="K56" s="14">
        <v>0</v>
      </c>
      <c r="M56" s="14">
        <v>0</v>
      </c>
      <c r="O56" s="14">
        <v>0</v>
      </c>
      <c r="Q56" s="14">
        <v>0</v>
      </c>
      <c r="S56" s="14">
        <v>0</v>
      </c>
      <c r="U56" s="14">
        <v>0</v>
      </c>
      <c r="W56" s="14">
        <v>0</v>
      </c>
      <c r="Y56" s="14">
        <v>0</v>
      </c>
      <c r="AA56" s="14">
        <v>0</v>
      </c>
      <c r="AC56" s="14">
        <v>0</v>
      </c>
      <c r="AE56" s="14">
        <v>0</v>
      </c>
      <c r="AF56" s="14">
        <v>0</v>
      </c>
      <c r="AG56" s="14">
        <v>0</v>
      </c>
      <c r="AI56" s="17">
        <f t="shared" ref="AI56:AI62" si="18">SUM(C56:AG56)</f>
        <v>0</v>
      </c>
      <c r="AK56" s="14">
        <f t="shared" si="13"/>
        <v>0</v>
      </c>
      <c r="AM56" s="14">
        <f t="shared" si="14"/>
        <v>0</v>
      </c>
      <c r="AO56" s="14">
        <f t="shared" si="15"/>
        <v>0</v>
      </c>
      <c r="AQ56" s="14">
        <f t="shared" si="16"/>
        <v>0</v>
      </c>
      <c r="AS56" s="14">
        <f t="shared" si="17"/>
        <v>0</v>
      </c>
      <c r="AU56" s="14">
        <f t="shared" si="6"/>
        <v>0</v>
      </c>
    </row>
    <row r="57" spans="1:47" x14ac:dyDescent="0.2">
      <c r="A57" s="71"/>
      <c r="B57" s="3" t="s">
        <v>184</v>
      </c>
      <c r="C57" s="14">
        <v>0</v>
      </c>
      <c r="E57" s="14">
        <v>0</v>
      </c>
      <c r="G57" s="14">
        <v>0</v>
      </c>
      <c r="I57" s="14">
        <v>0</v>
      </c>
      <c r="K57" s="14">
        <v>0</v>
      </c>
      <c r="M57" s="14">
        <v>0</v>
      </c>
      <c r="O57" s="14">
        <v>0</v>
      </c>
      <c r="Q57" s="14">
        <v>0</v>
      </c>
      <c r="S57" s="14">
        <v>0</v>
      </c>
      <c r="U57" s="14">
        <v>0</v>
      </c>
      <c r="W57" s="14">
        <v>0</v>
      </c>
      <c r="Y57" s="14">
        <v>0</v>
      </c>
      <c r="AA57" s="14">
        <v>0</v>
      </c>
      <c r="AC57" s="14">
        <v>0</v>
      </c>
      <c r="AE57" s="14">
        <v>0</v>
      </c>
      <c r="AF57" s="14">
        <v>0</v>
      </c>
      <c r="AG57" s="14">
        <v>0</v>
      </c>
      <c r="AI57" s="17">
        <f t="shared" si="18"/>
        <v>0</v>
      </c>
      <c r="AK57" s="14">
        <f t="shared" si="13"/>
        <v>0</v>
      </c>
      <c r="AM57" s="14">
        <f t="shared" si="14"/>
        <v>0</v>
      </c>
      <c r="AO57" s="14">
        <f t="shared" si="15"/>
        <v>0</v>
      </c>
      <c r="AQ57" s="14">
        <f t="shared" si="16"/>
        <v>0</v>
      </c>
      <c r="AS57" s="14">
        <f t="shared" si="17"/>
        <v>0</v>
      </c>
      <c r="AU57" s="14">
        <f t="shared" si="6"/>
        <v>0</v>
      </c>
    </row>
    <row r="58" spans="1:47" x14ac:dyDescent="0.2">
      <c r="A58" s="71"/>
      <c r="B58" s="3" t="s">
        <v>185</v>
      </c>
      <c r="C58" s="14">
        <v>0</v>
      </c>
      <c r="E58" s="14">
        <v>0</v>
      </c>
      <c r="G58" s="14">
        <v>0</v>
      </c>
      <c r="I58" s="14">
        <v>0</v>
      </c>
      <c r="K58" s="14">
        <v>0</v>
      </c>
      <c r="M58" s="14">
        <v>0</v>
      </c>
      <c r="O58" s="14">
        <v>0</v>
      </c>
      <c r="Q58" s="14">
        <v>0</v>
      </c>
      <c r="S58" s="14">
        <v>0</v>
      </c>
      <c r="U58" s="14">
        <v>0</v>
      </c>
      <c r="W58" s="14">
        <v>0</v>
      </c>
      <c r="Y58" s="14">
        <v>0</v>
      </c>
      <c r="AA58" s="14">
        <v>0</v>
      </c>
      <c r="AC58" s="14">
        <v>0</v>
      </c>
      <c r="AE58" s="14">
        <v>0</v>
      </c>
      <c r="AF58" s="14">
        <v>0</v>
      </c>
      <c r="AG58" s="14">
        <v>0</v>
      </c>
      <c r="AI58" s="17">
        <f t="shared" si="18"/>
        <v>0</v>
      </c>
      <c r="AK58" s="14">
        <f t="shared" si="13"/>
        <v>0</v>
      </c>
      <c r="AM58" s="14">
        <f t="shared" si="14"/>
        <v>0</v>
      </c>
      <c r="AO58" s="14">
        <f t="shared" si="15"/>
        <v>0</v>
      </c>
      <c r="AQ58" s="14">
        <f t="shared" si="16"/>
        <v>0</v>
      </c>
      <c r="AS58" s="14">
        <f t="shared" si="17"/>
        <v>0</v>
      </c>
      <c r="AU58" s="14">
        <f t="shared" si="6"/>
        <v>0</v>
      </c>
    </row>
    <row r="59" spans="1:47" x14ac:dyDescent="0.2">
      <c r="A59" s="71"/>
      <c r="B59" s="3" t="s">
        <v>186</v>
      </c>
      <c r="C59" s="14">
        <v>0</v>
      </c>
      <c r="E59" s="14">
        <v>0</v>
      </c>
      <c r="G59" s="14">
        <v>0</v>
      </c>
      <c r="I59" s="14">
        <v>0</v>
      </c>
      <c r="K59" s="14">
        <v>0</v>
      </c>
      <c r="M59" s="14">
        <v>0</v>
      </c>
      <c r="O59" s="14">
        <v>0</v>
      </c>
      <c r="Q59" s="14">
        <v>0</v>
      </c>
      <c r="S59" s="14">
        <v>0</v>
      </c>
      <c r="U59" s="14">
        <v>0</v>
      </c>
      <c r="W59" s="14">
        <v>0</v>
      </c>
      <c r="Y59" s="14">
        <v>0</v>
      </c>
      <c r="AA59" s="14">
        <v>0</v>
      </c>
      <c r="AC59" s="14">
        <v>0</v>
      </c>
      <c r="AE59" s="14">
        <v>0</v>
      </c>
      <c r="AF59" s="14">
        <v>0</v>
      </c>
      <c r="AG59" s="14">
        <v>0</v>
      </c>
      <c r="AI59" s="17">
        <f t="shared" si="18"/>
        <v>0</v>
      </c>
      <c r="AK59" s="14">
        <f t="shared" si="13"/>
        <v>0</v>
      </c>
      <c r="AM59" s="14">
        <f t="shared" si="14"/>
        <v>0</v>
      </c>
      <c r="AO59" s="14">
        <f t="shared" si="15"/>
        <v>0</v>
      </c>
      <c r="AQ59" s="14">
        <f t="shared" si="16"/>
        <v>0</v>
      </c>
      <c r="AS59" s="14">
        <f t="shared" si="17"/>
        <v>0</v>
      </c>
      <c r="AU59" s="14">
        <f t="shared" si="6"/>
        <v>0</v>
      </c>
    </row>
    <row r="60" spans="1:47" x14ac:dyDescent="0.2">
      <c r="A60" s="71"/>
      <c r="B60" s="3" t="s">
        <v>187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v>0</v>
      </c>
      <c r="S60" s="14">
        <v>0</v>
      </c>
      <c r="U60" s="14">
        <v>0</v>
      </c>
      <c r="W60" s="14">
        <v>0</v>
      </c>
      <c r="Y60" s="14">
        <v>0</v>
      </c>
      <c r="AA60" s="14">
        <v>0</v>
      </c>
      <c r="AC60" s="14">
        <v>0</v>
      </c>
      <c r="AE60" s="14">
        <v>0</v>
      </c>
      <c r="AF60" s="14">
        <v>0</v>
      </c>
      <c r="AG60" s="14">
        <v>0</v>
      </c>
      <c r="AI60" s="17">
        <f t="shared" si="18"/>
        <v>0</v>
      </c>
      <c r="AK60" s="14">
        <f t="shared" si="13"/>
        <v>0</v>
      </c>
      <c r="AM60" s="14">
        <f t="shared" si="14"/>
        <v>0</v>
      </c>
      <c r="AO60" s="14">
        <f t="shared" si="15"/>
        <v>0</v>
      </c>
      <c r="AQ60" s="14">
        <f t="shared" si="16"/>
        <v>0</v>
      </c>
      <c r="AS60" s="14">
        <f t="shared" si="17"/>
        <v>0</v>
      </c>
      <c r="AU60" s="14">
        <f t="shared" si="6"/>
        <v>0</v>
      </c>
    </row>
    <row r="61" spans="1:47" x14ac:dyDescent="0.2">
      <c r="A61" s="71"/>
      <c r="B61" s="3" t="s">
        <v>188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v>0</v>
      </c>
      <c r="S61" s="14">
        <v>0</v>
      </c>
      <c r="U61" s="14">
        <v>0</v>
      </c>
      <c r="W61" s="14">
        <v>0</v>
      </c>
      <c r="Y61" s="14">
        <v>0</v>
      </c>
      <c r="AA61" s="14">
        <v>0</v>
      </c>
      <c r="AC61" s="14">
        <v>0</v>
      </c>
      <c r="AE61" s="14">
        <v>0</v>
      </c>
      <c r="AF61" s="14">
        <v>0</v>
      </c>
      <c r="AG61" s="14">
        <v>0</v>
      </c>
      <c r="AI61" s="17">
        <f t="shared" si="18"/>
        <v>0</v>
      </c>
      <c r="AK61" s="14">
        <f t="shared" si="13"/>
        <v>0</v>
      </c>
      <c r="AM61" s="14">
        <f t="shared" si="14"/>
        <v>0</v>
      </c>
      <c r="AO61" s="14">
        <f t="shared" si="15"/>
        <v>0</v>
      </c>
      <c r="AQ61" s="14">
        <f t="shared" si="16"/>
        <v>0</v>
      </c>
      <c r="AS61" s="14">
        <f t="shared" si="17"/>
        <v>0</v>
      </c>
      <c r="AU61" s="14">
        <f t="shared" si="6"/>
        <v>0</v>
      </c>
    </row>
    <row r="62" spans="1:47" x14ac:dyDescent="0.2">
      <c r="A62" s="71"/>
      <c r="B62" s="3" t="s">
        <v>189</v>
      </c>
      <c r="C62" s="14">
        <v>0</v>
      </c>
      <c r="E62" s="14">
        <v>0</v>
      </c>
      <c r="G62" s="14">
        <v>0</v>
      </c>
      <c r="I62" s="14">
        <v>0</v>
      </c>
      <c r="K62" s="14">
        <v>0</v>
      </c>
      <c r="M62" s="14">
        <v>0</v>
      </c>
      <c r="O62" s="14">
        <v>0</v>
      </c>
      <c r="Q62" s="14">
        <v>0</v>
      </c>
      <c r="S62" s="14">
        <v>0</v>
      </c>
      <c r="U62" s="14">
        <v>0</v>
      </c>
      <c r="W62" s="14"/>
      <c r="Y62" s="14">
        <v>0</v>
      </c>
      <c r="AA62" s="14">
        <v>0</v>
      </c>
      <c r="AC62" s="14">
        <v>0</v>
      </c>
      <c r="AE62" s="14">
        <v>0</v>
      </c>
      <c r="AF62" s="14">
        <v>0</v>
      </c>
      <c r="AG62" s="14">
        <v>0</v>
      </c>
      <c r="AI62" s="17">
        <f t="shared" si="18"/>
        <v>0</v>
      </c>
      <c r="AK62" s="14">
        <f t="shared" si="13"/>
        <v>0</v>
      </c>
      <c r="AM62" s="14">
        <f t="shared" si="14"/>
        <v>0</v>
      </c>
      <c r="AO62" s="14">
        <f t="shared" si="15"/>
        <v>0</v>
      </c>
      <c r="AQ62" s="14">
        <f t="shared" si="16"/>
        <v>0</v>
      </c>
      <c r="AS62" s="14">
        <f t="shared" si="17"/>
        <v>0</v>
      </c>
      <c r="AU62" s="14">
        <f t="shared" si="6"/>
        <v>0</v>
      </c>
    </row>
    <row r="63" spans="1:47" x14ac:dyDescent="0.2">
      <c r="A63" s="71"/>
      <c r="B63" s="12" t="s">
        <v>190</v>
      </c>
      <c r="C63" s="18">
        <f>SUM(C55:C62)</f>
        <v>0</v>
      </c>
      <c r="E63" s="18">
        <f>SUM(E55:E62)</f>
        <v>0</v>
      </c>
      <c r="G63" s="18">
        <f>SUM(G55:G62)</f>
        <v>0</v>
      </c>
      <c r="I63" s="18">
        <f>SUM(I55:I62)</f>
        <v>0</v>
      </c>
      <c r="K63" s="18">
        <f>SUM(K55:K62)</f>
        <v>0</v>
      </c>
      <c r="M63" s="18">
        <f>SUM(M55:M62)</f>
        <v>0</v>
      </c>
      <c r="O63" s="18">
        <f>SUM(O55:O62)</f>
        <v>0</v>
      </c>
      <c r="Q63" s="18">
        <f>SUM(Q55:Q62)</f>
        <v>0</v>
      </c>
      <c r="S63" s="18">
        <f>SUM(S55:S62)</f>
        <v>0</v>
      </c>
      <c r="U63" s="18">
        <f>SUM(U55:U62)</f>
        <v>0</v>
      </c>
      <c r="W63" s="18">
        <f>SUM(W55:W62)</f>
        <v>0</v>
      </c>
      <c r="Y63" s="18">
        <f>SUM(Y55:Y62)</f>
        <v>0</v>
      </c>
      <c r="AA63" s="18">
        <f>SUM(AA55:AA62)</f>
        <v>0</v>
      </c>
      <c r="AC63" s="18">
        <f>SUM(AC55:AC62)</f>
        <v>0</v>
      </c>
      <c r="AE63" s="18">
        <f>SUM(AE55:AE62)</f>
        <v>0</v>
      </c>
      <c r="AF63" s="18">
        <f>SUM(AF55:AF62)</f>
        <v>0</v>
      </c>
      <c r="AG63" s="18">
        <f>SUM(AG55:AG62)</f>
        <v>0</v>
      </c>
      <c r="AI63" s="18">
        <f>SUM(AI55:AI62)</f>
        <v>0</v>
      </c>
      <c r="AK63" s="18">
        <f>SUM(AK55:AK62)</f>
        <v>0</v>
      </c>
      <c r="AM63" s="18">
        <f>SUM(AM55:AM62)</f>
        <v>0</v>
      </c>
      <c r="AO63" s="18">
        <f>SUM(AO55:AO62)</f>
        <v>0</v>
      </c>
      <c r="AQ63" s="18">
        <f>SUM(AQ55:AQ62)</f>
        <v>0</v>
      </c>
      <c r="AS63" s="18">
        <f>SUM(AS55:AS62)</f>
        <v>0</v>
      </c>
      <c r="AU63" s="18">
        <f t="shared" si="6"/>
        <v>0</v>
      </c>
    </row>
    <row r="64" spans="1:47" x14ac:dyDescent="0.2">
      <c r="A64" s="71"/>
      <c r="C64" s="14"/>
      <c r="E64" s="14"/>
      <c r="G64" s="14"/>
      <c r="I64" s="14"/>
      <c r="K64" s="14"/>
      <c r="M64" s="14"/>
      <c r="O64" s="14"/>
      <c r="Q64" s="14"/>
      <c r="S64" s="14"/>
      <c r="U64" s="14"/>
      <c r="W64" s="14"/>
      <c r="Y64" s="14"/>
      <c r="AA64" s="14"/>
      <c r="AC64" s="14"/>
      <c r="AE64" s="14"/>
      <c r="AF64" s="14"/>
      <c r="AG64" s="14"/>
      <c r="AI64" s="14"/>
      <c r="AK64" s="14"/>
      <c r="AM64" s="14"/>
      <c r="AO64" s="14"/>
      <c r="AQ64" s="14"/>
      <c r="AS64" s="14"/>
      <c r="AU64" s="14"/>
    </row>
    <row r="65" spans="1:47" x14ac:dyDescent="0.2">
      <c r="A65" s="71"/>
      <c r="B65" s="12" t="s">
        <v>15</v>
      </c>
      <c r="C65" s="14"/>
      <c r="E65" s="14"/>
      <c r="G65" s="14"/>
      <c r="I65" s="14"/>
      <c r="K65" s="14"/>
      <c r="M65" s="14"/>
      <c r="O65" s="14"/>
      <c r="Q65" s="14"/>
      <c r="S65" s="14"/>
      <c r="U65" s="14"/>
      <c r="W65" s="14"/>
      <c r="Y65" s="14"/>
      <c r="AA65" s="14"/>
      <c r="AC65" s="14"/>
      <c r="AE65" s="14"/>
      <c r="AF65" s="14"/>
      <c r="AG65" s="14"/>
      <c r="AI65" s="14"/>
      <c r="AK65" s="14"/>
      <c r="AM65" s="14"/>
      <c r="AO65" s="14"/>
      <c r="AQ65" s="14"/>
      <c r="AS65" s="14"/>
      <c r="AU65" s="14"/>
    </row>
    <row r="66" spans="1:47" x14ac:dyDescent="0.2">
      <c r="A66" s="71"/>
      <c r="B66" s="43" t="s">
        <v>191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v>0</v>
      </c>
      <c r="S66" s="14">
        <v>0</v>
      </c>
      <c r="U66" s="14">
        <v>0</v>
      </c>
      <c r="W66" s="14">
        <v>0</v>
      </c>
      <c r="Y66" s="14">
        <v>0</v>
      </c>
      <c r="AA66" s="14">
        <v>0</v>
      </c>
      <c r="AC66" s="14">
        <v>0</v>
      </c>
      <c r="AE66" s="14">
        <v>0</v>
      </c>
      <c r="AF66" s="14">
        <v>0</v>
      </c>
      <c r="AG66" s="14">
        <v>0</v>
      </c>
      <c r="AI66" s="17">
        <f>SUM(C66:AG66)</f>
        <v>0</v>
      </c>
      <c r="AK66" s="14">
        <f>SUMIF($C$9:$AH$9,"=Addition",$C66:$AH66)</f>
        <v>0</v>
      </c>
      <c r="AM66" s="14">
        <f>SUMIF($C$9:$AH$9,"=Adjustment",$C66:$AH66)</f>
        <v>0</v>
      </c>
      <c r="AO66" s="14">
        <f>SUMIF($C$9:$AH$9,"=Transfer",$C66:$AH66)</f>
        <v>0</v>
      </c>
      <c r="AQ66" s="14">
        <f>SUMIF($C$9:$Z$9,"=N/A",$C66:$Z66)</f>
        <v>0</v>
      </c>
      <c r="AS66" s="14">
        <f>SUM(AK66:AQ66)</f>
        <v>0</v>
      </c>
      <c r="AU66" s="14">
        <f t="shared" si="6"/>
        <v>0</v>
      </c>
    </row>
    <row r="67" spans="1:47" x14ac:dyDescent="0.2">
      <c r="A67" s="71"/>
      <c r="B67" s="3" t="s">
        <v>192</v>
      </c>
      <c r="C67" s="14">
        <v>0</v>
      </c>
      <c r="E67" s="14">
        <v>0</v>
      </c>
      <c r="G67" s="14">
        <v>0</v>
      </c>
      <c r="I67" s="14">
        <v>0</v>
      </c>
      <c r="K67" s="14">
        <v>0</v>
      </c>
      <c r="M67" s="14">
        <v>0</v>
      </c>
      <c r="O67" s="14">
        <v>0</v>
      </c>
      <c r="Q67" s="14">
        <v>0</v>
      </c>
      <c r="S67" s="14">
        <v>0</v>
      </c>
      <c r="U67" s="14">
        <v>0</v>
      </c>
      <c r="W67" s="14">
        <v>0</v>
      </c>
      <c r="Y67" s="14">
        <v>0</v>
      </c>
      <c r="AA67" s="14">
        <v>0</v>
      </c>
      <c r="AC67" s="14">
        <v>0</v>
      </c>
      <c r="AE67" s="14">
        <v>0</v>
      </c>
      <c r="AF67" s="14">
        <v>0</v>
      </c>
      <c r="AG67" s="14">
        <v>0</v>
      </c>
      <c r="AI67" s="17">
        <f t="shared" ref="AI67:AI69" si="19">SUM(C67:AG67)</f>
        <v>0</v>
      </c>
      <c r="AK67" s="14">
        <f>SUMIF($C$9:$AH$9,"=Addition",$C67:$AH67)</f>
        <v>0</v>
      </c>
      <c r="AM67" s="14">
        <f>SUMIF($C$9:$AH$9,"=Adjustment",$C67:$AH67)</f>
        <v>0</v>
      </c>
      <c r="AO67" s="14">
        <f>SUMIF($C$9:$AH$9,"=Transfer",$C67:$AH67)</f>
        <v>0</v>
      </c>
      <c r="AQ67" s="14">
        <f>SUMIF($C$9:$Z$9,"=N/A",$C67:$Z67)</f>
        <v>0</v>
      </c>
      <c r="AS67" s="14">
        <f>SUM(AK67:AQ67)</f>
        <v>0</v>
      </c>
      <c r="AU67" s="14">
        <f t="shared" si="6"/>
        <v>0</v>
      </c>
    </row>
    <row r="68" spans="1:47" x14ac:dyDescent="0.2">
      <c r="A68" s="71"/>
      <c r="B68" s="3" t="s">
        <v>193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v>0</v>
      </c>
      <c r="S68" s="14">
        <v>0</v>
      </c>
      <c r="U68" s="14">
        <v>0</v>
      </c>
      <c r="W68" s="14">
        <v>0</v>
      </c>
      <c r="Y68" s="14">
        <v>0</v>
      </c>
      <c r="AA68" s="14">
        <v>0</v>
      </c>
      <c r="AC68" s="14">
        <v>0</v>
      </c>
      <c r="AE68" s="14">
        <v>0</v>
      </c>
      <c r="AF68" s="14">
        <v>0</v>
      </c>
      <c r="AG68" s="14">
        <v>0</v>
      </c>
      <c r="AI68" s="17">
        <f t="shared" si="19"/>
        <v>0</v>
      </c>
      <c r="AK68" s="14">
        <f>SUMIF($C$9:$AH$9,"=Addition",$C68:$AH68)</f>
        <v>0</v>
      </c>
      <c r="AM68" s="14">
        <f>SUMIF($C$9:$AH$9,"=Adjustment",$C68:$AH68)</f>
        <v>0</v>
      </c>
      <c r="AO68" s="14">
        <f>SUMIF($C$9:$AH$9,"=Transfer",$C68:$AH68)</f>
        <v>0</v>
      </c>
      <c r="AQ68" s="14">
        <f>SUMIF($C$9:$Z$9,"=N/A",$C68:$Z68)</f>
        <v>0</v>
      </c>
      <c r="AS68" s="14">
        <f>SUM(AK68:AQ68)</f>
        <v>0</v>
      </c>
      <c r="AU68" s="14">
        <f t="shared" si="6"/>
        <v>0</v>
      </c>
    </row>
    <row r="69" spans="1:47" x14ac:dyDescent="0.2">
      <c r="A69" s="71"/>
      <c r="B69" s="3" t="s">
        <v>194</v>
      </c>
      <c r="C69" s="14">
        <v>0</v>
      </c>
      <c r="E69" s="14">
        <v>0</v>
      </c>
      <c r="G69" s="14">
        <v>0</v>
      </c>
      <c r="I69" s="14">
        <v>0</v>
      </c>
      <c r="K69" s="14">
        <v>0</v>
      </c>
      <c r="M69" s="14">
        <v>0</v>
      </c>
      <c r="O69" s="14">
        <v>0</v>
      </c>
      <c r="Q69" s="14">
        <v>0</v>
      </c>
      <c r="S69" s="14">
        <v>0</v>
      </c>
      <c r="U69" s="14">
        <v>0</v>
      </c>
      <c r="W69" s="14">
        <v>0</v>
      </c>
      <c r="Y69" s="14">
        <v>0</v>
      </c>
      <c r="AA69" s="14">
        <v>0</v>
      </c>
      <c r="AC69" s="14">
        <v>0</v>
      </c>
      <c r="AE69" s="14">
        <v>0</v>
      </c>
      <c r="AF69" s="14">
        <v>0</v>
      </c>
      <c r="AG69" s="14">
        <v>0</v>
      </c>
      <c r="AI69" s="17">
        <f t="shared" si="19"/>
        <v>0</v>
      </c>
      <c r="AK69" s="14">
        <f>SUMIF($C$9:$AH$9,"=Addition",$C69:$AH69)</f>
        <v>0</v>
      </c>
      <c r="AM69" s="14">
        <f>SUMIF($C$9:$AH$9,"=Adjustment",$C69:$AH69)</f>
        <v>0</v>
      </c>
      <c r="AO69" s="14">
        <f>SUMIF($C$9:$AH$9,"=Transfer",$C69:$AH69)</f>
        <v>0</v>
      </c>
      <c r="AQ69" s="14">
        <f>SUMIF($C$9:$Z$9,"=N/A",$C69:$Z69)</f>
        <v>0</v>
      </c>
      <c r="AS69" s="14">
        <f>SUM(AK69:AQ69)</f>
        <v>0</v>
      </c>
      <c r="AU69" s="14">
        <f t="shared" si="6"/>
        <v>0</v>
      </c>
    </row>
    <row r="70" spans="1:47" x14ac:dyDescent="0.2">
      <c r="A70" s="71"/>
      <c r="B70" s="12" t="s">
        <v>195</v>
      </c>
      <c r="C70" s="18">
        <f>SUM(C66:C69)</f>
        <v>0</v>
      </c>
      <c r="E70" s="18">
        <f>SUM(E66:E69)</f>
        <v>0</v>
      </c>
      <c r="G70" s="18">
        <f>SUM(G66:G69)</f>
        <v>0</v>
      </c>
      <c r="I70" s="18">
        <f>SUM(I66:I69)</f>
        <v>0</v>
      </c>
      <c r="K70" s="18">
        <f>SUM(K66:K69)</f>
        <v>0</v>
      </c>
      <c r="M70" s="18">
        <f>SUM(M66:M69)</f>
        <v>0</v>
      </c>
      <c r="O70" s="18">
        <f>SUM(O66:O69)</f>
        <v>0</v>
      </c>
      <c r="Q70" s="18">
        <f>SUM(Q66:Q69)</f>
        <v>0</v>
      </c>
      <c r="S70" s="18">
        <f>SUM(S66:S69)</f>
        <v>0</v>
      </c>
      <c r="U70" s="18">
        <f>SUM(U66:U69)</f>
        <v>0</v>
      </c>
      <c r="W70" s="18">
        <f>SUM(W66:W69)</f>
        <v>0</v>
      </c>
      <c r="Y70" s="18">
        <f>SUM(Y66:Y69)</f>
        <v>0</v>
      </c>
      <c r="AA70" s="18">
        <f>SUM(AA66:AA69)</f>
        <v>0</v>
      </c>
      <c r="AC70" s="18">
        <f>SUM(AC66:AC69)</f>
        <v>0</v>
      </c>
      <c r="AE70" s="18">
        <f>SUM(AE66:AE69)</f>
        <v>0</v>
      </c>
      <c r="AF70" s="18">
        <f>SUM(AF66:AF69)</f>
        <v>0</v>
      </c>
      <c r="AG70" s="18">
        <f>SUM(AG66:AG69)</f>
        <v>0</v>
      </c>
      <c r="AI70" s="18">
        <f>SUM(AI66:AI69)</f>
        <v>0</v>
      </c>
      <c r="AK70" s="18">
        <f>SUM(AK66:AK69)</f>
        <v>0</v>
      </c>
      <c r="AM70" s="18">
        <f>SUM(AM66:AM69)</f>
        <v>0</v>
      </c>
      <c r="AO70" s="18">
        <f>SUM(AO66:AO69)</f>
        <v>0</v>
      </c>
      <c r="AQ70" s="18">
        <f>SUM(AQ66:AQ69)</f>
        <v>0</v>
      </c>
      <c r="AS70" s="18">
        <f>SUM(AS66:AS69)</f>
        <v>0</v>
      </c>
      <c r="AU70" s="18">
        <f t="shared" si="6"/>
        <v>0</v>
      </c>
    </row>
    <row r="71" spans="1:47" x14ac:dyDescent="0.2">
      <c r="A71" s="71"/>
      <c r="C71" s="14"/>
      <c r="E71" s="14"/>
      <c r="G71" s="14"/>
      <c r="I71" s="14"/>
      <c r="K71" s="14"/>
      <c r="M71" s="14"/>
      <c r="O71" s="14"/>
      <c r="Q71" s="14"/>
      <c r="S71" s="14"/>
      <c r="U71" s="14"/>
      <c r="W71" s="14"/>
      <c r="Y71" s="14"/>
      <c r="AA71" s="14"/>
      <c r="AC71" s="14"/>
      <c r="AE71" s="14"/>
      <c r="AF71" s="14"/>
      <c r="AG71" s="14"/>
      <c r="AI71" s="14"/>
      <c r="AK71" s="14"/>
      <c r="AM71" s="14"/>
      <c r="AO71" s="14"/>
      <c r="AQ71" s="14"/>
      <c r="AS71" s="14"/>
      <c r="AU71" s="14"/>
    </row>
    <row r="72" spans="1:47" x14ac:dyDescent="0.2">
      <c r="A72" s="71"/>
      <c r="B72" s="12" t="s">
        <v>16</v>
      </c>
      <c r="C72" s="14"/>
      <c r="E72" s="14"/>
      <c r="G72" s="14"/>
      <c r="I72" s="14"/>
      <c r="K72" s="14"/>
      <c r="M72" s="14"/>
      <c r="O72" s="14"/>
      <c r="Q72" s="14"/>
      <c r="S72" s="14"/>
      <c r="U72" s="14"/>
      <c r="W72" s="14"/>
      <c r="Y72" s="14"/>
      <c r="AA72" s="14"/>
      <c r="AC72" s="14"/>
      <c r="AE72" s="14"/>
      <c r="AF72" s="14"/>
      <c r="AG72" s="14"/>
      <c r="AI72" s="14"/>
      <c r="AK72" s="14"/>
      <c r="AM72" s="14"/>
      <c r="AO72" s="14"/>
      <c r="AQ72" s="14"/>
      <c r="AS72" s="14"/>
      <c r="AU72" s="14"/>
    </row>
    <row r="73" spans="1:47" x14ac:dyDescent="0.2">
      <c r="A73" s="71"/>
      <c r="B73" s="3" t="s">
        <v>196</v>
      </c>
      <c r="C73" s="14">
        <v>0</v>
      </c>
      <c r="E73" s="14">
        <v>0</v>
      </c>
      <c r="G73" s="14">
        <v>0</v>
      </c>
      <c r="I73" s="14">
        <v>0</v>
      </c>
      <c r="K73" s="14">
        <v>0</v>
      </c>
      <c r="M73" s="14">
        <v>0</v>
      </c>
      <c r="O73" s="14">
        <v>0</v>
      </c>
      <c r="Q73" s="14">
        <v>0</v>
      </c>
      <c r="S73" s="14">
        <v>0</v>
      </c>
      <c r="U73" s="14">
        <v>0</v>
      </c>
      <c r="W73" s="14">
        <v>0</v>
      </c>
      <c r="Y73" s="14">
        <v>0</v>
      </c>
      <c r="AA73" s="14">
        <v>0</v>
      </c>
      <c r="AC73" s="14">
        <v>0</v>
      </c>
      <c r="AE73" s="14">
        <v>0</v>
      </c>
      <c r="AF73" s="14">
        <v>0</v>
      </c>
      <c r="AG73" s="14">
        <v>0</v>
      </c>
      <c r="AI73" s="17">
        <f>SUM(C73:AG73)</f>
        <v>0</v>
      </c>
      <c r="AK73" s="14">
        <f t="shared" ref="AK73:AK83" si="20">SUMIF($C$9:$AH$9,"=Addition",$C73:$AH73)</f>
        <v>0</v>
      </c>
      <c r="AM73" s="14">
        <f t="shared" ref="AM73:AM83" si="21">SUMIF($C$9:$AH$9,"=Adjustment",$C73:$AH73)</f>
        <v>0</v>
      </c>
      <c r="AO73" s="14">
        <f t="shared" ref="AO73:AO83" si="22">SUMIF($C$9:$AH$9,"=Transfer",$C73:$AH73)</f>
        <v>0</v>
      </c>
      <c r="AQ73" s="14">
        <f t="shared" ref="AQ73:AQ83" si="23">SUMIF($C$9:$Z$9,"=N/A",$C73:$Z73)</f>
        <v>0</v>
      </c>
      <c r="AS73" s="14">
        <f t="shared" ref="AS73:AS83" si="24">SUM(AK73:AQ73)</f>
        <v>0</v>
      </c>
      <c r="AU73" s="14">
        <f t="shared" si="6"/>
        <v>0</v>
      </c>
    </row>
    <row r="74" spans="1:47" x14ac:dyDescent="0.2">
      <c r="A74" s="71"/>
      <c r="B74" s="3" t="s">
        <v>197</v>
      </c>
      <c r="C74" s="14">
        <v>0</v>
      </c>
      <c r="E74" s="14">
        <v>0</v>
      </c>
      <c r="G74" s="14">
        <v>0</v>
      </c>
      <c r="I74" s="14">
        <v>0</v>
      </c>
      <c r="K74" s="14">
        <v>0</v>
      </c>
      <c r="M74" s="14">
        <v>0</v>
      </c>
      <c r="O74" s="14">
        <v>0</v>
      </c>
      <c r="Q74" s="14">
        <v>0</v>
      </c>
      <c r="S74" s="14">
        <v>0</v>
      </c>
      <c r="U74" s="14">
        <v>0</v>
      </c>
      <c r="W74" s="14">
        <v>0</v>
      </c>
      <c r="Y74" s="14">
        <v>0</v>
      </c>
      <c r="AA74" s="14">
        <v>0</v>
      </c>
      <c r="AC74" s="14">
        <v>0</v>
      </c>
      <c r="AE74" s="14">
        <v>0</v>
      </c>
      <c r="AF74" s="14">
        <v>0</v>
      </c>
      <c r="AG74" s="14">
        <v>0</v>
      </c>
      <c r="AI74" s="17">
        <f t="shared" ref="AI74:AI83" si="25">SUM(C74:AG74)</f>
        <v>0</v>
      </c>
      <c r="AK74" s="14">
        <f t="shared" si="20"/>
        <v>0</v>
      </c>
      <c r="AM74" s="14">
        <f t="shared" si="21"/>
        <v>0</v>
      </c>
      <c r="AO74" s="14">
        <f t="shared" si="22"/>
        <v>0</v>
      </c>
      <c r="AQ74" s="14">
        <f t="shared" si="23"/>
        <v>0</v>
      </c>
      <c r="AS74" s="14">
        <f t="shared" si="24"/>
        <v>0</v>
      </c>
      <c r="AU74" s="14">
        <f t="shared" si="6"/>
        <v>0</v>
      </c>
    </row>
    <row r="75" spans="1:47" x14ac:dyDescent="0.2">
      <c r="A75" s="71"/>
      <c r="B75" s="3" t="s">
        <v>198</v>
      </c>
      <c r="C75" s="14">
        <v>0</v>
      </c>
      <c r="E75" s="14">
        <v>0</v>
      </c>
      <c r="G75" s="14">
        <v>0</v>
      </c>
      <c r="I75" s="14">
        <v>0</v>
      </c>
      <c r="K75" s="14">
        <v>0</v>
      </c>
      <c r="M75" s="14">
        <v>0</v>
      </c>
      <c r="O75" s="14">
        <v>0</v>
      </c>
      <c r="Q75" s="14">
        <v>0</v>
      </c>
      <c r="S75" s="14">
        <v>0</v>
      </c>
      <c r="U75" s="14">
        <v>0</v>
      </c>
      <c r="W75" s="14">
        <v>0</v>
      </c>
      <c r="Y75" s="14">
        <v>0</v>
      </c>
      <c r="AA75" s="14">
        <v>0</v>
      </c>
      <c r="AC75" s="14">
        <v>0</v>
      </c>
      <c r="AE75" s="14">
        <v>0</v>
      </c>
      <c r="AF75" s="14">
        <v>0</v>
      </c>
      <c r="AG75" s="14">
        <v>0</v>
      </c>
      <c r="AI75" s="17">
        <f t="shared" si="25"/>
        <v>0</v>
      </c>
      <c r="AK75" s="14">
        <f t="shared" si="20"/>
        <v>0</v>
      </c>
      <c r="AM75" s="14">
        <f t="shared" si="21"/>
        <v>0</v>
      </c>
      <c r="AO75" s="14">
        <f t="shared" si="22"/>
        <v>0</v>
      </c>
      <c r="AQ75" s="14">
        <f t="shared" si="23"/>
        <v>0</v>
      </c>
      <c r="AS75" s="14">
        <f t="shared" si="24"/>
        <v>0</v>
      </c>
      <c r="AU75" s="14">
        <f t="shared" si="6"/>
        <v>0</v>
      </c>
    </row>
    <row r="76" spans="1:47" x14ac:dyDescent="0.2">
      <c r="A76" s="71"/>
      <c r="B76" s="3" t="s">
        <v>199</v>
      </c>
      <c r="C76" s="14">
        <v>0</v>
      </c>
      <c r="E76" s="14">
        <v>0</v>
      </c>
      <c r="G76" s="14">
        <v>0</v>
      </c>
      <c r="I76" s="14">
        <v>0</v>
      </c>
      <c r="K76" s="14">
        <v>0</v>
      </c>
      <c r="M76" s="14">
        <v>0</v>
      </c>
      <c r="O76" s="14">
        <v>0</v>
      </c>
      <c r="Q76" s="14">
        <v>0</v>
      </c>
      <c r="S76" s="14">
        <v>0</v>
      </c>
      <c r="U76" s="14">
        <v>0</v>
      </c>
      <c r="W76" s="14">
        <v>0</v>
      </c>
      <c r="Y76" s="14">
        <v>0</v>
      </c>
      <c r="AA76" s="14">
        <v>0</v>
      </c>
      <c r="AC76" s="14">
        <v>0</v>
      </c>
      <c r="AE76" s="14">
        <v>0</v>
      </c>
      <c r="AF76" s="14">
        <v>0</v>
      </c>
      <c r="AG76" s="14">
        <v>0</v>
      </c>
      <c r="AI76" s="17">
        <f t="shared" si="25"/>
        <v>0</v>
      </c>
      <c r="AK76" s="14">
        <f t="shared" si="20"/>
        <v>0</v>
      </c>
      <c r="AM76" s="14">
        <f t="shared" si="21"/>
        <v>0</v>
      </c>
      <c r="AO76" s="14">
        <f t="shared" si="22"/>
        <v>0</v>
      </c>
      <c r="AQ76" s="14">
        <f t="shared" si="23"/>
        <v>0</v>
      </c>
      <c r="AS76" s="14">
        <f t="shared" si="24"/>
        <v>0</v>
      </c>
      <c r="AU76" s="14">
        <f t="shared" si="6"/>
        <v>0</v>
      </c>
    </row>
    <row r="77" spans="1:47" x14ac:dyDescent="0.2">
      <c r="A77" s="71"/>
      <c r="B77" s="3" t="s">
        <v>200</v>
      </c>
      <c r="C77" s="14">
        <v>0</v>
      </c>
      <c r="E77" s="14">
        <v>0</v>
      </c>
      <c r="G77" s="14">
        <v>0</v>
      </c>
      <c r="I77" s="14">
        <v>0</v>
      </c>
      <c r="K77" s="14">
        <v>0</v>
      </c>
      <c r="M77" s="14">
        <v>0</v>
      </c>
      <c r="O77" s="14">
        <v>0</v>
      </c>
      <c r="Q77" s="14">
        <v>0</v>
      </c>
      <c r="S77" s="14">
        <v>0</v>
      </c>
      <c r="U77" s="14">
        <v>0</v>
      </c>
      <c r="W77" s="14">
        <v>0</v>
      </c>
      <c r="Y77" s="14">
        <v>0</v>
      </c>
      <c r="AA77" s="14">
        <v>0</v>
      </c>
      <c r="AC77" s="14">
        <v>0</v>
      </c>
      <c r="AE77" s="14">
        <v>0</v>
      </c>
      <c r="AF77" s="14">
        <v>0</v>
      </c>
      <c r="AG77" s="14">
        <v>0</v>
      </c>
      <c r="AI77" s="17">
        <f t="shared" si="25"/>
        <v>0</v>
      </c>
      <c r="AK77" s="14">
        <f t="shared" si="20"/>
        <v>0</v>
      </c>
      <c r="AM77" s="14">
        <f t="shared" si="21"/>
        <v>0</v>
      </c>
      <c r="AO77" s="14">
        <f t="shared" si="22"/>
        <v>0</v>
      </c>
      <c r="AQ77" s="14">
        <f t="shared" si="23"/>
        <v>0</v>
      </c>
      <c r="AS77" s="14">
        <f t="shared" si="24"/>
        <v>0</v>
      </c>
      <c r="AU77" s="14">
        <f t="shared" si="6"/>
        <v>0</v>
      </c>
    </row>
    <row r="78" spans="1:47" x14ac:dyDescent="0.2">
      <c r="A78" s="71"/>
      <c r="B78" s="3" t="s">
        <v>201</v>
      </c>
      <c r="C78" s="14">
        <v>0</v>
      </c>
      <c r="E78" s="14">
        <v>0</v>
      </c>
      <c r="G78" s="14">
        <v>0</v>
      </c>
      <c r="I78" s="14">
        <v>0</v>
      </c>
      <c r="K78" s="14">
        <v>0</v>
      </c>
      <c r="M78" s="14">
        <v>0</v>
      </c>
      <c r="O78" s="14">
        <v>0</v>
      </c>
      <c r="Q78" s="14">
        <v>0</v>
      </c>
      <c r="S78" s="14">
        <v>0</v>
      </c>
      <c r="U78" s="14">
        <v>0</v>
      </c>
      <c r="W78" s="14">
        <v>0</v>
      </c>
      <c r="Y78" s="14">
        <v>0</v>
      </c>
      <c r="AA78" s="14">
        <v>0</v>
      </c>
      <c r="AC78" s="14">
        <v>0</v>
      </c>
      <c r="AE78" s="14">
        <v>0</v>
      </c>
      <c r="AF78" s="14">
        <v>0</v>
      </c>
      <c r="AG78" s="14">
        <v>0</v>
      </c>
      <c r="AI78" s="17">
        <f t="shared" si="25"/>
        <v>0</v>
      </c>
      <c r="AK78" s="14">
        <f t="shared" si="20"/>
        <v>0</v>
      </c>
      <c r="AM78" s="14">
        <f t="shared" si="21"/>
        <v>0</v>
      </c>
      <c r="AO78" s="14">
        <f t="shared" si="22"/>
        <v>0</v>
      </c>
      <c r="AQ78" s="14">
        <f t="shared" si="23"/>
        <v>0</v>
      </c>
      <c r="AS78" s="14">
        <f t="shared" si="24"/>
        <v>0</v>
      </c>
      <c r="AU78" s="14">
        <f t="shared" si="6"/>
        <v>0</v>
      </c>
    </row>
    <row r="79" spans="1:47" x14ac:dyDescent="0.2">
      <c r="A79" s="71"/>
      <c r="B79" s="3" t="s">
        <v>202</v>
      </c>
      <c r="C79" s="14">
        <v>0</v>
      </c>
      <c r="E79" s="14">
        <v>0</v>
      </c>
      <c r="G79" s="14">
        <v>0</v>
      </c>
      <c r="I79" s="14">
        <v>0</v>
      </c>
      <c r="K79" s="14">
        <v>0</v>
      </c>
      <c r="M79" s="14">
        <v>0</v>
      </c>
      <c r="O79" s="14">
        <v>0</v>
      </c>
      <c r="Q79" s="14">
        <v>0</v>
      </c>
      <c r="S79" s="14">
        <v>0</v>
      </c>
      <c r="U79" s="14">
        <v>0</v>
      </c>
      <c r="W79" s="14">
        <v>0</v>
      </c>
      <c r="Y79" s="14">
        <v>0</v>
      </c>
      <c r="AA79" s="14">
        <v>0</v>
      </c>
      <c r="AC79" s="14">
        <v>0</v>
      </c>
      <c r="AE79" s="14">
        <v>0</v>
      </c>
      <c r="AF79" s="14">
        <v>0</v>
      </c>
      <c r="AG79" s="14">
        <v>0</v>
      </c>
      <c r="AI79" s="17">
        <f t="shared" si="25"/>
        <v>0</v>
      </c>
      <c r="AK79" s="14">
        <f t="shared" si="20"/>
        <v>0</v>
      </c>
      <c r="AM79" s="14">
        <f t="shared" si="21"/>
        <v>0</v>
      </c>
      <c r="AO79" s="14">
        <f t="shared" si="22"/>
        <v>0</v>
      </c>
      <c r="AQ79" s="14">
        <f t="shared" si="23"/>
        <v>0</v>
      </c>
      <c r="AS79" s="14">
        <f t="shared" si="24"/>
        <v>0</v>
      </c>
      <c r="AU79" s="14">
        <f t="shared" si="6"/>
        <v>0</v>
      </c>
    </row>
    <row r="80" spans="1:47" x14ac:dyDescent="0.2">
      <c r="A80" s="71"/>
      <c r="B80" s="3" t="s">
        <v>203</v>
      </c>
      <c r="C80" s="14">
        <v>0</v>
      </c>
      <c r="E80" s="14">
        <v>0</v>
      </c>
      <c r="G80" s="14">
        <v>0</v>
      </c>
      <c r="I80" s="14">
        <v>0</v>
      </c>
      <c r="K80" s="14">
        <v>0</v>
      </c>
      <c r="M80" s="14">
        <v>0</v>
      </c>
      <c r="O80" s="14">
        <v>0</v>
      </c>
      <c r="Q80" s="14">
        <v>0</v>
      </c>
      <c r="S80" s="14">
        <v>0</v>
      </c>
      <c r="U80" s="14">
        <v>0</v>
      </c>
      <c r="W80" s="14">
        <v>0</v>
      </c>
      <c r="Y80" s="14">
        <v>0</v>
      </c>
      <c r="AA80" s="14">
        <v>0</v>
      </c>
      <c r="AC80" s="14">
        <v>0</v>
      </c>
      <c r="AE80" s="14">
        <v>0</v>
      </c>
      <c r="AF80" s="14">
        <v>0</v>
      </c>
      <c r="AG80" s="14">
        <v>0</v>
      </c>
      <c r="AI80" s="17">
        <f t="shared" si="25"/>
        <v>0</v>
      </c>
      <c r="AK80" s="14">
        <f t="shared" si="20"/>
        <v>0</v>
      </c>
      <c r="AM80" s="14">
        <f t="shared" si="21"/>
        <v>0</v>
      </c>
      <c r="AO80" s="14">
        <f t="shared" si="22"/>
        <v>0</v>
      </c>
      <c r="AQ80" s="14">
        <f t="shared" si="23"/>
        <v>0</v>
      </c>
      <c r="AS80" s="14">
        <f t="shared" si="24"/>
        <v>0</v>
      </c>
      <c r="AU80" s="14">
        <f t="shared" si="6"/>
        <v>0</v>
      </c>
    </row>
    <row r="81" spans="1:47" x14ac:dyDescent="0.2">
      <c r="A81" s="71"/>
      <c r="B81" s="3" t="s">
        <v>204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v>0</v>
      </c>
      <c r="S81" s="14">
        <v>0</v>
      </c>
      <c r="U81" s="14">
        <v>0</v>
      </c>
      <c r="W81" s="14">
        <v>0</v>
      </c>
      <c r="Y81" s="14">
        <v>0</v>
      </c>
      <c r="AA81" s="14">
        <v>0</v>
      </c>
      <c r="AC81" s="14">
        <v>0</v>
      </c>
      <c r="AE81" s="14">
        <v>0</v>
      </c>
      <c r="AF81" s="14">
        <v>0</v>
      </c>
      <c r="AG81" s="14">
        <v>0</v>
      </c>
      <c r="AI81" s="17">
        <f t="shared" si="25"/>
        <v>0</v>
      </c>
      <c r="AK81" s="14">
        <f t="shared" si="20"/>
        <v>0</v>
      </c>
      <c r="AM81" s="14">
        <f t="shared" si="21"/>
        <v>0</v>
      </c>
      <c r="AO81" s="14">
        <f t="shared" si="22"/>
        <v>0</v>
      </c>
      <c r="AQ81" s="14">
        <f t="shared" si="23"/>
        <v>0</v>
      </c>
      <c r="AS81" s="14">
        <f t="shared" si="24"/>
        <v>0</v>
      </c>
      <c r="AU81" s="14">
        <f t="shared" si="6"/>
        <v>0</v>
      </c>
    </row>
    <row r="82" spans="1:47" x14ac:dyDescent="0.2">
      <c r="A82" s="71"/>
      <c r="B82" s="3" t="s">
        <v>205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v>0</v>
      </c>
      <c r="S82" s="14">
        <v>0</v>
      </c>
      <c r="U82" s="14">
        <v>0</v>
      </c>
      <c r="W82" s="14">
        <v>0</v>
      </c>
      <c r="Y82" s="14">
        <v>0</v>
      </c>
      <c r="AA82" s="14">
        <v>0</v>
      </c>
      <c r="AC82" s="14">
        <v>0</v>
      </c>
      <c r="AE82" s="14">
        <v>0</v>
      </c>
      <c r="AF82" s="14">
        <v>0</v>
      </c>
      <c r="AG82" s="14">
        <v>0</v>
      </c>
      <c r="AI82" s="17">
        <f t="shared" si="25"/>
        <v>0</v>
      </c>
      <c r="AK82" s="14">
        <f t="shared" si="20"/>
        <v>0</v>
      </c>
      <c r="AM82" s="14">
        <f t="shared" si="21"/>
        <v>0</v>
      </c>
      <c r="AO82" s="14">
        <f t="shared" si="22"/>
        <v>0</v>
      </c>
      <c r="AQ82" s="14">
        <f t="shared" si="23"/>
        <v>0</v>
      </c>
      <c r="AS82" s="14">
        <f t="shared" si="24"/>
        <v>0</v>
      </c>
      <c r="AU82" s="14">
        <f t="shared" si="6"/>
        <v>0</v>
      </c>
    </row>
    <row r="83" spans="1:47" x14ac:dyDescent="0.2">
      <c r="A83" s="71"/>
      <c r="B83" s="3" t="s">
        <v>206</v>
      </c>
      <c r="C83" s="14">
        <v>0</v>
      </c>
      <c r="E83" s="14">
        <v>0</v>
      </c>
      <c r="G83" s="14">
        <v>0</v>
      </c>
      <c r="I83" s="14">
        <v>0</v>
      </c>
      <c r="K83" s="14">
        <v>0</v>
      </c>
      <c r="M83" s="14">
        <v>34623.14</v>
      </c>
      <c r="O83" s="14">
        <v>-30976.11</v>
      </c>
      <c r="Q83" s="14">
        <v>0</v>
      </c>
      <c r="S83" s="14">
        <v>0</v>
      </c>
      <c r="U83" s="14">
        <v>0</v>
      </c>
      <c r="W83" s="14">
        <v>0</v>
      </c>
      <c r="Y83" s="14">
        <v>0</v>
      </c>
      <c r="AA83" s="14">
        <v>0</v>
      </c>
      <c r="AC83" s="14">
        <v>0</v>
      </c>
      <c r="AE83" s="14">
        <v>0</v>
      </c>
      <c r="AF83" s="14">
        <v>0</v>
      </c>
      <c r="AG83" s="14">
        <v>0</v>
      </c>
      <c r="AI83" s="17">
        <f t="shared" si="25"/>
        <v>3647.0299999999988</v>
      </c>
      <c r="AK83" s="14">
        <f t="shared" si="20"/>
        <v>34623.14</v>
      </c>
      <c r="AM83" s="14">
        <f t="shared" si="21"/>
        <v>-30976.11</v>
      </c>
      <c r="AO83" s="14">
        <f t="shared" si="22"/>
        <v>0</v>
      </c>
      <c r="AQ83" s="14">
        <f t="shared" si="23"/>
        <v>0</v>
      </c>
      <c r="AS83" s="14">
        <f t="shared" si="24"/>
        <v>3647.0299999999988</v>
      </c>
      <c r="AU83" s="14">
        <f t="shared" ref="AU83:AU150" si="26">+AI83-AS83</f>
        <v>0</v>
      </c>
    </row>
    <row r="84" spans="1:47" x14ac:dyDescent="0.2">
      <c r="A84" s="71"/>
      <c r="B84" s="12" t="s">
        <v>207</v>
      </c>
      <c r="C84" s="18">
        <f>SUM(C73:C83)</f>
        <v>0</v>
      </c>
      <c r="E84" s="18">
        <f>SUM(E73:E83)</f>
        <v>0</v>
      </c>
      <c r="G84" s="18">
        <f>SUM(G73:G83)</f>
        <v>0</v>
      </c>
      <c r="I84" s="18">
        <f>SUM(I73:I83)</f>
        <v>0</v>
      </c>
      <c r="K84" s="18">
        <f>SUM(K73:K83)</f>
        <v>0</v>
      </c>
      <c r="M84" s="18">
        <f>SUM(M73:M83)</f>
        <v>34623.14</v>
      </c>
      <c r="O84" s="18">
        <f>SUM(O73:O83)</f>
        <v>-30976.11</v>
      </c>
      <c r="Q84" s="18">
        <f>SUM(Q73:Q83)</f>
        <v>0</v>
      </c>
      <c r="S84" s="18">
        <f>SUM(S73:S83)</f>
        <v>0</v>
      </c>
      <c r="U84" s="18">
        <f>SUM(U73:U83)</f>
        <v>0</v>
      </c>
      <c r="W84" s="18">
        <f>SUM(W73:W83)</f>
        <v>0</v>
      </c>
      <c r="Y84" s="18">
        <f>SUM(Y73:Y83)</f>
        <v>0</v>
      </c>
      <c r="AA84" s="18">
        <f>SUM(AA73:AA83)</f>
        <v>0</v>
      </c>
      <c r="AC84" s="18">
        <f>SUM(AC73:AC83)</f>
        <v>0</v>
      </c>
      <c r="AE84" s="18">
        <f>SUM(AE73:AE83)</f>
        <v>0</v>
      </c>
      <c r="AF84" s="18">
        <f>SUM(AF73:AF83)</f>
        <v>0</v>
      </c>
      <c r="AG84" s="18">
        <f>SUM(AG73:AG83)</f>
        <v>0</v>
      </c>
      <c r="AI84" s="18">
        <f>SUM(AI73:AI83)</f>
        <v>3647.0299999999988</v>
      </c>
      <c r="AK84" s="18">
        <f>SUM(AK73:AK83)</f>
        <v>34623.14</v>
      </c>
      <c r="AM84" s="18">
        <f>SUM(AM73:AM83)</f>
        <v>-30976.11</v>
      </c>
      <c r="AO84" s="18">
        <f>SUM(AO73:AO83)</f>
        <v>0</v>
      </c>
      <c r="AQ84" s="18">
        <f>SUM(AQ73:AQ83)</f>
        <v>0</v>
      </c>
      <c r="AS84" s="18">
        <f>SUM(AS73:AS83)</f>
        <v>3647.0299999999988</v>
      </c>
      <c r="AU84" s="18">
        <f t="shared" si="26"/>
        <v>0</v>
      </c>
    </row>
    <row r="85" spans="1:47" x14ac:dyDescent="0.2">
      <c r="A85" s="8"/>
      <c r="C85" s="14"/>
      <c r="E85" s="14"/>
      <c r="G85" s="14"/>
      <c r="I85" s="14"/>
      <c r="K85" s="14"/>
      <c r="M85" s="14"/>
      <c r="O85" s="14"/>
      <c r="Q85" s="14"/>
      <c r="S85" s="14"/>
      <c r="U85" s="14"/>
      <c r="W85" s="14"/>
      <c r="Y85" s="14"/>
      <c r="AA85" s="14"/>
      <c r="AC85" s="14"/>
      <c r="AE85" s="14"/>
      <c r="AF85" s="14"/>
      <c r="AG85" s="14"/>
      <c r="AI85" s="14"/>
      <c r="AK85" s="14"/>
      <c r="AM85" s="14"/>
      <c r="AO85" s="14"/>
      <c r="AQ85" s="14"/>
      <c r="AS85" s="14"/>
      <c r="AU85" s="14"/>
    </row>
    <row r="86" spans="1:47" x14ac:dyDescent="0.2">
      <c r="A86" s="8"/>
      <c r="B86" s="12" t="s">
        <v>17</v>
      </c>
      <c r="C86" s="14"/>
      <c r="E86" s="14"/>
      <c r="G86" s="14"/>
      <c r="I86" s="14"/>
      <c r="K86" s="14"/>
      <c r="M86" s="14"/>
      <c r="O86" s="14"/>
      <c r="Q86" s="14"/>
      <c r="S86" s="14"/>
      <c r="U86" s="14"/>
      <c r="W86" s="14"/>
      <c r="Y86" s="14"/>
      <c r="AA86" s="14"/>
      <c r="AC86" s="14"/>
      <c r="AE86" s="14"/>
      <c r="AF86" s="14"/>
      <c r="AG86" s="14"/>
      <c r="AI86" s="14"/>
      <c r="AK86" s="14"/>
      <c r="AM86" s="14"/>
      <c r="AO86" s="14"/>
      <c r="AQ86" s="14"/>
      <c r="AS86" s="14"/>
      <c r="AU86" s="14"/>
    </row>
    <row r="87" spans="1:47" x14ac:dyDescent="0.2">
      <c r="A87" s="8"/>
      <c r="B87" s="3" t="s">
        <v>208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0</v>
      </c>
      <c r="O87" s="14">
        <v>0</v>
      </c>
      <c r="Q87" s="14">
        <v>0</v>
      </c>
      <c r="S87" s="14">
        <v>0</v>
      </c>
      <c r="U87" s="14">
        <v>0</v>
      </c>
      <c r="W87" s="14">
        <v>0</v>
      </c>
      <c r="Y87" s="14">
        <v>0</v>
      </c>
      <c r="AA87" s="14">
        <v>0</v>
      </c>
      <c r="AC87" s="14">
        <v>0</v>
      </c>
      <c r="AE87" s="14">
        <v>0</v>
      </c>
      <c r="AF87" s="14">
        <v>0</v>
      </c>
      <c r="AG87" s="14">
        <v>0</v>
      </c>
      <c r="AI87" s="17">
        <f>SUM(C87:AG87)</f>
        <v>0</v>
      </c>
      <c r="AK87" s="14">
        <f t="shared" ref="AK87:AK96" si="27">SUMIF($C$9:$AH$9,"=Addition",$C87:$AH87)</f>
        <v>0</v>
      </c>
      <c r="AM87" s="14">
        <f t="shared" ref="AM87:AM98" si="28">SUMIF($C$9:$AH$9,"=Adjustment",$C87:$AH87)</f>
        <v>0</v>
      </c>
      <c r="AO87" s="14">
        <f t="shared" ref="AO87:AO98" si="29">SUMIF($C$9:$AH$9,"=Transfer",$C87:$AH87)</f>
        <v>0</v>
      </c>
      <c r="AQ87" s="14">
        <f t="shared" ref="AQ87:AQ98" si="30">SUMIF($C$9:$Z$9,"=N/A",$C87:$Z87)</f>
        <v>0</v>
      </c>
      <c r="AS87" s="14">
        <f t="shared" ref="AS87:AS98" si="31">SUM(AK87:AQ87)</f>
        <v>0</v>
      </c>
      <c r="AU87" s="14">
        <f t="shared" si="26"/>
        <v>0</v>
      </c>
    </row>
    <row r="88" spans="1:47" x14ac:dyDescent="0.2">
      <c r="A88" s="8"/>
      <c r="B88" s="3" t="s">
        <v>209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v>0</v>
      </c>
      <c r="S88" s="14">
        <v>0</v>
      </c>
      <c r="U88" s="14">
        <f>-114966.33-107003.1-22250.26</f>
        <v>-244219.69</v>
      </c>
      <c r="W88" s="14">
        <v>0</v>
      </c>
      <c r="Y88" s="14">
        <v>0</v>
      </c>
      <c r="AA88" s="14">
        <v>0</v>
      </c>
      <c r="AC88" s="14">
        <v>0</v>
      </c>
      <c r="AE88" s="14">
        <v>0</v>
      </c>
      <c r="AF88" s="14">
        <v>0</v>
      </c>
      <c r="AG88" s="14">
        <v>0</v>
      </c>
      <c r="AI88" s="17">
        <f t="shared" ref="AI88:AI96" si="32">SUM(C88:AG88)</f>
        <v>-244219.69</v>
      </c>
      <c r="AK88" s="14">
        <f t="shared" si="27"/>
        <v>0</v>
      </c>
      <c r="AM88" s="14">
        <f t="shared" si="28"/>
        <v>0</v>
      </c>
      <c r="AO88" s="14">
        <f t="shared" si="29"/>
        <v>-244219.69</v>
      </c>
      <c r="AQ88" s="14">
        <f t="shared" si="30"/>
        <v>0</v>
      </c>
      <c r="AS88" s="14">
        <f t="shared" si="31"/>
        <v>-244219.69</v>
      </c>
      <c r="AU88" s="14">
        <f t="shared" si="26"/>
        <v>0</v>
      </c>
    </row>
    <row r="89" spans="1:47" x14ac:dyDescent="0.2">
      <c r="A89" s="8"/>
      <c r="B89" s="3" t="s">
        <v>210</v>
      </c>
      <c r="C89" s="14">
        <v>0</v>
      </c>
      <c r="E89" s="14">
        <v>0</v>
      </c>
      <c r="G89" s="14">
        <v>0</v>
      </c>
      <c r="I89" s="14">
        <v>0</v>
      </c>
      <c r="K89" s="14">
        <v>0</v>
      </c>
      <c r="M89" s="14">
        <v>0</v>
      </c>
      <c r="O89" s="14">
        <v>0</v>
      </c>
      <c r="Q89" s="14">
        <v>0</v>
      </c>
      <c r="S89" s="14">
        <v>0</v>
      </c>
      <c r="U89" s="14">
        <v>0</v>
      </c>
      <c r="W89" s="14">
        <v>0</v>
      </c>
      <c r="Y89" s="14">
        <v>0</v>
      </c>
      <c r="AA89" s="14">
        <v>0</v>
      </c>
      <c r="AC89" s="14">
        <v>0</v>
      </c>
      <c r="AE89" s="14">
        <v>0</v>
      </c>
      <c r="AF89" s="14">
        <v>0</v>
      </c>
      <c r="AG89" s="14">
        <v>0</v>
      </c>
      <c r="AI89" s="17">
        <f t="shared" si="32"/>
        <v>0</v>
      </c>
      <c r="AK89" s="14">
        <f t="shared" si="27"/>
        <v>0</v>
      </c>
      <c r="AM89" s="14">
        <f t="shared" si="28"/>
        <v>0</v>
      </c>
      <c r="AO89" s="14">
        <f t="shared" si="29"/>
        <v>0</v>
      </c>
      <c r="AQ89" s="14">
        <f t="shared" si="30"/>
        <v>0</v>
      </c>
      <c r="AS89" s="14">
        <f t="shared" si="31"/>
        <v>0</v>
      </c>
      <c r="AU89" s="14">
        <f t="shared" si="26"/>
        <v>0</v>
      </c>
    </row>
    <row r="90" spans="1:47" x14ac:dyDescent="0.2">
      <c r="A90" s="8"/>
      <c r="B90" s="3" t="s">
        <v>211</v>
      </c>
      <c r="C90" s="14">
        <v>0</v>
      </c>
      <c r="E90" s="14">
        <v>0</v>
      </c>
      <c r="G90" s="14">
        <v>0</v>
      </c>
      <c r="I90" s="14">
        <v>0</v>
      </c>
      <c r="K90" s="14">
        <v>0</v>
      </c>
      <c r="M90" s="14">
        <f>-M88</f>
        <v>0</v>
      </c>
      <c r="O90" s="14">
        <v>0</v>
      </c>
      <c r="Q90" s="14">
        <v>0</v>
      </c>
      <c r="S90" s="14">
        <v>0</v>
      </c>
      <c r="U90" s="14">
        <v>0</v>
      </c>
      <c r="W90" s="14">
        <v>0</v>
      </c>
      <c r="Y90" s="14">
        <v>0</v>
      </c>
      <c r="AA90" s="14">
        <v>0</v>
      </c>
      <c r="AC90" s="14">
        <v>0</v>
      </c>
      <c r="AE90" s="14">
        <v>0</v>
      </c>
      <c r="AF90" s="14">
        <v>0</v>
      </c>
      <c r="AG90" s="14">
        <v>0</v>
      </c>
      <c r="AI90" s="17">
        <f t="shared" si="32"/>
        <v>0</v>
      </c>
      <c r="AK90" s="14">
        <f t="shared" si="27"/>
        <v>0</v>
      </c>
      <c r="AM90" s="14">
        <f t="shared" si="28"/>
        <v>0</v>
      </c>
      <c r="AO90" s="14">
        <f t="shared" si="29"/>
        <v>0</v>
      </c>
      <c r="AQ90" s="14">
        <f t="shared" si="30"/>
        <v>0</v>
      </c>
      <c r="AS90" s="14">
        <f t="shared" si="31"/>
        <v>0</v>
      </c>
      <c r="AU90" s="14">
        <f t="shared" si="26"/>
        <v>0</v>
      </c>
    </row>
    <row r="91" spans="1:47" x14ac:dyDescent="0.2">
      <c r="A91" s="8"/>
      <c r="B91" s="3" t="s">
        <v>212</v>
      </c>
      <c r="C91" s="14">
        <v>0</v>
      </c>
      <c r="E91" s="14">
        <v>0</v>
      </c>
      <c r="G91" s="14">
        <v>0</v>
      </c>
      <c r="I91" s="14">
        <v>0</v>
      </c>
      <c r="K91" s="14">
        <v>0</v>
      </c>
      <c r="M91" s="14">
        <v>0</v>
      </c>
      <c r="O91" s="14">
        <v>0</v>
      </c>
      <c r="Q91" s="14">
        <v>0</v>
      </c>
      <c r="S91" s="14">
        <v>0</v>
      </c>
      <c r="U91" s="14">
        <v>0</v>
      </c>
      <c r="W91" s="14">
        <v>0</v>
      </c>
      <c r="Y91" s="14">
        <v>0</v>
      </c>
      <c r="AA91" s="14">
        <v>0</v>
      </c>
      <c r="AC91" s="14">
        <v>0</v>
      </c>
      <c r="AE91" s="14">
        <v>0</v>
      </c>
      <c r="AF91" s="14">
        <v>0</v>
      </c>
      <c r="AG91" s="14">
        <v>0</v>
      </c>
      <c r="AI91" s="17">
        <f t="shared" si="32"/>
        <v>0</v>
      </c>
      <c r="AK91" s="14">
        <f t="shared" si="27"/>
        <v>0</v>
      </c>
      <c r="AM91" s="14">
        <f t="shared" si="28"/>
        <v>0</v>
      </c>
      <c r="AO91" s="14">
        <f t="shared" si="29"/>
        <v>0</v>
      </c>
      <c r="AQ91" s="14">
        <f t="shared" si="30"/>
        <v>0</v>
      </c>
      <c r="AS91" s="14">
        <f t="shared" si="31"/>
        <v>0</v>
      </c>
      <c r="AU91" s="14">
        <f t="shared" si="26"/>
        <v>0</v>
      </c>
    </row>
    <row r="92" spans="1:47" x14ac:dyDescent="0.2">
      <c r="A92" s="8"/>
      <c r="B92" s="3" t="s">
        <v>213</v>
      </c>
      <c r="C92" s="14">
        <v>0</v>
      </c>
      <c r="E92" s="14">
        <v>0</v>
      </c>
      <c r="G92" s="14">
        <v>0</v>
      </c>
      <c r="I92" s="14">
        <v>0</v>
      </c>
      <c r="K92" s="14">
        <v>0</v>
      </c>
      <c r="M92" s="14">
        <v>0</v>
      </c>
      <c r="O92" s="14">
        <v>0</v>
      </c>
      <c r="Q92" s="14">
        <v>0</v>
      </c>
      <c r="S92" s="14">
        <v>0</v>
      </c>
      <c r="U92" s="14">
        <f>114966.33+107003.1</f>
        <v>221969.43</v>
      </c>
      <c r="W92" s="14">
        <v>0</v>
      </c>
      <c r="Y92" s="14">
        <v>0</v>
      </c>
      <c r="AA92" s="14">
        <v>0</v>
      </c>
      <c r="AC92" s="14">
        <v>0</v>
      </c>
      <c r="AE92" s="14">
        <v>0</v>
      </c>
      <c r="AF92" s="14">
        <v>0</v>
      </c>
      <c r="AG92" s="14">
        <v>0</v>
      </c>
      <c r="AI92" s="17">
        <f t="shared" si="32"/>
        <v>221969.43</v>
      </c>
      <c r="AK92" s="14">
        <f t="shared" si="27"/>
        <v>0</v>
      </c>
      <c r="AM92" s="14">
        <f t="shared" si="28"/>
        <v>0</v>
      </c>
      <c r="AO92" s="14">
        <f t="shared" si="29"/>
        <v>221969.43</v>
      </c>
      <c r="AQ92" s="14">
        <f t="shared" si="30"/>
        <v>0</v>
      </c>
      <c r="AS92" s="14">
        <f t="shared" si="31"/>
        <v>221969.43</v>
      </c>
      <c r="AU92" s="14">
        <f t="shared" si="26"/>
        <v>0</v>
      </c>
    </row>
    <row r="93" spans="1:47" x14ac:dyDescent="0.2">
      <c r="A93" s="8"/>
      <c r="B93" s="3" t="s">
        <v>214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v>0</v>
      </c>
      <c r="S93" s="14">
        <v>0</v>
      </c>
      <c r="U93" s="14">
        <v>0</v>
      </c>
      <c r="W93" s="14">
        <v>0</v>
      </c>
      <c r="Y93" s="14">
        <v>0</v>
      </c>
      <c r="AA93" s="14">
        <v>0</v>
      </c>
      <c r="AC93" s="14">
        <v>0</v>
      </c>
      <c r="AE93" s="14">
        <v>0</v>
      </c>
      <c r="AF93" s="14">
        <v>0</v>
      </c>
      <c r="AG93" s="14">
        <v>0</v>
      </c>
      <c r="AI93" s="17">
        <f t="shared" si="32"/>
        <v>0</v>
      </c>
      <c r="AK93" s="14">
        <f t="shared" si="27"/>
        <v>0</v>
      </c>
      <c r="AM93" s="14">
        <f t="shared" si="28"/>
        <v>0</v>
      </c>
      <c r="AO93" s="14">
        <f t="shared" si="29"/>
        <v>0</v>
      </c>
      <c r="AQ93" s="14">
        <f t="shared" si="30"/>
        <v>0</v>
      </c>
      <c r="AS93" s="14">
        <f t="shared" si="31"/>
        <v>0</v>
      </c>
      <c r="AU93" s="14">
        <f t="shared" si="26"/>
        <v>0</v>
      </c>
    </row>
    <row r="94" spans="1:47" x14ac:dyDescent="0.2">
      <c r="A94" s="8"/>
      <c r="B94" s="3" t="s">
        <v>215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v>0</v>
      </c>
      <c r="S94" s="14">
        <v>0</v>
      </c>
      <c r="U94" s="14">
        <v>0</v>
      </c>
      <c r="W94" s="14">
        <v>0</v>
      </c>
      <c r="Y94" s="14">
        <v>0</v>
      </c>
      <c r="AA94" s="14">
        <v>0</v>
      </c>
      <c r="AC94" s="14">
        <v>0</v>
      </c>
      <c r="AE94" s="14">
        <v>0</v>
      </c>
      <c r="AF94" s="14">
        <v>0</v>
      </c>
      <c r="AG94" s="14">
        <v>0</v>
      </c>
      <c r="AI94" s="17">
        <f t="shared" si="32"/>
        <v>0</v>
      </c>
      <c r="AK94" s="14">
        <f t="shared" si="27"/>
        <v>0</v>
      </c>
      <c r="AM94" s="14">
        <f t="shared" si="28"/>
        <v>0</v>
      </c>
      <c r="AO94" s="14">
        <f t="shared" si="29"/>
        <v>0</v>
      </c>
      <c r="AQ94" s="14">
        <f t="shared" si="30"/>
        <v>0</v>
      </c>
      <c r="AS94" s="14">
        <f t="shared" si="31"/>
        <v>0</v>
      </c>
      <c r="AU94" s="14">
        <f t="shared" si="26"/>
        <v>0</v>
      </c>
    </row>
    <row r="95" spans="1:47" x14ac:dyDescent="0.2">
      <c r="A95" s="8"/>
      <c r="B95" s="3" t="s">
        <v>216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0</v>
      </c>
      <c r="Q95" s="14">
        <v>0</v>
      </c>
      <c r="S95" s="14">
        <v>0</v>
      </c>
      <c r="U95" s="14">
        <v>0</v>
      </c>
      <c r="W95" s="14">
        <v>0</v>
      </c>
      <c r="Y95" s="14">
        <v>0</v>
      </c>
      <c r="AA95" s="14">
        <v>0</v>
      </c>
      <c r="AC95" s="14">
        <v>0</v>
      </c>
      <c r="AE95" s="14">
        <v>0</v>
      </c>
      <c r="AF95" s="14">
        <v>0</v>
      </c>
      <c r="AG95" s="14">
        <v>0</v>
      </c>
      <c r="AI95" s="17">
        <f t="shared" si="32"/>
        <v>0</v>
      </c>
      <c r="AK95" s="14">
        <f t="shared" si="27"/>
        <v>0</v>
      </c>
      <c r="AM95" s="14">
        <f t="shared" si="28"/>
        <v>0</v>
      </c>
      <c r="AO95" s="14">
        <f t="shared" si="29"/>
        <v>0</v>
      </c>
      <c r="AQ95" s="14">
        <f t="shared" si="30"/>
        <v>0</v>
      </c>
      <c r="AS95" s="14">
        <f t="shared" si="31"/>
        <v>0</v>
      </c>
      <c r="AU95" s="14">
        <f t="shared" si="26"/>
        <v>0</v>
      </c>
    </row>
    <row r="96" spans="1:47" x14ac:dyDescent="0.2">
      <c r="A96" s="8"/>
      <c r="B96" s="3" t="s">
        <v>217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v>0</v>
      </c>
      <c r="S96" s="14">
        <v>0</v>
      </c>
      <c r="U96" s="14">
        <v>22250.26</v>
      </c>
      <c r="W96" s="14">
        <v>0</v>
      </c>
      <c r="Y96" s="14">
        <v>0</v>
      </c>
      <c r="AA96" s="14">
        <v>0</v>
      </c>
      <c r="AC96" s="14">
        <v>0</v>
      </c>
      <c r="AE96" s="14">
        <v>0</v>
      </c>
      <c r="AF96" s="14">
        <v>0</v>
      </c>
      <c r="AG96" s="14">
        <v>0</v>
      </c>
      <c r="AI96" s="17">
        <f t="shared" si="32"/>
        <v>22250.26</v>
      </c>
      <c r="AK96" s="14">
        <f t="shared" si="27"/>
        <v>0</v>
      </c>
      <c r="AM96" s="14">
        <f t="shared" si="28"/>
        <v>0</v>
      </c>
      <c r="AO96" s="14">
        <f t="shared" si="29"/>
        <v>22250.26</v>
      </c>
      <c r="AQ96" s="14">
        <f t="shared" si="30"/>
        <v>0</v>
      </c>
      <c r="AS96" s="14">
        <f t="shared" si="31"/>
        <v>22250.26</v>
      </c>
      <c r="AU96" s="14">
        <f t="shared" si="26"/>
        <v>0</v>
      </c>
    </row>
    <row r="97" spans="1:47" x14ac:dyDescent="0.2">
      <c r="A97" s="8"/>
      <c r="B97" s="3" t="s">
        <v>218</v>
      </c>
      <c r="C97" s="14">
        <v>0</v>
      </c>
      <c r="E97" s="14">
        <v>0</v>
      </c>
      <c r="G97" s="14">
        <v>0</v>
      </c>
      <c r="I97" s="14">
        <v>0</v>
      </c>
      <c r="K97" s="14">
        <v>0</v>
      </c>
      <c r="M97" s="14">
        <v>245078.44</v>
      </c>
      <c r="O97" s="14">
        <v>-88707.29</v>
      </c>
      <c r="Q97" s="14">
        <v>338702.25</v>
      </c>
      <c r="S97" s="14">
        <v>0</v>
      </c>
      <c r="U97" s="14"/>
      <c r="W97" s="14">
        <v>5499138.3899999997</v>
      </c>
      <c r="Y97" s="14">
        <v>0</v>
      </c>
      <c r="AA97" s="14">
        <v>0</v>
      </c>
      <c r="AC97" s="14">
        <v>1493992.83</v>
      </c>
      <c r="AE97" s="14">
        <v>0</v>
      </c>
      <c r="AF97" s="14">
        <v>0</v>
      </c>
      <c r="AG97" s="14">
        <v>0</v>
      </c>
      <c r="AI97" s="17">
        <f>SUM(C97:AG97)</f>
        <v>7488204.6200000001</v>
      </c>
      <c r="AK97" s="14">
        <f>SUMIF($C$9:$AH$9,"=Addition",$C97:$AH97)</f>
        <v>7238209.6600000001</v>
      </c>
      <c r="AM97" s="14">
        <f>SUMIF($C$9:$AH$9,"=Adjustment",$C97:$AH97)</f>
        <v>-88707.29</v>
      </c>
      <c r="AO97" s="14">
        <f>SUMIF($C$9:$AH$9,"=Transfer",$C97:$AH97)</f>
        <v>338702.25</v>
      </c>
      <c r="AQ97" s="14">
        <f t="shared" si="30"/>
        <v>0</v>
      </c>
      <c r="AS97" s="14">
        <f>SUM(AK97:AQ97)</f>
        <v>7488204.6200000001</v>
      </c>
      <c r="AU97" s="14">
        <f t="shared" si="26"/>
        <v>0</v>
      </c>
    </row>
    <row r="98" spans="1:47" x14ac:dyDescent="0.2">
      <c r="A98" s="8"/>
      <c r="B98" s="3" t="s">
        <v>219</v>
      </c>
      <c r="C98" s="14">
        <v>0</v>
      </c>
      <c r="E98" s="14">
        <v>0</v>
      </c>
      <c r="G98" s="14">
        <v>0</v>
      </c>
      <c r="I98" s="14">
        <v>0</v>
      </c>
      <c r="K98" s="14">
        <v>0</v>
      </c>
      <c r="M98" s="14">
        <v>2464995.7999999998</v>
      </c>
      <c r="O98" s="14">
        <v>-59091287.229999997</v>
      </c>
      <c r="Q98" s="14">
        <v>-338702.25</v>
      </c>
      <c r="S98" s="14">
        <v>0</v>
      </c>
      <c r="U98" s="14">
        <v>0</v>
      </c>
      <c r="W98" s="14">
        <v>0</v>
      </c>
      <c r="Y98" s="14">
        <v>0</v>
      </c>
      <c r="AA98" s="14">
        <v>0</v>
      </c>
      <c r="AC98" s="14">
        <v>5386617.4900000002</v>
      </c>
      <c r="AE98" s="14">
        <v>-1849845.35</v>
      </c>
      <c r="AF98" s="14">
        <v>0</v>
      </c>
      <c r="AG98" s="14">
        <v>0</v>
      </c>
      <c r="AI98" s="17">
        <f>SUM(C98:AG98)</f>
        <v>-53428221.539999999</v>
      </c>
      <c r="AK98" s="14">
        <f>SUMIF($C$9:$AH$9,"=Addition",$C98:$AH98)</f>
        <v>7851613.29</v>
      </c>
      <c r="AM98" s="14">
        <f t="shared" si="28"/>
        <v>-60941132.579999998</v>
      </c>
      <c r="AO98" s="14">
        <f t="shared" si="29"/>
        <v>-338702.25</v>
      </c>
      <c r="AQ98" s="14">
        <f t="shared" si="30"/>
        <v>0</v>
      </c>
      <c r="AS98" s="14">
        <f t="shared" si="31"/>
        <v>-53428221.539999999</v>
      </c>
      <c r="AU98" s="14"/>
    </row>
    <row r="99" spans="1:47" x14ac:dyDescent="0.2">
      <c r="A99" s="8"/>
      <c r="B99" s="12" t="s">
        <v>220</v>
      </c>
      <c r="C99" s="18">
        <f>SUM(C87:C98)</f>
        <v>0</v>
      </c>
      <c r="E99" s="18">
        <f>SUM(E87:E98)</f>
        <v>0</v>
      </c>
      <c r="G99" s="18">
        <f>SUM(G87:G98)</f>
        <v>0</v>
      </c>
      <c r="I99" s="18">
        <f>SUM(I87:I98)</f>
        <v>0</v>
      </c>
      <c r="K99" s="18">
        <f>SUM(K87:K98)</f>
        <v>0</v>
      </c>
      <c r="M99" s="18">
        <f>SUM(M87:M98)</f>
        <v>2710074.2399999998</v>
      </c>
      <c r="O99" s="18">
        <f>SUM(O87:O98)</f>
        <v>-59179994.519999996</v>
      </c>
      <c r="Q99" s="18">
        <f>SUM(Q87:Q98)</f>
        <v>0</v>
      </c>
      <c r="S99" s="18">
        <f>SUM(S87:S98)</f>
        <v>0</v>
      </c>
      <c r="U99" s="18">
        <f>SUM(U87:U98)</f>
        <v>-1.0913936421275139E-11</v>
      </c>
      <c r="W99" s="18">
        <f>SUM(W87:W98)</f>
        <v>5499138.3899999997</v>
      </c>
      <c r="Y99" s="18">
        <f>SUM(Y87:Y98)</f>
        <v>0</v>
      </c>
      <c r="AA99" s="18">
        <f>SUM(AA87:AA98)</f>
        <v>0</v>
      </c>
      <c r="AC99" s="18">
        <f>SUM(AC87:AC98)</f>
        <v>6880610.3200000003</v>
      </c>
      <c r="AE99" s="18">
        <f>SUM(AE87:AE98)</f>
        <v>-1849845.35</v>
      </c>
      <c r="AF99" s="18">
        <f>SUM(AF87:AF98)</f>
        <v>0</v>
      </c>
      <c r="AG99" s="18">
        <f>SUM(AG87:AG98)</f>
        <v>0</v>
      </c>
      <c r="AI99" s="18">
        <f>SUM(AI87:AI98)</f>
        <v>-45940016.920000002</v>
      </c>
      <c r="AK99" s="18">
        <f>SUM(AK87:AK98)</f>
        <v>15089822.949999999</v>
      </c>
      <c r="AM99" s="18">
        <f>SUM(AM87:AM98)</f>
        <v>-61029839.869999997</v>
      </c>
      <c r="AO99" s="18">
        <f>SUM(AO87:AO98)</f>
        <v>0</v>
      </c>
      <c r="AQ99" s="18">
        <f>SUM(AQ87:AQ98)</f>
        <v>0</v>
      </c>
      <c r="AS99" s="18">
        <f>SUM(AS87:AS98)</f>
        <v>-45940016.920000002</v>
      </c>
      <c r="AU99" s="18">
        <f t="shared" si="26"/>
        <v>0</v>
      </c>
    </row>
    <row r="100" spans="1:47" x14ac:dyDescent="0.2">
      <c r="A100" s="8"/>
      <c r="C100" s="14"/>
      <c r="E100" s="14"/>
      <c r="G100" s="14"/>
      <c r="I100" s="14"/>
      <c r="K100" s="14"/>
      <c r="M100" s="14"/>
      <c r="O100" s="14"/>
      <c r="Q100" s="14"/>
      <c r="S100" s="14"/>
      <c r="U100" s="14"/>
      <c r="W100" s="14"/>
      <c r="Y100" s="14"/>
      <c r="AA100" s="14"/>
      <c r="AC100" s="14"/>
      <c r="AE100" s="14"/>
      <c r="AF100" s="14"/>
      <c r="AG100" s="14"/>
      <c r="AI100" s="14"/>
      <c r="AK100" s="14"/>
      <c r="AM100" s="14"/>
      <c r="AO100" s="14"/>
      <c r="AQ100" s="14"/>
      <c r="AS100" s="14"/>
      <c r="AU100" s="14"/>
    </row>
    <row r="101" spans="1:47" x14ac:dyDescent="0.2">
      <c r="A101" s="8"/>
      <c r="B101" s="12" t="s">
        <v>18</v>
      </c>
      <c r="C101" s="14"/>
      <c r="E101" s="14"/>
      <c r="G101" s="14"/>
      <c r="I101" s="14"/>
      <c r="K101" s="14"/>
      <c r="M101" s="14"/>
      <c r="O101" s="14"/>
      <c r="Q101" s="14"/>
      <c r="S101" s="14"/>
      <c r="U101" s="14"/>
      <c r="W101" s="14"/>
      <c r="Y101" s="14"/>
      <c r="AA101" s="14"/>
      <c r="AC101" s="14"/>
      <c r="AE101" s="14"/>
      <c r="AF101" s="14"/>
      <c r="AG101" s="14"/>
      <c r="AI101" s="14"/>
      <c r="AK101" s="14"/>
      <c r="AM101" s="14"/>
      <c r="AO101" s="14"/>
      <c r="AQ101" s="14"/>
      <c r="AS101" s="14"/>
      <c r="AU101" s="14"/>
    </row>
    <row r="102" spans="1:47" x14ac:dyDescent="0.2">
      <c r="A102" s="8"/>
      <c r="B102" s="3" t="s">
        <v>221</v>
      </c>
      <c r="C102" s="14">
        <v>0</v>
      </c>
      <c r="E102" s="14">
        <f>-1732030.19+1732030.19</f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v>0</v>
      </c>
      <c r="S102" s="14">
        <v>0</v>
      </c>
      <c r="U102" s="14">
        <v>0</v>
      </c>
      <c r="W102" s="14">
        <v>0</v>
      </c>
      <c r="Y102" s="14">
        <v>0</v>
      </c>
      <c r="AA102" s="14">
        <v>0</v>
      </c>
      <c r="AC102" s="14">
        <v>0</v>
      </c>
      <c r="AE102" s="14">
        <v>0</v>
      </c>
      <c r="AF102" s="14">
        <v>0</v>
      </c>
      <c r="AG102" s="14">
        <v>0</v>
      </c>
      <c r="AI102" s="17">
        <f>SUM(C102:AG102)</f>
        <v>0</v>
      </c>
      <c r="AK102" s="14">
        <f t="shared" ref="AK102:AK115" si="33">SUMIF($C$9:$AH$9,"=Addition",$C102:$AH102)</f>
        <v>0</v>
      </c>
      <c r="AM102" s="14">
        <f t="shared" ref="AM102:AM115" si="34">SUMIF($C$9:$AH$9,"=Adjustment",$C102:$AH102)</f>
        <v>0</v>
      </c>
      <c r="AO102" s="14">
        <f t="shared" ref="AO102:AO115" si="35">SUMIF($C$9:$AH$9,"=Transfer",$C102:$AH102)</f>
        <v>0</v>
      </c>
      <c r="AQ102" s="14">
        <f t="shared" ref="AQ102:AQ115" si="36">SUMIF($C$9:$Z$9,"=N/A",$C102:$Z102)</f>
        <v>0</v>
      </c>
      <c r="AS102" s="14">
        <f t="shared" ref="AS102:AS115" si="37">SUM(AK102:AQ102)</f>
        <v>0</v>
      </c>
      <c r="AU102" s="14">
        <f t="shared" si="26"/>
        <v>0</v>
      </c>
    </row>
    <row r="103" spans="1:47" x14ac:dyDescent="0.2">
      <c r="A103" s="8"/>
      <c r="B103" s="3" t="s">
        <v>222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v>0</v>
      </c>
      <c r="S103" s="14">
        <v>0</v>
      </c>
      <c r="U103" s="14">
        <v>0</v>
      </c>
      <c r="W103" s="14">
        <v>0</v>
      </c>
      <c r="Y103" s="14">
        <v>0</v>
      </c>
      <c r="AA103" s="14">
        <v>0</v>
      </c>
      <c r="AC103" s="14">
        <v>0</v>
      </c>
      <c r="AE103" s="14">
        <v>0</v>
      </c>
      <c r="AF103" s="14">
        <v>0</v>
      </c>
      <c r="AG103" s="14">
        <v>0</v>
      </c>
      <c r="AI103" s="17">
        <f t="shared" ref="AI103:AI115" si="38">SUM(C103:AG103)</f>
        <v>0</v>
      </c>
      <c r="AK103" s="14">
        <f t="shared" si="33"/>
        <v>0</v>
      </c>
      <c r="AM103" s="14">
        <f t="shared" si="34"/>
        <v>0</v>
      </c>
      <c r="AO103" s="14">
        <f t="shared" si="35"/>
        <v>0</v>
      </c>
      <c r="AQ103" s="14">
        <f t="shared" si="36"/>
        <v>0</v>
      </c>
      <c r="AS103" s="14">
        <f t="shared" si="37"/>
        <v>0</v>
      </c>
      <c r="AU103" s="14">
        <f t="shared" si="26"/>
        <v>0</v>
      </c>
    </row>
    <row r="104" spans="1:47" x14ac:dyDescent="0.2">
      <c r="A104" s="8"/>
      <c r="B104" s="3" t="s">
        <v>223</v>
      </c>
      <c r="C104" s="14">
        <v>0</v>
      </c>
      <c r="E104" s="14">
        <v>0</v>
      </c>
      <c r="G104" s="14">
        <v>0</v>
      </c>
      <c r="I104" s="14">
        <v>0</v>
      </c>
      <c r="K104" s="14">
        <v>0</v>
      </c>
      <c r="M104" s="14">
        <v>0</v>
      </c>
      <c r="O104" s="14">
        <v>0</v>
      </c>
      <c r="Q104" s="14">
        <v>0</v>
      </c>
      <c r="S104" s="14">
        <v>0</v>
      </c>
      <c r="U104" s="14">
        <v>0</v>
      </c>
      <c r="W104" s="14">
        <v>0</v>
      </c>
      <c r="Y104" s="14">
        <f>-13161.41+89425.25</f>
        <v>76263.839999999997</v>
      </c>
      <c r="AA104" s="14">
        <v>71337.33</v>
      </c>
      <c r="AC104" s="14">
        <v>0</v>
      </c>
      <c r="AE104" s="14">
        <v>0</v>
      </c>
      <c r="AF104" s="14">
        <v>0</v>
      </c>
      <c r="AG104" s="14">
        <v>0</v>
      </c>
      <c r="AI104" s="17">
        <f t="shared" si="38"/>
        <v>147601.16999999998</v>
      </c>
      <c r="AK104" s="14">
        <f t="shared" si="33"/>
        <v>0</v>
      </c>
      <c r="AM104" s="14">
        <f t="shared" si="34"/>
        <v>0</v>
      </c>
      <c r="AO104" s="14">
        <f t="shared" si="35"/>
        <v>147601.16999999998</v>
      </c>
      <c r="AQ104" s="14">
        <f t="shared" si="36"/>
        <v>0</v>
      </c>
      <c r="AS104" s="14">
        <f t="shared" si="37"/>
        <v>147601.16999999998</v>
      </c>
      <c r="AU104" s="14">
        <f t="shared" si="26"/>
        <v>0</v>
      </c>
    </row>
    <row r="105" spans="1:47" x14ac:dyDescent="0.2">
      <c r="A105" s="8"/>
      <c r="B105" s="3" t="s">
        <v>224</v>
      </c>
      <c r="C105" s="14">
        <v>0</v>
      </c>
      <c r="E105" s="14">
        <v>0</v>
      </c>
      <c r="G105" s="14">
        <v>0</v>
      </c>
      <c r="I105" s="14">
        <v>0</v>
      </c>
      <c r="K105" s="14">
        <v>0</v>
      </c>
      <c r="M105" s="14">
        <v>0</v>
      </c>
      <c r="O105" s="14">
        <v>0</v>
      </c>
      <c r="Q105" s="14">
        <v>0</v>
      </c>
      <c r="S105" s="14">
        <v>0</v>
      </c>
      <c r="U105" s="14">
        <v>0</v>
      </c>
      <c r="W105" s="14">
        <v>0</v>
      </c>
      <c r="Y105" s="14">
        <v>-77830.59</v>
      </c>
      <c r="AA105" s="14">
        <v>0</v>
      </c>
      <c r="AC105" s="14">
        <v>0</v>
      </c>
      <c r="AE105" s="14">
        <v>0</v>
      </c>
      <c r="AF105" s="14">
        <v>0</v>
      </c>
      <c r="AG105" s="14">
        <v>0</v>
      </c>
      <c r="AI105" s="17">
        <f t="shared" si="38"/>
        <v>-77830.59</v>
      </c>
      <c r="AK105" s="14">
        <f t="shared" si="33"/>
        <v>0</v>
      </c>
      <c r="AM105" s="14">
        <f t="shared" si="34"/>
        <v>0</v>
      </c>
      <c r="AO105" s="14">
        <f t="shared" si="35"/>
        <v>-77830.59</v>
      </c>
      <c r="AQ105" s="14">
        <f t="shared" si="36"/>
        <v>0</v>
      </c>
      <c r="AS105" s="14">
        <f t="shared" si="37"/>
        <v>-77830.59</v>
      </c>
      <c r="AU105" s="14">
        <f t="shared" si="26"/>
        <v>0</v>
      </c>
    </row>
    <row r="106" spans="1:47" x14ac:dyDescent="0.2">
      <c r="A106" s="8"/>
      <c r="B106" s="3" t="s">
        <v>225</v>
      </c>
      <c r="C106" s="14">
        <v>0</v>
      </c>
      <c r="E106" s="14">
        <v>59393.04</v>
      </c>
      <c r="G106" s="14">
        <v>0</v>
      </c>
      <c r="I106" s="14">
        <v>0</v>
      </c>
      <c r="K106" s="14">
        <v>0</v>
      </c>
      <c r="M106" s="14">
        <v>0</v>
      </c>
      <c r="O106" s="14">
        <v>0</v>
      </c>
      <c r="Q106" s="14">
        <v>0</v>
      </c>
      <c r="S106" s="14">
        <v>0</v>
      </c>
      <c r="U106" s="14">
        <v>412.87</v>
      </c>
      <c r="W106" s="14">
        <v>0</v>
      </c>
      <c r="Y106" s="14">
        <v>616878.88</v>
      </c>
      <c r="AA106" s="14">
        <v>0</v>
      </c>
      <c r="AC106" s="14">
        <v>0</v>
      </c>
      <c r="AE106" s="14">
        <v>0</v>
      </c>
      <c r="AF106" s="14">
        <v>0</v>
      </c>
      <c r="AG106" s="14">
        <v>0</v>
      </c>
      <c r="AI106" s="17">
        <f t="shared" si="38"/>
        <v>676684.79</v>
      </c>
      <c r="AK106" s="14">
        <f t="shared" si="33"/>
        <v>0</v>
      </c>
      <c r="AM106" s="14">
        <f t="shared" si="34"/>
        <v>0</v>
      </c>
      <c r="AO106" s="14">
        <f t="shared" si="35"/>
        <v>676684.79</v>
      </c>
      <c r="AQ106" s="14">
        <f t="shared" si="36"/>
        <v>0</v>
      </c>
      <c r="AS106" s="14">
        <f t="shared" si="37"/>
        <v>676684.79</v>
      </c>
      <c r="AU106" s="14">
        <f t="shared" si="26"/>
        <v>0</v>
      </c>
    </row>
    <row r="107" spans="1:47" x14ac:dyDescent="0.2">
      <c r="A107" s="8"/>
      <c r="B107" s="3" t="s">
        <v>226</v>
      </c>
      <c r="C107" s="14">
        <v>0</v>
      </c>
      <c r="E107" s="14">
        <v>0</v>
      </c>
      <c r="G107" s="14">
        <v>0</v>
      </c>
      <c r="I107" s="14">
        <v>0</v>
      </c>
      <c r="K107" s="14">
        <v>0</v>
      </c>
      <c r="M107" s="14">
        <v>0</v>
      </c>
      <c r="O107" s="14">
        <v>0</v>
      </c>
      <c r="Q107" s="14">
        <v>0</v>
      </c>
      <c r="S107" s="14">
        <v>0</v>
      </c>
      <c r="U107" s="14">
        <v>0</v>
      </c>
      <c r="W107" s="14">
        <v>0</v>
      </c>
      <c r="Y107" s="14">
        <v>0</v>
      </c>
      <c r="AA107" s="14">
        <v>0</v>
      </c>
      <c r="AC107" s="14">
        <v>0</v>
      </c>
      <c r="AE107" s="14">
        <v>0</v>
      </c>
      <c r="AF107" s="14">
        <v>0</v>
      </c>
      <c r="AG107" s="14">
        <v>0</v>
      </c>
      <c r="AI107" s="17">
        <f t="shared" si="38"/>
        <v>0</v>
      </c>
      <c r="AK107" s="14">
        <f t="shared" si="33"/>
        <v>0</v>
      </c>
      <c r="AM107" s="14">
        <f t="shared" si="34"/>
        <v>0</v>
      </c>
      <c r="AO107" s="14">
        <f t="shared" si="35"/>
        <v>0</v>
      </c>
      <c r="AQ107" s="14">
        <f t="shared" si="36"/>
        <v>0</v>
      </c>
      <c r="AS107" s="14">
        <f t="shared" si="37"/>
        <v>0</v>
      </c>
      <c r="AU107" s="14">
        <f t="shared" si="26"/>
        <v>0</v>
      </c>
    </row>
    <row r="108" spans="1:47" x14ac:dyDescent="0.2">
      <c r="A108" s="8"/>
      <c r="B108" s="3" t="s">
        <v>227</v>
      </c>
      <c r="C108" s="14">
        <v>0</v>
      </c>
      <c r="E108" s="14">
        <v>0</v>
      </c>
      <c r="G108" s="14">
        <v>0</v>
      </c>
      <c r="I108" s="14">
        <v>0</v>
      </c>
      <c r="K108" s="14">
        <v>0</v>
      </c>
      <c r="M108" s="14">
        <v>0</v>
      </c>
      <c r="O108" s="14">
        <v>0</v>
      </c>
      <c r="Q108" s="14">
        <v>0</v>
      </c>
      <c r="S108" s="14">
        <v>0</v>
      </c>
      <c r="U108" s="14">
        <f>-3108.84-412.87</f>
        <v>-3521.71</v>
      </c>
      <c r="W108" s="14">
        <v>0</v>
      </c>
      <c r="Y108" s="14">
        <v>0</v>
      </c>
      <c r="AA108" s="14">
        <v>0</v>
      </c>
      <c r="AC108" s="14">
        <v>0</v>
      </c>
      <c r="AE108" s="14">
        <v>0</v>
      </c>
      <c r="AF108" s="14">
        <v>0</v>
      </c>
      <c r="AG108" s="14">
        <v>0</v>
      </c>
      <c r="AI108" s="17">
        <f t="shared" si="38"/>
        <v>-3521.71</v>
      </c>
      <c r="AK108" s="14">
        <f t="shared" si="33"/>
        <v>0</v>
      </c>
      <c r="AM108" s="14">
        <f t="shared" si="34"/>
        <v>0</v>
      </c>
      <c r="AO108" s="14">
        <f t="shared" si="35"/>
        <v>-3521.71</v>
      </c>
      <c r="AQ108" s="14">
        <f t="shared" si="36"/>
        <v>0</v>
      </c>
      <c r="AS108" s="14">
        <f t="shared" si="37"/>
        <v>-3521.71</v>
      </c>
      <c r="AU108" s="14">
        <f t="shared" si="26"/>
        <v>0</v>
      </c>
    </row>
    <row r="109" spans="1:47" x14ac:dyDescent="0.2">
      <c r="A109" s="8"/>
      <c r="B109" s="3" t="s">
        <v>228</v>
      </c>
      <c r="C109" s="14">
        <v>0</v>
      </c>
      <c r="E109" s="14">
        <v>0</v>
      </c>
      <c r="G109" s="14">
        <v>0</v>
      </c>
      <c r="I109" s="14">
        <v>0</v>
      </c>
      <c r="K109" s="14">
        <v>0</v>
      </c>
      <c r="M109" s="14">
        <v>0</v>
      </c>
      <c r="O109" s="14">
        <v>0</v>
      </c>
      <c r="Q109" s="14">
        <v>0</v>
      </c>
      <c r="S109" s="14">
        <v>0</v>
      </c>
      <c r="U109" s="14">
        <v>0</v>
      </c>
      <c r="W109" s="14">
        <v>0</v>
      </c>
      <c r="Y109" s="14">
        <v>0</v>
      </c>
      <c r="AA109" s="14">
        <v>0</v>
      </c>
      <c r="AC109" s="14">
        <v>0</v>
      </c>
      <c r="AE109" s="14">
        <v>0</v>
      </c>
      <c r="AF109" s="14">
        <v>0</v>
      </c>
      <c r="AG109" s="14">
        <v>0</v>
      </c>
      <c r="AI109" s="17">
        <f t="shared" si="38"/>
        <v>0</v>
      </c>
      <c r="AK109" s="14">
        <f t="shared" si="33"/>
        <v>0</v>
      </c>
      <c r="AM109" s="14">
        <f t="shared" si="34"/>
        <v>0</v>
      </c>
      <c r="AO109" s="14">
        <f t="shared" si="35"/>
        <v>0</v>
      </c>
      <c r="AQ109" s="14">
        <f t="shared" si="36"/>
        <v>0</v>
      </c>
      <c r="AS109" s="14">
        <f t="shared" si="37"/>
        <v>0</v>
      </c>
      <c r="AU109" s="14">
        <f t="shared" si="26"/>
        <v>0</v>
      </c>
    </row>
    <row r="110" spans="1:47" x14ac:dyDescent="0.2">
      <c r="A110" s="8"/>
      <c r="B110" s="3" t="s">
        <v>229</v>
      </c>
      <c r="C110" s="14">
        <v>0</v>
      </c>
      <c r="E110" s="14">
        <v>0</v>
      </c>
      <c r="G110" s="14">
        <v>0</v>
      </c>
      <c r="I110" s="14">
        <v>0</v>
      </c>
      <c r="K110" s="14">
        <v>0</v>
      </c>
      <c r="M110" s="14">
        <v>0</v>
      </c>
      <c r="O110" s="14">
        <v>0</v>
      </c>
      <c r="Q110" s="14">
        <v>0</v>
      </c>
      <c r="S110" s="14">
        <v>0</v>
      </c>
      <c r="U110" s="14">
        <v>0</v>
      </c>
      <c r="W110" s="14">
        <v>0</v>
      </c>
      <c r="Y110" s="14">
        <v>0</v>
      </c>
      <c r="AA110" s="14">
        <v>0</v>
      </c>
      <c r="AC110" s="14">
        <v>0</v>
      </c>
      <c r="AE110" s="14">
        <v>0</v>
      </c>
      <c r="AF110" s="14">
        <v>0</v>
      </c>
      <c r="AG110" s="14">
        <v>0</v>
      </c>
      <c r="AI110" s="17">
        <f t="shared" si="38"/>
        <v>0</v>
      </c>
      <c r="AK110" s="14">
        <f t="shared" si="33"/>
        <v>0</v>
      </c>
      <c r="AM110" s="14">
        <f t="shared" si="34"/>
        <v>0</v>
      </c>
      <c r="AO110" s="14">
        <f t="shared" si="35"/>
        <v>0</v>
      </c>
      <c r="AQ110" s="14">
        <f t="shared" si="36"/>
        <v>0</v>
      </c>
      <c r="AS110" s="14">
        <f t="shared" si="37"/>
        <v>0</v>
      </c>
      <c r="AU110" s="14">
        <f t="shared" si="26"/>
        <v>0</v>
      </c>
    </row>
    <row r="111" spans="1:47" x14ac:dyDescent="0.2">
      <c r="A111" s="8"/>
      <c r="B111" s="3" t="s">
        <v>230</v>
      </c>
      <c r="C111" s="14">
        <v>0</v>
      </c>
      <c r="E111" s="14">
        <v>0</v>
      </c>
      <c r="G111" s="14">
        <v>0</v>
      </c>
      <c r="I111" s="14">
        <v>0</v>
      </c>
      <c r="K111" s="14">
        <v>0</v>
      </c>
      <c r="M111" s="14">
        <v>0</v>
      </c>
      <c r="O111" s="14">
        <v>0</v>
      </c>
      <c r="Q111" s="14">
        <v>0</v>
      </c>
      <c r="S111" s="14">
        <v>0</v>
      </c>
      <c r="U111" s="14">
        <v>0</v>
      </c>
      <c r="W111" s="14">
        <v>0</v>
      </c>
      <c r="Y111" s="14">
        <v>0</v>
      </c>
      <c r="AA111" s="14">
        <v>0</v>
      </c>
      <c r="AC111" s="14">
        <v>0</v>
      </c>
      <c r="AE111" s="14">
        <v>0</v>
      </c>
      <c r="AF111" s="14">
        <v>0</v>
      </c>
      <c r="AG111" s="14">
        <v>0</v>
      </c>
      <c r="AI111" s="17">
        <f t="shared" si="38"/>
        <v>0</v>
      </c>
      <c r="AK111" s="14">
        <f t="shared" si="33"/>
        <v>0</v>
      </c>
      <c r="AM111" s="14">
        <f t="shared" si="34"/>
        <v>0</v>
      </c>
      <c r="AO111" s="14">
        <f t="shared" si="35"/>
        <v>0</v>
      </c>
      <c r="AQ111" s="14">
        <f t="shared" si="36"/>
        <v>0</v>
      </c>
      <c r="AS111" s="14">
        <f t="shared" si="37"/>
        <v>0</v>
      </c>
      <c r="AU111" s="14">
        <f t="shared" si="26"/>
        <v>0</v>
      </c>
    </row>
    <row r="112" spans="1:47" x14ac:dyDescent="0.2">
      <c r="A112" s="8"/>
      <c r="B112" s="3" t="s">
        <v>231</v>
      </c>
      <c r="C112" s="14">
        <v>0</v>
      </c>
      <c r="E112" s="14">
        <v>0</v>
      </c>
      <c r="G112" s="14">
        <v>0</v>
      </c>
      <c r="I112" s="14">
        <v>0</v>
      </c>
      <c r="K112" s="14">
        <v>0</v>
      </c>
      <c r="M112" s="14">
        <v>0</v>
      </c>
      <c r="O112" s="14">
        <v>0</v>
      </c>
      <c r="Q112" s="14">
        <v>0</v>
      </c>
      <c r="S112" s="14">
        <v>0</v>
      </c>
      <c r="U112" s="14">
        <v>0</v>
      </c>
      <c r="W112" s="14">
        <v>0</v>
      </c>
      <c r="Y112" s="14">
        <v>0</v>
      </c>
      <c r="AA112" s="14">
        <v>0</v>
      </c>
      <c r="AC112" s="14">
        <v>0</v>
      </c>
      <c r="AE112" s="14">
        <v>0</v>
      </c>
      <c r="AF112" s="14">
        <v>0</v>
      </c>
      <c r="AG112" s="14">
        <v>0</v>
      </c>
      <c r="AI112" s="17">
        <f t="shared" si="38"/>
        <v>0</v>
      </c>
      <c r="AK112" s="14">
        <f t="shared" si="33"/>
        <v>0</v>
      </c>
      <c r="AM112" s="14">
        <f t="shared" si="34"/>
        <v>0</v>
      </c>
      <c r="AO112" s="14">
        <f t="shared" si="35"/>
        <v>0</v>
      </c>
      <c r="AQ112" s="14">
        <f t="shared" si="36"/>
        <v>0</v>
      </c>
      <c r="AS112" s="14">
        <f t="shared" si="37"/>
        <v>0</v>
      </c>
      <c r="AU112" s="14">
        <f t="shared" si="26"/>
        <v>0</v>
      </c>
    </row>
    <row r="113" spans="1:47" x14ac:dyDescent="0.2">
      <c r="A113" s="8"/>
      <c r="B113" s="3" t="s">
        <v>232</v>
      </c>
      <c r="C113" s="14">
        <v>0</v>
      </c>
      <c r="E113" s="14">
        <v>0</v>
      </c>
      <c r="G113" s="14">
        <v>0</v>
      </c>
      <c r="I113" s="14">
        <v>0</v>
      </c>
      <c r="K113" s="14">
        <v>0</v>
      </c>
      <c r="M113" s="14">
        <v>0</v>
      </c>
      <c r="O113" s="14">
        <v>0</v>
      </c>
      <c r="Q113" s="14">
        <v>0</v>
      </c>
      <c r="S113" s="14">
        <v>0</v>
      </c>
      <c r="U113" s="14">
        <v>0</v>
      </c>
      <c r="W113" s="14">
        <v>0</v>
      </c>
      <c r="Y113" s="14">
        <v>0</v>
      </c>
      <c r="AA113" s="14">
        <v>0</v>
      </c>
      <c r="AC113" s="14">
        <v>0</v>
      </c>
      <c r="AE113" s="14">
        <v>0</v>
      </c>
      <c r="AF113" s="14">
        <v>0</v>
      </c>
      <c r="AG113" s="14">
        <v>0</v>
      </c>
      <c r="AI113" s="17">
        <f t="shared" si="38"/>
        <v>0</v>
      </c>
      <c r="AK113" s="14">
        <f t="shared" si="33"/>
        <v>0</v>
      </c>
      <c r="AM113" s="14">
        <f t="shared" si="34"/>
        <v>0</v>
      </c>
      <c r="AO113" s="14">
        <f t="shared" si="35"/>
        <v>0</v>
      </c>
      <c r="AQ113" s="14">
        <f t="shared" si="36"/>
        <v>0</v>
      </c>
      <c r="AS113" s="14">
        <f t="shared" si="37"/>
        <v>0</v>
      </c>
      <c r="AU113" s="14">
        <f t="shared" si="26"/>
        <v>0</v>
      </c>
    </row>
    <row r="114" spans="1:47" x14ac:dyDescent="0.2">
      <c r="A114" s="8"/>
      <c r="B114" s="3" t="s">
        <v>233</v>
      </c>
      <c r="C114" s="14">
        <v>0</v>
      </c>
      <c r="E114" s="14">
        <v>0</v>
      </c>
      <c r="G114" s="14">
        <v>0</v>
      </c>
      <c r="I114" s="14">
        <v>0</v>
      </c>
      <c r="K114" s="14">
        <v>0</v>
      </c>
      <c r="M114" s="14">
        <v>0</v>
      </c>
      <c r="O114" s="14">
        <v>-11824.21</v>
      </c>
      <c r="Q114" s="14">
        <v>0</v>
      </c>
      <c r="S114" s="14">
        <v>0</v>
      </c>
      <c r="U114" s="14">
        <v>0</v>
      </c>
      <c r="W114" s="14">
        <v>0</v>
      </c>
      <c r="Y114" s="14">
        <v>0</v>
      </c>
      <c r="AA114" s="14">
        <v>0</v>
      </c>
      <c r="AC114" s="14">
        <v>0</v>
      </c>
      <c r="AE114" s="14">
        <v>0</v>
      </c>
      <c r="AF114" s="14">
        <v>0</v>
      </c>
      <c r="AG114" s="14">
        <v>0</v>
      </c>
      <c r="AI114" s="17">
        <f t="shared" si="38"/>
        <v>-11824.21</v>
      </c>
      <c r="AK114" s="14">
        <f t="shared" si="33"/>
        <v>0</v>
      </c>
      <c r="AM114" s="14">
        <f t="shared" si="34"/>
        <v>-11824.21</v>
      </c>
      <c r="AO114" s="14">
        <f t="shared" si="35"/>
        <v>0</v>
      </c>
      <c r="AQ114" s="14">
        <f t="shared" si="36"/>
        <v>0</v>
      </c>
      <c r="AS114" s="14">
        <f t="shared" si="37"/>
        <v>-11824.21</v>
      </c>
      <c r="AU114" s="14">
        <f t="shared" si="26"/>
        <v>0</v>
      </c>
    </row>
    <row r="115" spans="1:47" x14ac:dyDescent="0.2">
      <c r="A115" s="8"/>
      <c r="B115" s="3" t="s">
        <v>234</v>
      </c>
      <c r="C115" s="14">
        <v>0</v>
      </c>
      <c r="E115" s="14">
        <v>0</v>
      </c>
      <c r="G115" s="14">
        <v>0</v>
      </c>
      <c r="I115" s="14">
        <v>0</v>
      </c>
      <c r="K115" s="14">
        <v>0</v>
      </c>
      <c r="M115" s="14">
        <v>0</v>
      </c>
      <c r="O115" s="14">
        <v>0</v>
      </c>
      <c r="Q115" s="14">
        <v>0</v>
      </c>
      <c r="S115" s="14">
        <v>0</v>
      </c>
      <c r="U115" s="14">
        <v>0</v>
      </c>
      <c r="W115" s="14">
        <v>0</v>
      </c>
      <c r="Y115" s="14">
        <v>0</v>
      </c>
      <c r="AA115" s="14">
        <v>0</v>
      </c>
      <c r="AC115" s="14">
        <v>0</v>
      </c>
      <c r="AE115" s="14">
        <v>0</v>
      </c>
      <c r="AF115" s="14">
        <v>0</v>
      </c>
      <c r="AG115" s="14">
        <v>0</v>
      </c>
      <c r="AI115" s="17">
        <f t="shared" si="38"/>
        <v>0</v>
      </c>
      <c r="AK115" s="14">
        <f t="shared" si="33"/>
        <v>0</v>
      </c>
      <c r="AM115" s="14">
        <f t="shared" si="34"/>
        <v>0</v>
      </c>
      <c r="AO115" s="14">
        <f t="shared" si="35"/>
        <v>0</v>
      </c>
      <c r="AQ115" s="14">
        <f t="shared" si="36"/>
        <v>0</v>
      </c>
      <c r="AS115" s="14">
        <f t="shared" si="37"/>
        <v>0</v>
      </c>
      <c r="AU115" s="14">
        <f t="shared" si="26"/>
        <v>0</v>
      </c>
    </row>
    <row r="116" spans="1:47" x14ac:dyDescent="0.2">
      <c r="A116" s="8"/>
      <c r="B116" s="12" t="s">
        <v>235</v>
      </c>
      <c r="C116" s="18">
        <f>SUM(C102:C115)</f>
        <v>0</v>
      </c>
      <c r="E116" s="18">
        <f>SUM(E102:E115)</f>
        <v>59393.04</v>
      </c>
      <c r="G116" s="18">
        <f>SUM(G102:G115)</f>
        <v>0</v>
      </c>
      <c r="I116" s="18">
        <f>SUM(I102:I115)</f>
        <v>0</v>
      </c>
      <c r="K116" s="18">
        <f>SUM(K102:K115)</f>
        <v>0</v>
      </c>
      <c r="M116" s="18">
        <f>SUM(M102:M115)</f>
        <v>0</v>
      </c>
      <c r="O116" s="18">
        <f>SUM(O102:O115)</f>
        <v>-11824.21</v>
      </c>
      <c r="Q116" s="18">
        <f>SUM(Q102:Q115)</f>
        <v>0</v>
      </c>
      <c r="S116" s="18">
        <f>SUM(S102:S115)</f>
        <v>0</v>
      </c>
      <c r="U116" s="18">
        <f>SUM(U102:U115)</f>
        <v>-3108.84</v>
      </c>
      <c r="W116" s="18">
        <f>SUM(W102:W115)</f>
        <v>0</v>
      </c>
      <c r="Y116" s="18">
        <f>SUM(Y102:Y115)</f>
        <v>615312.13</v>
      </c>
      <c r="AA116" s="18">
        <f>SUM(AA102:AA115)</f>
        <v>71337.33</v>
      </c>
      <c r="AC116" s="18">
        <f>SUM(AC102:AC115)</f>
        <v>0</v>
      </c>
      <c r="AE116" s="18">
        <f>SUM(AE102:AE115)</f>
        <v>0</v>
      </c>
      <c r="AF116" s="18">
        <f>SUM(AF102:AF115)</f>
        <v>0</v>
      </c>
      <c r="AG116" s="18">
        <f>SUM(AG102:AG115)</f>
        <v>0</v>
      </c>
      <c r="AI116" s="18">
        <f>SUM(AI102:AI115)</f>
        <v>731109.45000000007</v>
      </c>
      <c r="AK116" s="18">
        <f>SUM(AK102:AK115)</f>
        <v>0</v>
      </c>
      <c r="AM116" s="18">
        <f>SUM(AM102:AM115)</f>
        <v>-11824.21</v>
      </c>
      <c r="AO116" s="18">
        <f>SUM(AO102:AO115)</f>
        <v>742933.66</v>
      </c>
      <c r="AQ116" s="18">
        <f>SUM(AQ102:AQ115)</f>
        <v>0</v>
      </c>
      <c r="AS116" s="18">
        <f>SUM(AS102:AS115)</f>
        <v>731109.45000000007</v>
      </c>
      <c r="AU116" s="18">
        <f t="shared" si="26"/>
        <v>0</v>
      </c>
    </row>
    <row r="117" spans="1:47" x14ac:dyDescent="0.2">
      <c r="A117" s="8"/>
      <c r="B117" s="12"/>
      <c r="C117" s="16"/>
      <c r="E117" s="16"/>
      <c r="G117" s="16"/>
      <c r="I117" s="16"/>
      <c r="K117" s="16"/>
      <c r="M117" s="16"/>
      <c r="O117" s="16"/>
      <c r="Q117" s="16"/>
      <c r="S117" s="16"/>
      <c r="U117" s="16"/>
      <c r="W117" s="16"/>
      <c r="Y117" s="16"/>
      <c r="AA117" s="16"/>
      <c r="AC117" s="16"/>
      <c r="AE117" s="16"/>
      <c r="AF117" s="16"/>
      <c r="AG117" s="16"/>
      <c r="AI117" s="16"/>
      <c r="AK117" s="16"/>
      <c r="AM117" s="16"/>
      <c r="AO117" s="16"/>
      <c r="AQ117" s="16"/>
      <c r="AS117" s="16"/>
      <c r="AU117" s="16"/>
    </row>
    <row r="118" spans="1:47" x14ac:dyDescent="0.2">
      <c r="A118" s="8"/>
      <c r="C118" s="17"/>
      <c r="D118" s="14"/>
      <c r="E118" s="17"/>
      <c r="F118" s="14"/>
      <c r="G118" s="17"/>
      <c r="H118" s="14"/>
      <c r="I118" s="17"/>
      <c r="J118" s="14"/>
      <c r="K118" s="17"/>
      <c r="L118" s="14"/>
      <c r="M118" s="17"/>
      <c r="N118" s="14"/>
      <c r="O118" s="17"/>
      <c r="P118" s="14"/>
      <c r="Q118" s="17"/>
      <c r="R118" s="14"/>
      <c r="S118" s="17"/>
      <c r="T118" s="14"/>
      <c r="U118" s="17"/>
      <c r="V118" s="14"/>
      <c r="W118" s="17"/>
      <c r="X118" s="14"/>
      <c r="Y118" s="17"/>
      <c r="Z118" s="14"/>
      <c r="AA118" s="17"/>
      <c r="AB118" s="14"/>
      <c r="AC118" s="17"/>
      <c r="AD118" s="14"/>
      <c r="AE118" s="17"/>
      <c r="AF118" s="17"/>
      <c r="AG118" s="17"/>
      <c r="AH118" s="14"/>
      <c r="AI118" s="17"/>
      <c r="AJ118" s="4"/>
      <c r="AK118" s="17"/>
      <c r="AL118" s="14"/>
      <c r="AM118" s="17"/>
      <c r="AN118" s="14"/>
      <c r="AO118" s="17"/>
      <c r="AP118" s="14"/>
      <c r="AQ118" s="17"/>
      <c r="AR118" s="14"/>
      <c r="AS118" s="17"/>
      <c r="AT118" s="14"/>
      <c r="AU118" s="17"/>
    </row>
    <row r="119" spans="1:47" x14ac:dyDescent="0.2">
      <c r="A119" s="8"/>
      <c r="B119" s="12" t="s">
        <v>19</v>
      </c>
      <c r="C119" s="16">
        <f>+C32+C52+C63+C70+C84+C99+C116</f>
        <v>-131956.31</v>
      </c>
      <c r="D119" s="14"/>
      <c r="E119" s="16">
        <f>+E32+E52+E63+E70+E84+E99+E116</f>
        <v>0</v>
      </c>
      <c r="F119" s="14"/>
      <c r="G119" s="16">
        <f>+G32+G52+G63+G70+G84+G99+G116</f>
        <v>0</v>
      </c>
      <c r="H119" s="14"/>
      <c r="I119" s="16">
        <f>+I32+I52+I63+I70+I84+I99+I116</f>
        <v>0</v>
      </c>
      <c r="J119" s="14"/>
      <c r="K119" s="16">
        <f>+K32+K52+K63+K70+K84+K99+K116</f>
        <v>0</v>
      </c>
      <c r="L119" s="14"/>
      <c r="M119" s="16">
        <f>+M32+M52+M63+M70+M84+M99+M116</f>
        <v>2778134.17</v>
      </c>
      <c r="N119" s="14"/>
      <c r="O119" s="16">
        <f>+O32+O52+O63+O70+O84+O99+O116</f>
        <v>-59277743.579999998</v>
      </c>
      <c r="P119" s="14"/>
      <c r="Q119" s="16">
        <f>+Q32+Q52+Q63+Q70+Q84+Q99+Q116</f>
        <v>0</v>
      </c>
      <c r="R119" s="14"/>
      <c r="S119" s="16">
        <f>+S32+S52+S63+S70+S84+S99+S116</f>
        <v>0</v>
      </c>
      <c r="T119" s="14"/>
      <c r="U119" s="16">
        <f>+U32+U52+U63+U70+U84+U99+U116</f>
        <v>-240853.29</v>
      </c>
      <c r="V119" s="14"/>
      <c r="W119" s="16">
        <f>+W32+W52+W63+W70+W84+W99+W116</f>
        <v>5499138.3899999997</v>
      </c>
      <c r="X119" s="14"/>
      <c r="Y119" s="16">
        <f>+Y32+Y52+Y63+Y70+Y84+Y99+Y116</f>
        <v>0</v>
      </c>
      <c r="Z119" s="14"/>
      <c r="AA119" s="16">
        <f>+AA32+AA52+AA63+AA70+AA84+AA99+AA116</f>
        <v>0</v>
      </c>
      <c r="AB119" s="14"/>
      <c r="AC119" s="16">
        <f>+AC32+AC52+AC63+AC70+AC84+AC99+AC116</f>
        <v>6880610.3200000003</v>
      </c>
      <c r="AD119" s="14"/>
      <c r="AE119" s="16">
        <f>+AE32+AE52+AE63+AE70+AE84+AE99+AE116</f>
        <v>-1849845.35</v>
      </c>
      <c r="AF119" s="16">
        <f>+AF32+AF52+AF63+AF70+AF84+AF99+AF116</f>
        <v>0</v>
      </c>
      <c r="AG119" s="16">
        <f>+AG32+AG52+AG63+AG70+AG84+AG99+AG116</f>
        <v>0</v>
      </c>
      <c r="AH119" s="14"/>
      <c r="AI119" s="16">
        <f>+AI32+AI52+AI63+AI70+AI84+AI99+AI116</f>
        <v>-46342515.649999999</v>
      </c>
      <c r="AJ119" s="4"/>
      <c r="AK119" s="16">
        <f>+AK32+AK52+AK63+AK70+AK84+AK99+AK116</f>
        <v>15157882.879999999</v>
      </c>
      <c r="AL119" s="14"/>
      <c r="AM119" s="16">
        <f>+AM32+AM52+AM63+AM70+AM84+AM99+AM116</f>
        <v>-61127588.93</v>
      </c>
      <c r="AN119" s="14"/>
      <c r="AO119" s="16">
        <f>+AO32+AO52+AO63+AO70+AO84+AO99+AO116</f>
        <v>-372809.59999999928</v>
      </c>
      <c r="AP119" s="14"/>
      <c r="AQ119" s="16">
        <f>+AQ32+AQ52+AQ63+AQ70+AQ84+AQ99+AQ116</f>
        <v>0</v>
      </c>
      <c r="AR119" s="14"/>
      <c r="AS119" s="16">
        <f>+AS32+AS52+AS63+AS70+AS84+AS99+AS116</f>
        <v>-46342515.649999999</v>
      </c>
      <c r="AT119" s="14"/>
      <c r="AU119" s="16">
        <f t="shared" si="26"/>
        <v>0</v>
      </c>
    </row>
    <row r="120" spans="1:47" x14ac:dyDescent="0.2">
      <c r="A120" s="8"/>
      <c r="C120" s="12"/>
      <c r="D120" s="17"/>
      <c r="E120" s="12"/>
      <c r="F120" s="17"/>
      <c r="G120" s="12"/>
      <c r="H120" s="17"/>
      <c r="I120" s="12"/>
      <c r="J120" s="17"/>
      <c r="K120" s="12"/>
      <c r="L120" s="17"/>
      <c r="M120" s="12"/>
      <c r="N120" s="17"/>
      <c r="O120" s="12"/>
      <c r="P120" s="17"/>
      <c r="Q120" s="12"/>
      <c r="R120" s="17"/>
      <c r="S120" s="12"/>
      <c r="T120" s="17"/>
      <c r="U120" s="12"/>
      <c r="V120" s="17"/>
      <c r="W120" s="12"/>
      <c r="X120" s="17"/>
      <c r="Y120" s="12"/>
      <c r="Z120" s="17"/>
      <c r="AA120" s="12"/>
      <c r="AB120" s="17"/>
      <c r="AC120" s="12"/>
      <c r="AD120" s="17"/>
      <c r="AE120" s="12"/>
      <c r="AF120" s="12"/>
      <c r="AG120" s="12"/>
      <c r="AH120" s="17"/>
      <c r="AI120" s="12"/>
      <c r="AJ120" s="17"/>
      <c r="AK120" s="12"/>
      <c r="AL120" s="17"/>
      <c r="AM120" s="12"/>
      <c r="AN120" s="17"/>
      <c r="AO120" s="12"/>
      <c r="AP120" s="17"/>
      <c r="AQ120" s="12"/>
      <c r="AR120" s="17"/>
      <c r="AS120" s="12"/>
      <c r="AT120" s="17"/>
      <c r="AU120" s="12"/>
    </row>
    <row r="121" spans="1:47" x14ac:dyDescent="0.2">
      <c r="A121" s="8">
        <v>102</v>
      </c>
      <c r="B121" s="74" t="s">
        <v>236</v>
      </c>
      <c r="C121" s="12"/>
      <c r="D121" s="17"/>
      <c r="E121" s="12"/>
      <c r="F121" s="17"/>
      <c r="G121" s="12"/>
      <c r="H121" s="17"/>
      <c r="I121" s="12"/>
      <c r="J121" s="17"/>
      <c r="K121" s="12"/>
      <c r="L121" s="17"/>
      <c r="M121" s="12"/>
      <c r="N121" s="17"/>
      <c r="O121" s="12"/>
      <c r="P121" s="17"/>
      <c r="Q121" s="12"/>
      <c r="R121" s="17"/>
      <c r="S121" s="12"/>
      <c r="T121" s="17"/>
      <c r="U121" s="12"/>
      <c r="V121" s="17"/>
      <c r="W121" s="12"/>
      <c r="X121" s="17"/>
      <c r="Y121" s="12"/>
      <c r="Z121" s="17"/>
      <c r="AA121" s="12"/>
      <c r="AB121" s="17"/>
      <c r="AC121" s="12"/>
      <c r="AD121" s="17"/>
      <c r="AE121" s="12"/>
      <c r="AF121" s="12"/>
      <c r="AG121" s="12"/>
      <c r="AH121" s="17"/>
      <c r="AI121" s="12"/>
      <c r="AJ121" s="17"/>
      <c r="AK121" s="12"/>
      <c r="AL121" s="17"/>
      <c r="AM121" s="12"/>
      <c r="AN121" s="17"/>
      <c r="AO121" s="12"/>
      <c r="AP121" s="17"/>
      <c r="AQ121" s="12"/>
      <c r="AR121" s="17"/>
      <c r="AS121" s="12"/>
      <c r="AT121" s="17"/>
      <c r="AU121" s="12"/>
    </row>
    <row r="122" spans="1:47" x14ac:dyDescent="0.2">
      <c r="A122" s="8"/>
      <c r="B122" s="75" t="s">
        <v>13</v>
      </c>
      <c r="C122" s="14">
        <v>0</v>
      </c>
      <c r="D122" s="17"/>
      <c r="E122" s="14">
        <v>0</v>
      </c>
      <c r="F122" s="17"/>
      <c r="G122" s="3">
        <v>0</v>
      </c>
      <c r="H122" s="17"/>
      <c r="I122" s="14">
        <v>0</v>
      </c>
      <c r="J122" s="17"/>
      <c r="K122" s="14">
        <v>0</v>
      </c>
      <c r="L122" s="17"/>
      <c r="M122" s="14">
        <v>0</v>
      </c>
      <c r="N122" s="17"/>
      <c r="O122" s="14">
        <v>0</v>
      </c>
      <c r="P122" s="17"/>
      <c r="Q122" s="14">
        <v>0</v>
      </c>
      <c r="R122" s="17"/>
      <c r="S122" s="14">
        <v>0</v>
      </c>
      <c r="T122" s="17"/>
      <c r="U122" s="35">
        <v>0</v>
      </c>
      <c r="V122" s="17"/>
      <c r="W122" s="35">
        <v>0</v>
      </c>
      <c r="X122" s="17"/>
      <c r="Y122" s="35">
        <v>0</v>
      </c>
      <c r="Z122" s="17"/>
      <c r="AA122" s="35">
        <v>0</v>
      </c>
      <c r="AB122" s="17"/>
      <c r="AC122" s="35">
        <v>0</v>
      </c>
      <c r="AD122" s="17"/>
      <c r="AE122" s="35">
        <v>0</v>
      </c>
      <c r="AF122" s="35">
        <v>0</v>
      </c>
      <c r="AG122" s="14">
        <v>0</v>
      </c>
      <c r="AH122" s="17"/>
      <c r="AI122" s="16">
        <f>SUM(C122:AG122)</f>
        <v>0</v>
      </c>
      <c r="AJ122" s="17"/>
      <c r="AK122" s="14">
        <f>SUMIF($C$9:$AH$9,"=Addition",$C122:$AH122)</f>
        <v>0</v>
      </c>
      <c r="AM122" s="14">
        <f>SUMIF($C$9:$AH$9,"=Adjustment",$C122:$AH122)</f>
        <v>0</v>
      </c>
      <c r="AO122" s="14">
        <f>SUMIF($C$9:$AH$9,"=Transfer",$C122:$AH122)</f>
        <v>0</v>
      </c>
      <c r="AQ122" s="14">
        <f>SUMIF($C$9:$Z$9,"=N/A",$C122:$Z122)</f>
        <v>0</v>
      </c>
      <c r="AS122" s="14">
        <f>SUM(AK122:AQ122)</f>
        <v>0</v>
      </c>
      <c r="AT122" s="17"/>
      <c r="AU122" s="14">
        <f t="shared" si="26"/>
        <v>0</v>
      </c>
    </row>
    <row r="123" spans="1:47" x14ac:dyDescent="0.2">
      <c r="A123" s="8"/>
      <c r="B123" s="73" t="s">
        <v>21</v>
      </c>
      <c r="C123" s="16">
        <v>0</v>
      </c>
      <c r="D123" s="17"/>
      <c r="E123" s="16">
        <v>0</v>
      </c>
      <c r="F123" s="17"/>
      <c r="G123" s="16">
        <v>0</v>
      </c>
      <c r="H123" s="17"/>
      <c r="I123" s="16">
        <v>0</v>
      </c>
      <c r="J123" s="17"/>
      <c r="K123" s="16">
        <v>0</v>
      </c>
      <c r="L123" s="17"/>
      <c r="M123" s="16">
        <v>0</v>
      </c>
      <c r="N123" s="17"/>
      <c r="O123" s="16">
        <v>0</v>
      </c>
      <c r="P123" s="17"/>
      <c r="Q123" s="16">
        <v>0</v>
      </c>
      <c r="R123" s="17"/>
      <c r="S123" s="16">
        <v>0</v>
      </c>
      <c r="T123" s="17"/>
      <c r="U123" s="16">
        <v>0</v>
      </c>
      <c r="V123" s="17"/>
      <c r="W123" s="16">
        <v>0</v>
      </c>
      <c r="X123" s="17"/>
      <c r="Y123" s="16">
        <v>0</v>
      </c>
      <c r="Z123" s="17"/>
      <c r="AA123" s="16">
        <v>0</v>
      </c>
      <c r="AB123" s="17"/>
      <c r="AC123" s="16">
        <v>0</v>
      </c>
      <c r="AD123" s="17"/>
      <c r="AE123" s="16">
        <v>0</v>
      </c>
      <c r="AF123" s="16">
        <v>0</v>
      </c>
      <c r="AG123" s="16">
        <v>0</v>
      </c>
      <c r="AH123" s="17"/>
      <c r="AI123" s="16">
        <f>SUM(C123:AG123)</f>
        <v>0</v>
      </c>
      <c r="AJ123" s="17"/>
      <c r="AK123" s="14">
        <f>SUMIF($C$9:$AH$9,"=Addition",$C123:$AH123)</f>
        <v>0</v>
      </c>
      <c r="AM123" s="14">
        <f>SUMIF($C$9:$AH$9,"=Adjustment",$C123:$AH123)</f>
        <v>0</v>
      </c>
      <c r="AO123" s="14">
        <f>SUMIF($C$9:$AH$9,"=Transfer",$C123:$AH123)</f>
        <v>0</v>
      </c>
      <c r="AQ123" s="14">
        <f>SUMIF($C$9:$Z$9,"=N/A",$C123:$Z123)</f>
        <v>0</v>
      </c>
      <c r="AS123" s="16">
        <f>SUM(AK123:AQ123)</f>
        <v>0</v>
      </c>
      <c r="AT123" s="17"/>
      <c r="AU123" s="16">
        <f t="shared" si="26"/>
        <v>0</v>
      </c>
    </row>
    <row r="124" spans="1:47" x14ac:dyDescent="0.2">
      <c r="A124" s="8"/>
      <c r="B124" s="73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8"/>
      <c r="AL124" s="17"/>
      <c r="AM124" s="18"/>
      <c r="AN124" s="17"/>
      <c r="AO124" s="18"/>
      <c r="AP124" s="17"/>
      <c r="AQ124" s="18"/>
      <c r="AR124" s="17"/>
      <c r="AS124" s="17"/>
      <c r="AT124" s="17"/>
      <c r="AU124" s="17">
        <f t="shared" si="26"/>
        <v>0</v>
      </c>
    </row>
    <row r="125" spans="1:47" x14ac:dyDescent="0.2">
      <c r="A125" s="8"/>
      <c r="B125" s="12" t="s">
        <v>237</v>
      </c>
      <c r="C125" s="16">
        <f>SUM(C122:C123)</f>
        <v>0</v>
      </c>
      <c r="D125" s="14"/>
      <c r="E125" s="16">
        <f>SUM(E122:E123)</f>
        <v>0</v>
      </c>
      <c r="F125" s="14"/>
      <c r="G125" s="16">
        <f>SUM(G122:G123)</f>
        <v>0</v>
      </c>
      <c r="H125" s="14"/>
      <c r="I125" s="16">
        <f>SUM(I122:I123)</f>
        <v>0</v>
      </c>
      <c r="J125" s="14"/>
      <c r="K125" s="16">
        <f>SUM(K122:K123)</f>
        <v>0</v>
      </c>
      <c r="L125" s="14"/>
      <c r="M125" s="16">
        <f>SUM(M122:M123)</f>
        <v>0</v>
      </c>
      <c r="N125" s="14"/>
      <c r="O125" s="16">
        <f>SUM(O122:O123)</f>
        <v>0</v>
      </c>
      <c r="P125" s="14"/>
      <c r="Q125" s="16">
        <f>SUM(Q122:Q123)</f>
        <v>0</v>
      </c>
      <c r="R125" s="14"/>
      <c r="S125" s="16">
        <f>SUM(S122:S123)</f>
        <v>0</v>
      </c>
      <c r="T125" s="14"/>
      <c r="U125" s="16">
        <f>SUM(U122:U123)</f>
        <v>0</v>
      </c>
      <c r="V125" s="14"/>
      <c r="W125" s="16">
        <f>SUM(W122:W123)</f>
        <v>0</v>
      </c>
      <c r="X125" s="14"/>
      <c r="Y125" s="16">
        <f>SUM(Y122:Y123)</f>
        <v>0</v>
      </c>
      <c r="Z125" s="14"/>
      <c r="AA125" s="16">
        <f>SUM(AA122:AA123)</f>
        <v>0</v>
      </c>
      <c r="AB125" s="14"/>
      <c r="AC125" s="16">
        <f>SUM(AC122:AC123)</f>
        <v>0</v>
      </c>
      <c r="AD125" s="14"/>
      <c r="AE125" s="16">
        <f>SUM(AE122:AE123)</f>
        <v>0</v>
      </c>
      <c r="AF125" s="16">
        <f>SUM(AF122:AF123)</f>
        <v>0</v>
      </c>
      <c r="AG125" s="16">
        <f>SUM(AG122:AG123)</f>
        <v>0</v>
      </c>
      <c r="AH125" s="14"/>
      <c r="AI125" s="16">
        <f>SUM(AI122:AI123)</f>
        <v>0</v>
      </c>
      <c r="AJ125" s="17"/>
      <c r="AK125" s="16">
        <f>SUM(AK122:AK123)</f>
        <v>0</v>
      </c>
      <c r="AL125" s="14"/>
      <c r="AM125" s="16">
        <f>SUM(AM122:AM123)</f>
        <v>0</v>
      </c>
      <c r="AN125" s="14"/>
      <c r="AO125" s="16">
        <f>SUM(AO122:AO123)</f>
        <v>0</v>
      </c>
      <c r="AP125" s="14"/>
      <c r="AQ125" s="16">
        <f>SUM(AQ122:AQ123)</f>
        <v>0</v>
      </c>
      <c r="AR125" s="14"/>
      <c r="AS125" s="16">
        <f>SUM(AS122:AS123)</f>
        <v>0</v>
      </c>
      <c r="AT125" s="14"/>
      <c r="AU125" s="16">
        <f t="shared" si="26"/>
        <v>0</v>
      </c>
    </row>
    <row r="126" spans="1:47" x14ac:dyDescent="0.2">
      <c r="A126" s="8"/>
      <c r="D126" s="14"/>
      <c r="F126" s="14"/>
      <c r="H126" s="14"/>
      <c r="J126" s="14"/>
      <c r="L126" s="14"/>
      <c r="N126" s="14"/>
      <c r="P126" s="14"/>
      <c r="R126" s="14"/>
      <c r="T126" s="14"/>
      <c r="V126" s="14"/>
      <c r="X126" s="14"/>
      <c r="Z126" s="14"/>
      <c r="AB126" s="14"/>
      <c r="AD126" s="14"/>
      <c r="AH126" s="14"/>
      <c r="AJ126" s="14"/>
      <c r="AL126" s="14"/>
      <c r="AN126" s="14"/>
      <c r="AP126" s="14"/>
      <c r="AR126" s="14"/>
      <c r="AT126" s="14"/>
    </row>
    <row r="127" spans="1:47" x14ac:dyDescent="0.2">
      <c r="A127" s="8">
        <v>105</v>
      </c>
      <c r="B127" s="12" t="s">
        <v>23</v>
      </c>
      <c r="C127" s="12"/>
      <c r="D127" s="14"/>
      <c r="E127" s="12"/>
      <c r="F127" s="14"/>
      <c r="G127" s="12"/>
      <c r="H127" s="14"/>
      <c r="I127" s="12"/>
      <c r="J127" s="14"/>
      <c r="K127" s="12"/>
      <c r="L127" s="14"/>
      <c r="M127" s="12"/>
      <c r="N127" s="14"/>
      <c r="O127" s="12"/>
      <c r="P127" s="14"/>
      <c r="Q127" s="12"/>
      <c r="R127" s="14"/>
      <c r="S127" s="12"/>
      <c r="T127" s="14"/>
      <c r="U127" s="12"/>
      <c r="V127" s="14"/>
      <c r="W127" s="12"/>
      <c r="X127" s="14"/>
      <c r="Y127" s="12"/>
      <c r="Z127" s="14"/>
      <c r="AA127" s="12"/>
      <c r="AB127" s="14"/>
      <c r="AC127" s="12"/>
      <c r="AD127" s="14"/>
      <c r="AE127" s="12"/>
      <c r="AF127" s="12"/>
      <c r="AG127" s="12"/>
      <c r="AH127" s="14"/>
      <c r="AI127" s="12"/>
      <c r="AJ127" s="14"/>
      <c r="AK127" s="12"/>
      <c r="AL127" s="14"/>
      <c r="AM127" s="12"/>
      <c r="AN127" s="14"/>
      <c r="AO127" s="12"/>
      <c r="AP127" s="14"/>
      <c r="AQ127" s="12"/>
      <c r="AR127" s="14"/>
      <c r="AS127" s="12"/>
      <c r="AT127" s="14"/>
      <c r="AU127" s="12"/>
    </row>
    <row r="128" spans="1:47" x14ac:dyDescent="0.2">
      <c r="A128" s="8"/>
      <c r="B128" s="12" t="s">
        <v>11</v>
      </c>
      <c r="D128" s="14"/>
      <c r="F128" s="14"/>
      <c r="H128" s="14"/>
      <c r="J128" s="14"/>
      <c r="L128" s="14"/>
      <c r="N128" s="14"/>
      <c r="P128" s="14"/>
      <c r="R128" s="14"/>
      <c r="T128" s="14"/>
      <c r="V128" s="14"/>
      <c r="X128" s="14"/>
      <c r="Z128" s="14"/>
      <c r="AB128" s="14"/>
      <c r="AD128" s="14"/>
      <c r="AH128" s="14"/>
      <c r="AJ128" s="14"/>
      <c r="AK128" s="14"/>
      <c r="AM128" s="14"/>
      <c r="AO128" s="14"/>
      <c r="AQ128" s="14"/>
      <c r="AS128" s="14"/>
      <c r="AT128" s="14"/>
      <c r="AU128" s="14"/>
    </row>
    <row r="129" spans="1:47" x14ac:dyDescent="0.2">
      <c r="A129" s="8"/>
      <c r="B129" s="73" t="s">
        <v>12</v>
      </c>
      <c r="C129" s="17">
        <v>0</v>
      </c>
      <c r="D129" s="17"/>
      <c r="E129" s="17">
        <v>0</v>
      </c>
      <c r="F129" s="17"/>
      <c r="G129" s="17">
        <v>792599.21</v>
      </c>
      <c r="H129" s="17"/>
      <c r="I129" s="17">
        <v>0</v>
      </c>
      <c r="J129" s="17"/>
      <c r="K129" s="17">
        <v>0</v>
      </c>
      <c r="L129" s="17"/>
      <c r="M129" s="17">
        <v>0</v>
      </c>
      <c r="N129" s="17"/>
      <c r="O129" s="17">
        <v>0</v>
      </c>
      <c r="P129" s="17"/>
      <c r="Q129" s="17">
        <v>0</v>
      </c>
      <c r="R129" s="17"/>
      <c r="S129" s="17">
        <v>0</v>
      </c>
      <c r="T129" s="17"/>
      <c r="U129" s="17">
        <v>240853.29</v>
      </c>
      <c r="V129" s="17"/>
      <c r="W129" s="17">
        <v>0</v>
      </c>
      <c r="X129" s="17"/>
      <c r="Y129" s="17">
        <v>0</v>
      </c>
      <c r="Z129" s="17"/>
      <c r="AA129" s="17">
        <v>0</v>
      </c>
      <c r="AB129" s="17"/>
      <c r="AC129" s="17">
        <v>0</v>
      </c>
      <c r="AD129" s="17"/>
      <c r="AE129" s="17">
        <v>0</v>
      </c>
      <c r="AF129" s="17">
        <v>0</v>
      </c>
      <c r="AG129" s="17">
        <v>0</v>
      </c>
      <c r="AH129" s="17"/>
      <c r="AI129" s="14">
        <f>SUM(C129:AG129)</f>
        <v>1033452.5</v>
      </c>
      <c r="AJ129" s="146"/>
      <c r="AK129" s="17">
        <f>SUMIF($C$9:$AH$9,"=Addition",$C129:$AH129)</f>
        <v>0</v>
      </c>
      <c r="AL129" s="59"/>
      <c r="AM129" s="17">
        <f>SUMIF($C$9:$AH$9,"=Adjustment",$C129:$AH129)</f>
        <v>0</v>
      </c>
      <c r="AN129" s="59"/>
      <c r="AO129" s="17">
        <f>SUMIF($C$9:$AH$9,"=Transfer",$C129:$AH129)</f>
        <v>240853.29</v>
      </c>
      <c r="AP129" s="59"/>
      <c r="AQ129" s="17">
        <f>SUMIF($C$9:$Z$9,"=N/A",$C129:$Z129)</f>
        <v>792599.21</v>
      </c>
      <c r="AR129" s="59"/>
      <c r="AS129" s="17">
        <f>SUM(AK129:AQ129)</f>
        <v>1033452.5</v>
      </c>
      <c r="AT129" s="17"/>
      <c r="AU129" s="17">
        <f>+AI129-AS129</f>
        <v>0</v>
      </c>
    </row>
    <row r="130" spans="1:47" x14ac:dyDescent="0.2">
      <c r="A130" s="8"/>
      <c r="B130" s="73" t="s">
        <v>16</v>
      </c>
      <c r="C130" s="17">
        <v>0</v>
      </c>
      <c r="D130" s="14"/>
      <c r="E130" s="17">
        <v>0</v>
      </c>
      <c r="F130" s="14"/>
      <c r="G130" s="17">
        <v>0</v>
      </c>
      <c r="H130" s="14"/>
      <c r="I130" s="17">
        <v>0</v>
      </c>
      <c r="J130" s="14"/>
      <c r="K130" s="17">
        <v>0</v>
      </c>
      <c r="L130" s="14"/>
      <c r="M130" s="17">
        <v>0</v>
      </c>
      <c r="N130" s="14"/>
      <c r="O130" s="17">
        <v>0</v>
      </c>
      <c r="P130" s="14"/>
      <c r="Q130" s="17">
        <v>0</v>
      </c>
      <c r="R130" s="14"/>
      <c r="S130" s="17">
        <v>0</v>
      </c>
      <c r="T130" s="14"/>
      <c r="U130" s="17">
        <v>0</v>
      </c>
      <c r="V130" s="14"/>
      <c r="W130" s="17">
        <v>0</v>
      </c>
      <c r="X130" s="14"/>
      <c r="Y130" s="17">
        <v>0</v>
      </c>
      <c r="Z130" s="14"/>
      <c r="AA130" s="17">
        <v>0</v>
      </c>
      <c r="AB130" s="14"/>
      <c r="AC130" s="17">
        <v>0</v>
      </c>
      <c r="AD130" s="14"/>
      <c r="AE130" s="17">
        <v>0</v>
      </c>
      <c r="AF130" s="17">
        <v>0</v>
      </c>
      <c r="AG130" s="17">
        <v>0</v>
      </c>
      <c r="AH130" s="14"/>
      <c r="AI130" s="14">
        <f t="shared" ref="AI130" si="39">SUM(C130:AG130)</f>
        <v>0</v>
      </c>
      <c r="AJ130" s="4"/>
      <c r="AK130" s="17">
        <f>SUMIF($C$9:$AH$9,"=Addition",$C130:$AH130)</f>
        <v>0</v>
      </c>
      <c r="AL130" s="59"/>
      <c r="AM130" s="17">
        <f>SUMIF($C$9:$AH$9,"=Adjustment",$C130:$AH130)</f>
        <v>0</v>
      </c>
      <c r="AN130" s="59"/>
      <c r="AO130" s="17">
        <f>SUMIF($C$9:$AH$9,"=Transfer",$C130:$AH130)</f>
        <v>0</v>
      </c>
      <c r="AP130" s="59"/>
      <c r="AQ130" s="17">
        <f>SUMIF($C$9:$Z$9,"=N/A",$C130:$Z130)</f>
        <v>0</v>
      </c>
      <c r="AR130" s="59"/>
      <c r="AS130" s="17">
        <f>SUM(AK130:AQ130)</f>
        <v>0</v>
      </c>
      <c r="AT130" s="17"/>
      <c r="AU130" s="17">
        <f>+AI130-AS130</f>
        <v>0</v>
      </c>
    </row>
    <row r="131" spans="1:47" x14ac:dyDescent="0.2">
      <c r="A131" s="8"/>
      <c r="B131" s="76" t="s">
        <v>13</v>
      </c>
      <c r="C131" s="17">
        <v>131956.31</v>
      </c>
      <c r="D131" s="14"/>
      <c r="E131" s="17"/>
      <c r="F131" s="14"/>
      <c r="G131" s="17">
        <v>0</v>
      </c>
      <c r="H131" s="14"/>
      <c r="I131" s="17">
        <v>0</v>
      </c>
      <c r="J131" s="14"/>
      <c r="K131" s="17">
        <v>0</v>
      </c>
      <c r="L131" s="14"/>
      <c r="M131" s="17">
        <v>0</v>
      </c>
      <c r="N131" s="14"/>
      <c r="O131" s="17">
        <v>0</v>
      </c>
      <c r="P131" s="14"/>
      <c r="Q131" s="17">
        <v>0</v>
      </c>
      <c r="R131" s="14"/>
      <c r="S131" s="17">
        <v>0</v>
      </c>
      <c r="T131" s="14"/>
      <c r="U131" s="17">
        <v>0</v>
      </c>
      <c r="V131" s="14"/>
      <c r="W131" s="17">
        <v>0</v>
      </c>
      <c r="X131" s="14"/>
      <c r="Y131" s="17">
        <v>0</v>
      </c>
      <c r="Z131" s="14"/>
      <c r="AA131" s="17">
        <v>0</v>
      </c>
      <c r="AB131" s="14"/>
      <c r="AC131" s="17">
        <v>0</v>
      </c>
      <c r="AD131" s="14"/>
      <c r="AE131" s="17">
        <v>0</v>
      </c>
      <c r="AF131" s="17">
        <v>0</v>
      </c>
      <c r="AG131" s="17">
        <v>0</v>
      </c>
      <c r="AH131" s="14"/>
      <c r="AI131" s="14">
        <f>SUM(C131:AG131)</f>
        <v>131956.31</v>
      </c>
      <c r="AJ131" s="4"/>
      <c r="AK131" s="17">
        <f>SUMIF($C$9:$AH$9,"=Addition",$C131:$AH131)</f>
        <v>0</v>
      </c>
      <c r="AL131" s="59"/>
      <c r="AM131" s="17">
        <f>SUMIF($C$9:$AH$9,"=Adjustment",$C131:$AH131)</f>
        <v>0</v>
      </c>
      <c r="AN131" s="59"/>
      <c r="AO131" s="17">
        <f>SUMIF($C$9:$AH$9,"=Transfer",$C131:$AH131)</f>
        <v>131956.31</v>
      </c>
      <c r="AP131" s="59"/>
      <c r="AQ131" s="17">
        <f>SUMIF($C$9:$Z$9,"=N/A",$C131:$Z131)</f>
        <v>0</v>
      </c>
      <c r="AR131" s="59"/>
      <c r="AS131" s="17">
        <f>SUM(AK131:AQ131)</f>
        <v>131956.31</v>
      </c>
      <c r="AT131" s="17"/>
      <c r="AU131" s="17">
        <f>+AI131-AS131</f>
        <v>0</v>
      </c>
    </row>
    <row r="132" spans="1:47" x14ac:dyDescent="0.2">
      <c r="A132" s="8"/>
      <c r="B132" s="73"/>
      <c r="C132" s="18"/>
      <c r="D132" s="14"/>
      <c r="E132" s="18"/>
      <c r="F132" s="14"/>
      <c r="G132" s="18"/>
      <c r="H132" s="14"/>
      <c r="I132" s="18"/>
      <c r="J132" s="14"/>
      <c r="K132" s="18">
        <f>SUM(K129:K130)</f>
        <v>0</v>
      </c>
      <c r="L132" s="14"/>
      <c r="M132" s="18"/>
      <c r="N132" s="14"/>
      <c r="O132" s="18"/>
      <c r="P132" s="14"/>
      <c r="Q132" s="18"/>
      <c r="R132" s="14"/>
      <c r="S132" s="18"/>
      <c r="T132" s="14"/>
      <c r="U132" s="18"/>
      <c r="V132" s="14"/>
      <c r="W132" s="18"/>
      <c r="X132" s="14"/>
      <c r="Y132" s="18"/>
      <c r="Z132" s="14"/>
      <c r="AA132" s="18"/>
      <c r="AB132" s="14"/>
      <c r="AC132" s="18"/>
      <c r="AD132" s="14"/>
      <c r="AE132" s="18"/>
      <c r="AF132" s="18"/>
      <c r="AG132" s="18"/>
      <c r="AH132" s="14"/>
      <c r="AI132" s="18"/>
      <c r="AJ132" s="4"/>
      <c r="AK132" s="18"/>
      <c r="AL132" s="59"/>
      <c r="AM132" s="18"/>
      <c r="AN132" s="59"/>
      <c r="AO132" s="18"/>
      <c r="AP132" s="59"/>
      <c r="AQ132" s="18"/>
      <c r="AS132" s="18"/>
      <c r="AT132" s="14"/>
      <c r="AU132" s="18"/>
    </row>
    <row r="133" spans="1:47" x14ac:dyDescent="0.2">
      <c r="A133" s="8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4"/>
      <c r="AK133" s="17"/>
      <c r="AL133" s="14"/>
      <c r="AM133" s="17"/>
      <c r="AN133" s="14"/>
      <c r="AO133" s="17"/>
      <c r="AP133" s="14"/>
      <c r="AQ133" s="17"/>
      <c r="AR133" s="14"/>
      <c r="AS133" s="14"/>
      <c r="AT133" s="14"/>
      <c r="AU133" s="14"/>
    </row>
    <row r="134" spans="1:47" x14ac:dyDescent="0.2">
      <c r="A134" s="8"/>
      <c r="B134" s="12" t="s">
        <v>24</v>
      </c>
      <c r="C134" s="16">
        <f>SUM(C129:C131)</f>
        <v>131956.31</v>
      </c>
      <c r="D134" s="14"/>
      <c r="E134" s="16">
        <f>SUM(E129:E131)</f>
        <v>0</v>
      </c>
      <c r="F134" s="14"/>
      <c r="G134" s="16">
        <f>SUM(G129:G131)</f>
        <v>792599.21</v>
      </c>
      <c r="H134" s="14"/>
      <c r="I134" s="16">
        <f>SUM(I129:I131)</f>
        <v>0</v>
      </c>
      <c r="J134" s="14"/>
      <c r="K134" s="16">
        <f>SUM(K129:K131)</f>
        <v>0</v>
      </c>
      <c r="L134" s="14"/>
      <c r="M134" s="16">
        <f>SUM(M129:M131)</f>
        <v>0</v>
      </c>
      <c r="N134" s="14"/>
      <c r="O134" s="16">
        <f>SUM(O129:O131)</f>
        <v>0</v>
      </c>
      <c r="P134" s="14"/>
      <c r="Q134" s="16">
        <f>SUM(Q129:Q131)</f>
        <v>0</v>
      </c>
      <c r="R134" s="14"/>
      <c r="S134" s="16">
        <f>SUM(S129:S131)</f>
        <v>0</v>
      </c>
      <c r="T134" s="14"/>
      <c r="U134" s="16">
        <f>SUM(U129:U131)</f>
        <v>240853.29</v>
      </c>
      <c r="V134" s="14"/>
      <c r="W134" s="16">
        <f>SUM(W129:W131)</f>
        <v>0</v>
      </c>
      <c r="X134" s="14"/>
      <c r="Y134" s="16">
        <f>SUM(Y129:Y131)</f>
        <v>0</v>
      </c>
      <c r="Z134" s="14"/>
      <c r="AA134" s="16">
        <f>SUM(AA129:AA131)</f>
        <v>0</v>
      </c>
      <c r="AB134" s="14"/>
      <c r="AC134" s="16">
        <f>SUM(AC129:AC131)</f>
        <v>0</v>
      </c>
      <c r="AD134" s="14"/>
      <c r="AE134" s="16">
        <f>SUM(AE129:AE131)</f>
        <v>0</v>
      </c>
      <c r="AF134" s="16">
        <f>SUM(AF129:AF131)</f>
        <v>0</v>
      </c>
      <c r="AG134" s="16">
        <f>SUM(AG129:AG131)</f>
        <v>0</v>
      </c>
      <c r="AH134" s="14"/>
      <c r="AI134" s="16">
        <f>SUM(AI129:AI131)</f>
        <v>1165408.81</v>
      </c>
      <c r="AJ134" s="4"/>
      <c r="AK134" s="16">
        <f>SUM(AK129:AK131)</f>
        <v>0</v>
      </c>
      <c r="AL134" s="14"/>
      <c r="AM134" s="16">
        <f>SUM(AM129:AM131)</f>
        <v>0</v>
      </c>
      <c r="AN134" s="14"/>
      <c r="AO134" s="16">
        <f>SUM(AO129:AO131)</f>
        <v>372809.6</v>
      </c>
      <c r="AP134" s="14"/>
      <c r="AQ134" s="16">
        <f>SUM(AQ129:AQ131)</f>
        <v>792599.21</v>
      </c>
      <c r="AR134" s="14"/>
      <c r="AS134" s="16">
        <f>SUM(AS129:AS131)</f>
        <v>1165408.81</v>
      </c>
      <c r="AT134" s="14"/>
      <c r="AU134" s="16">
        <f>SUM(AU129:AU130)</f>
        <v>0</v>
      </c>
    </row>
    <row r="135" spans="1:47" x14ac:dyDescent="0.2">
      <c r="A135" s="8"/>
      <c r="C135" s="12"/>
      <c r="D135" s="17"/>
      <c r="E135" s="12"/>
      <c r="F135" s="17"/>
      <c r="G135" s="12"/>
      <c r="H135" s="17"/>
      <c r="I135" s="12"/>
      <c r="J135" s="17"/>
      <c r="K135" s="12"/>
      <c r="L135" s="17"/>
      <c r="M135" s="12"/>
      <c r="N135" s="17"/>
      <c r="O135" s="12"/>
      <c r="P135" s="17"/>
      <c r="Q135" s="12"/>
      <c r="R135" s="17"/>
      <c r="S135" s="12"/>
      <c r="T135" s="17"/>
      <c r="U135" s="12"/>
      <c r="V135" s="17"/>
      <c r="W135" s="12"/>
      <c r="X135" s="17"/>
      <c r="Y135" s="12"/>
      <c r="Z135" s="17"/>
      <c r="AA135" s="12"/>
      <c r="AB135" s="17"/>
      <c r="AC135" s="12"/>
      <c r="AD135" s="17"/>
      <c r="AE135" s="12"/>
      <c r="AF135" s="12"/>
      <c r="AG135" s="12"/>
      <c r="AH135" s="17"/>
      <c r="AI135" s="12"/>
      <c r="AJ135" s="17"/>
      <c r="AK135" s="12"/>
      <c r="AL135" s="17"/>
      <c r="AM135" s="12"/>
      <c r="AN135" s="17"/>
      <c r="AO135" s="12"/>
      <c r="AP135" s="17"/>
      <c r="AQ135" s="12"/>
      <c r="AR135" s="17"/>
      <c r="AS135" s="12"/>
      <c r="AT135" s="17"/>
      <c r="AU135" s="12"/>
    </row>
    <row r="136" spans="1:47" x14ac:dyDescent="0.2">
      <c r="A136" s="8">
        <v>106</v>
      </c>
      <c r="B136" s="12" t="s">
        <v>25</v>
      </c>
      <c r="D136" s="19"/>
      <c r="F136" s="19"/>
      <c r="H136" s="19"/>
      <c r="J136" s="19"/>
      <c r="L136" s="19"/>
      <c r="N136" s="19"/>
      <c r="P136" s="19"/>
      <c r="R136" s="19"/>
      <c r="T136" s="19"/>
      <c r="V136" s="19"/>
      <c r="X136" s="19"/>
      <c r="Z136" s="19"/>
      <c r="AB136" s="19"/>
      <c r="AD136" s="19"/>
      <c r="AH136" s="19"/>
      <c r="AJ136" s="19"/>
      <c r="AL136" s="19"/>
      <c r="AN136" s="19"/>
      <c r="AP136" s="19"/>
      <c r="AR136" s="19"/>
      <c r="AT136" s="19"/>
    </row>
    <row r="137" spans="1:47" x14ac:dyDescent="0.2">
      <c r="A137" s="71" t="s">
        <v>11</v>
      </c>
      <c r="B137" s="12"/>
    </row>
    <row r="138" spans="1:47" x14ac:dyDescent="0.2">
      <c r="A138" s="71"/>
      <c r="B138" s="12" t="s">
        <v>12</v>
      </c>
    </row>
    <row r="139" spans="1:47" x14ac:dyDescent="0.2">
      <c r="A139" s="71"/>
      <c r="B139" s="3" t="s">
        <v>146</v>
      </c>
      <c r="C139" s="14">
        <v>0</v>
      </c>
      <c r="E139" s="14">
        <v>0</v>
      </c>
      <c r="G139" s="14">
        <v>0</v>
      </c>
      <c r="I139" s="14">
        <v>0</v>
      </c>
      <c r="K139" s="14">
        <v>0</v>
      </c>
      <c r="M139" s="14">
        <v>0</v>
      </c>
      <c r="O139" s="14">
        <v>0</v>
      </c>
      <c r="Q139" s="14">
        <v>0</v>
      </c>
      <c r="S139" s="14">
        <v>0</v>
      </c>
      <c r="U139" s="14">
        <v>0</v>
      </c>
      <c r="W139" s="14">
        <v>0</v>
      </c>
      <c r="Y139" s="14">
        <v>0</v>
      </c>
      <c r="AA139" s="14">
        <v>0</v>
      </c>
      <c r="AC139" s="14">
        <v>0</v>
      </c>
      <c r="AE139" s="14">
        <v>0</v>
      </c>
      <c r="AF139" s="14">
        <v>0</v>
      </c>
      <c r="AG139" s="14">
        <v>0</v>
      </c>
      <c r="AI139" s="14">
        <f>SUM(C139:AG139)</f>
        <v>0</v>
      </c>
      <c r="AK139" s="14">
        <f t="shared" ref="AK139:AK153" si="40">SUMIF($C$9:$AH$9,"=Addition",$C139:$AH139)</f>
        <v>0</v>
      </c>
      <c r="AM139" s="14">
        <f t="shared" ref="AM139:AM153" si="41">SUMIF($C$9:$AH$9,"=Adjustment",$C139:$AH139)</f>
        <v>0</v>
      </c>
      <c r="AO139" s="14">
        <f t="shared" ref="AO139:AO153" si="42">SUMIF($C$9:$AH$9,"=Transfer",$C139:$AH139)</f>
        <v>0</v>
      </c>
      <c r="AQ139" s="14">
        <f t="shared" ref="AQ139:AQ153" si="43">SUMIF($C$9:$Z$9,"=N/A",$C139:$Z139)</f>
        <v>0</v>
      </c>
      <c r="AS139" s="14">
        <f t="shared" ref="AS139:AS153" si="44">SUM(AK139:AQ139)</f>
        <v>0</v>
      </c>
      <c r="AU139" s="14">
        <f t="shared" si="26"/>
        <v>0</v>
      </c>
    </row>
    <row r="140" spans="1:47" x14ac:dyDescent="0.2">
      <c r="A140" s="71"/>
      <c r="B140" s="3" t="s">
        <v>147</v>
      </c>
      <c r="C140" s="14">
        <v>0</v>
      </c>
      <c r="E140" s="14">
        <v>0</v>
      </c>
      <c r="G140" s="14">
        <v>0</v>
      </c>
      <c r="I140" s="14">
        <v>0</v>
      </c>
      <c r="K140" s="14">
        <v>0</v>
      </c>
      <c r="M140" s="14">
        <v>0</v>
      </c>
      <c r="O140" s="14">
        <v>0</v>
      </c>
      <c r="Q140" s="14">
        <v>0</v>
      </c>
      <c r="S140" s="14">
        <v>0</v>
      </c>
      <c r="U140" s="14">
        <v>0</v>
      </c>
      <c r="W140" s="14">
        <v>0</v>
      </c>
      <c r="Y140" s="14">
        <v>0</v>
      </c>
      <c r="AA140" s="14">
        <v>0</v>
      </c>
      <c r="AC140" s="14">
        <v>0</v>
      </c>
      <c r="AE140" s="14">
        <v>0</v>
      </c>
      <c r="AF140" s="14">
        <v>0</v>
      </c>
      <c r="AG140" s="14">
        <v>0</v>
      </c>
      <c r="AI140" s="14">
        <f t="shared" ref="AI140:AI153" si="45">SUM(C140:AG140)</f>
        <v>0</v>
      </c>
      <c r="AK140" s="14">
        <f t="shared" si="40"/>
        <v>0</v>
      </c>
      <c r="AM140" s="14">
        <f t="shared" si="41"/>
        <v>0</v>
      </c>
      <c r="AO140" s="14">
        <f t="shared" si="42"/>
        <v>0</v>
      </c>
      <c r="AQ140" s="14">
        <f t="shared" si="43"/>
        <v>0</v>
      </c>
      <c r="AS140" s="14">
        <f t="shared" si="44"/>
        <v>0</v>
      </c>
      <c r="AU140" s="14">
        <f t="shared" si="26"/>
        <v>0</v>
      </c>
    </row>
    <row r="141" spans="1:47" x14ac:dyDescent="0.2">
      <c r="A141" s="71"/>
      <c r="B141" s="3" t="s">
        <v>148</v>
      </c>
      <c r="C141" s="14">
        <v>0</v>
      </c>
      <c r="E141" s="14">
        <v>0</v>
      </c>
      <c r="G141" s="14">
        <v>0</v>
      </c>
      <c r="I141" s="14">
        <v>0</v>
      </c>
      <c r="K141" s="14">
        <v>0</v>
      </c>
      <c r="M141" s="14">
        <v>0</v>
      </c>
      <c r="O141" s="14">
        <v>0</v>
      </c>
      <c r="Q141" s="14">
        <v>0</v>
      </c>
      <c r="S141" s="14">
        <v>0</v>
      </c>
      <c r="U141" s="14">
        <v>0</v>
      </c>
      <c r="W141" s="14">
        <v>0</v>
      </c>
      <c r="Y141" s="14">
        <v>0</v>
      </c>
      <c r="AA141" s="14">
        <v>0</v>
      </c>
      <c r="AC141" s="14">
        <v>0</v>
      </c>
      <c r="AE141" s="14">
        <v>0</v>
      </c>
      <c r="AF141" s="14">
        <v>0</v>
      </c>
      <c r="AG141" s="14">
        <v>0</v>
      </c>
      <c r="AI141" s="14">
        <f t="shared" si="45"/>
        <v>0</v>
      </c>
      <c r="AK141" s="14">
        <f t="shared" si="40"/>
        <v>0</v>
      </c>
      <c r="AM141" s="14">
        <f t="shared" si="41"/>
        <v>0</v>
      </c>
      <c r="AO141" s="14">
        <f t="shared" si="42"/>
        <v>0</v>
      </c>
      <c r="AQ141" s="14">
        <f t="shared" si="43"/>
        <v>0</v>
      </c>
      <c r="AS141" s="14">
        <f t="shared" si="44"/>
        <v>0</v>
      </c>
      <c r="AU141" s="14">
        <f t="shared" si="26"/>
        <v>0</v>
      </c>
    </row>
    <row r="142" spans="1:47" x14ac:dyDescent="0.2">
      <c r="A142" s="71"/>
      <c r="B142" s="3" t="s">
        <v>149</v>
      </c>
      <c r="C142" s="14">
        <v>0</v>
      </c>
      <c r="E142" s="14">
        <v>0</v>
      </c>
      <c r="G142" s="14">
        <v>0</v>
      </c>
      <c r="I142" s="14">
        <v>0</v>
      </c>
      <c r="K142" s="14">
        <v>0</v>
      </c>
      <c r="M142" s="14">
        <v>0</v>
      </c>
      <c r="O142" s="14">
        <v>0</v>
      </c>
      <c r="Q142" s="14">
        <v>0</v>
      </c>
      <c r="S142" s="14">
        <v>0</v>
      </c>
      <c r="U142" s="14">
        <v>0</v>
      </c>
      <c r="W142" s="14">
        <v>0</v>
      </c>
      <c r="Y142" s="14">
        <v>0</v>
      </c>
      <c r="AA142" s="14">
        <v>0</v>
      </c>
      <c r="AC142" s="14">
        <v>0</v>
      </c>
      <c r="AE142" s="14">
        <v>0</v>
      </c>
      <c r="AF142" s="14">
        <v>0</v>
      </c>
      <c r="AG142" s="14">
        <v>0</v>
      </c>
      <c r="AI142" s="14">
        <f t="shared" si="45"/>
        <v>0</v>
      </c>
      <c r="AK142" s="14">
        <f t="shared" si="40"/>
        <v>0</v>
      </c>
      <c r="AM142" s="14">
        <f t="shared" si="41"/>
        <v>0</v>
      </c>
      <c r="AO142" s="14">
        <f t="shared" si="42"/>
        <v>0</v>
      </c>
      <c r="AQ142" s="14">
        <f t="shared" si="43"/>
        <v>0</v>
      </c>
      <c r="AS142" s="14">
        <f t="shared" si="44"/>
        <v>0</v>
      </c>
      <c r="AU142" s="14">
        <f t="shared" si="26"/>
        <v>0</v>
      </c>
    </row>
    <row r="143" spans="1:47" x14ac:dyDescent="0.2">
      <c r="A143" s="71"/>
      <c r="B143" s="3" t="s">
        <v>150</v>
      </c>
      <c r="C143" s="14">
        <v>0</v>
      </c>
      <c r="E143" s="14">
        <v>0</v>
      </c>
      <c r="G143" s="14">
        <v>0</v>
      </c>
      <c r="I143" s="14">
        <v>0</v>
      </c>
      <c r="K143" s="14">
        <v>0</v>
      </c>
      <c r="M143" s="14">
        <v>0</v>
      </c>
      <c r="O143" s="14">
        <v>0</v>
      </c>
      <c r="Q143" s="14">
        <v>0</v>
      </c>
      <c r="S143" s="14">
        <v>0</v>
      </c>
      <c r="U143" s="14">
        <v>0</v>
      </c>
      <c r="W143" s="14">
        <v>0</v>
      </c>
      <c r="Y143" s="14">
        <v>0</v>
      </c>
      <c r="AA143" s="14">
        <v>0</v>
      </c>
      <c r="AC143" s="14">
        <v>0</v>
      </c>
      <c r="AE143" s="14">
        <v>0</v>
      </c>
      <c r="AF143" s="14">
        <v>0</v>
      </c>
      <c r="AG143" s="14">
        <v>0</v>
      </c>
      <c r="AI143" s="14">
        <f t="shared" si="45"/>
        <v>0</v>
      </c>
      <c r="AK143" s="14">
        <f t="shared" si="40"/>
        <v>0</v>
      </c>
      <c r="AM143" s="14">
        <f t="shared" si="41"/>
        <v>0</v>
      </c>
      <c r="AO143" s="14">
        <f t="shared" si="42"/>
        <v>0</v>
      </c>
      <c r="AQ143" s="14">
        <f t="shared" si="43"/>
        <v>0</v>
      </c>
      <c r="AS143" s="14">
        <f t="shared" si="44"/>
        <v>0</v>
      </c>
      <c r="AU143" s="14">
        <f t="shared" si="26"/>
        <v>0</v>
      </c>
    </row>
    <row r="144" spans="1:47" x14ac:dyDescent="0.2">
      <c r="A144" s="71"/>
      <c r="B144" s="3" t="s">
        <v>151</v>
      </c>
      <c r="C144" s="14">
        <v>0</v>
      </c>
      <c r="E144" s="14">
        <v>0</v>
      </c>
      <c r="G144" s="14">
        <v>0</v>
      </c>
      <c r="I144" s="14">
        <v>0</v>
      </c>
      <c r="K144" s="14">
        <v>0</v>
      </c>
      <c r="M144" s="14">
        <v>0</v>
      </c>
      <c r="O144" s="14">
        <v>0</v>
      </c>
      <c r="Q144" s="14">
        <v>0</v>
      </c>
      <c r="S144" s="14">
        <v>0</v>
      </c>
      <c r="U144" s="14">
        <v>0</v>
      </c>
      <c r="W144" s="14">
        <v>0</v>
      </c>
      <c r="Y144" s="14">
        <v>0</v>
      </c>
      <c r="AA144" s="14">
        <v>0</v>
      </c>
      <c r="AC144" s="14">
        <v>0</v>
      </c>
      <c r="AE144" s="14">
        <v>0</v>
      </c>
      <c r="AF144" s="14">
        <v>0</v>
      </c>
      <c r="AG144" s="14">
        <v>0</v>
      </c>
      <c r="AI144" s="14">
        <f t="shared" si="45"/>
        <v>0</v>
      </c>
      <c r="AK144" s="14">
        <f t="shared" si="40"/>
        <v>0</v>
      </c>
      <c r="AM144" s="14">
        <f t="shared" si="41"/>
        <v>0</v>
      </c>
      <c r="AO144" s="14">
        <f t="shared" si="42"/>
        <v>0</v>
      </c>
      <c r="AQ144" s="14">
        <f t="shared" si="43"/>
        <v>0</v>
      </c>
      <c r="AS144" s="14">
        <f t="shared" si="44"/>
        <v>0</v>
      </c>
      <c r="AU144" s="14">
        <f t="shared" si="26"/>
        <v>0</v>
      </c>
    </row>
    <row r="145" spans="1:47" x14ac:dyDescent="0.2">
      <c r="A145" s="71"/>
      <c r="B145" s="3" t="s">
        <v>152</v>
      </c>
      <c r="C145" s="14">
        <v>0</v>
      </c>
      <c r="E145" s="14">
        <v>0</v>
      </c>
      <c r="G145" s="14">
        <v>0</v>
      </c>
      <c r="I145" s="14">
        <v>0</v>
      </c>
      <c r="K145" s="14">
        <v>0</v>
      </c>
      <c r="M145" s="14">
        <v>0</v>
      </c>
      <c r="O145" s="14">
        <v>0</v>
      </c>
      <c r="Q145" s="14">
        <v>0</v>
      </c>
      <c r="S145" s="14">
        <v>0</v>
      </c>
      <c r="U145" s="14">
        <v>0</v>
      </c>
      <c r="W145" s="14">
        <v>0</v>
      </c>
      <c r="Y145" s="14">
        <v>0</v>
      </c>
      <c r="AA145" s="14">
        <v>0</v>
      </c>
      <c r="AC145" s="14">
        <v>0</v>
      </c>
      <c r="AE145" s="14">
        <v>0</v>
      </c>
      <c r="AF145" s="14">
        <v>0</v>
      </c>
      <c r="AG145" s="14">
        <v>0</v>
      </c>
      <c r="AI145" s="14">
        <f t="shared" si="45"/>
        <v>0</v>
      </c>
      <c r="AK145" s="14">
        <f t="shared" si="40"/>
        <v>0</v>
      </c>
      <c r="AM145" s="14">
        <f t="shared" si="41"/>
        <v>0</v>
      </c>
      <c r="AO145" s="14">
        <f t="shared" si="42"/>
        <v>0</v>
      </c>
      <c r="AQ145" s="14">
        <f t="shared" si="43"/>
        <v>0</v>
      </c>
      <c r="AS145" s="14">
        <f t="shared" si="44"/>
        <v>0</v>
      </c>
      <c r="AU145" s="14">
        <f t="shared" si="26"/>
        <v>0</v>
      </c>
    </row>
    <row r="146" spans="1:47" x14ac:dyDescent="0.2">
      <c r="A146" s="71"/>
      <c r="B146" s="3" t="s">
        <v>153</v>
      </c>
      <c r="C146" s="14">
        <v>0</v>
      </c>
      <c r="E146" s="14">
        <v>0</v>
      </c>
      <c r="G146" s="14">
        <v>0</v>
      </c>
      <c r="I146" s="14">
        <v>0</v>
      </c>
      <c r="K146" s="14">
        <v>0</v>
      </c>
      <c r="M146" s="14">
        <v>0</v>
      </c>
      <c r="O146" s="14">
        <v>0</v>
      </c>
      <c r="Q146" s="14">
        <v>0</v>
      </c>
      <c r="S146" s="14">
        <v>0</v>
      </c>
      <c r="U146" s="14">
        <v>0</v>
      </c>
      <c r="W146" s="14">
        <v>0</v>
      </c>
      <c r="Y146" s="14">
        <v>0</v>
      </c>
      <c r="AA146" s="14">
        <v>0</v>
      </c>
      <c r="AC146" s="14">
        <v>0</v>
      </c>
      <c r="AE146" s="14">
        <v>0</v>
      </c>
      <c r="AF146" s="14">
        <v>0</v>
      </c>
      <c r="AG146" s="14">
        <v>0</v>
      </c>
      <c r="AI146" s="14">
        <f t="shared" si="45"/>
        <v>0</v>
      </c>
      <c r="AK146" s="14">
        <f t="shared" si="40"/>
        <v>0</v>
      </c>
      <c r="AM146" s="14">
        <f t="shared" si="41"/>
        <v>0</v>
      </c>
      <c r="AO146" s="14">
        <f t="shared" si="42"/>
        <v>0</v>
      </c>
      <c r="AQ146" s="14">
        <f t="shared" si="43"/>
        <v>0</v>
      </c>
      <c r="AS146" s="14">
        <f t="shared" si="44"/>
        <v>0</v>
      </c>
      <c r="AU146" s="14">
        <f t="shared" si="26"/>
        <v>0</v>
      </c>
    </row>
    <row r="147" spans="1:47" x14ac:dyDescent="0.2">
      <c r="A147" s="71"/>
      <c r="B147" s="3" t="s">
        <v>154</v>
      </c>
      <c r="C147" s="14">
        <v>0</v>
      </c>
      <c r="E147" s="14">
        <v>0</v>
      </c>
      <c r="G147" s="14">
        <v>0</v>
      </c>
      <c r="I147" s="14">
        <v>0</v>
      </c>
      <c r="K147" s="14">
        <v>0</v>
      </c>
      <c r="M147" s="14">
        <v>0</v>
      </c>
      <c r="O147" s="14">
        <v>0</v>
      </c>
      <c r="Q147" s="14">
        <v>0</v>
      </c>
      <c r="S147" s="14">
        <v>0</v>
      </c>
      <c r="U147" s="14">
        <v>0</v>
      </c>
      <c r="W147" s="14">
        <v>0</v>
      </c>
      <c r="Y147" s="14">
        <v>0</v>
      </c>
      <c r="AA147" s="14">
        <v>0</v>
      </c>
      <c r="AC147" s="14">
        <v>0</v>
      </c>
      <c r="AE147" s="14">
        <v>0</v>
      </c>
      <c r="AF147" s="14">
        <v>0</v>
      </c>
      <c r="AG147" s="14">
        <v>0</v>
      </c>
      <c r="AI147" s="14">
        <f t="shared" si="45"/>
        <v>0</v>
      </c>
      <c r="AK147" s="14">
        <f t="shared" si="40"/>
        <v>0</v>
      </c>
      <c r="AM147" s="14">
        <f t="shared" si="41"/>
        <v>0</v>
      </c>
      <c r="AO147" s="14">
        <f t="shared" si="42"/>
        <v>0</v>
      </c>
      <c r="AQ147" s="14">
        <f t="shared" si="43"/>
        <v>0</v>
      </c>
      <c r="AS147" s="14">
        <f t="shared" si="44"/>
        <v>0</v>
      </c>
      <c r="AU147" s="14">
        <f t="shared" si="26"/>
        <v>0</v>
      </c>
    </row>
    <row r="148" spans="1:47" x14ac:dyDescent="0.2">
      <c r="A148" s="71"/>
      <c r="B148" s="3" t="s">
        <v>155</v>
      </c>
      <c r="C148" s="14">
        <v>0</v>
      </c>
      <c r="E148" s="14">
        <v>0</v>
      </c>
      <c r="G148" s="14">
        <v>0</v>
      </c>
      <c r="I148" s="14">
        <v>0</v>
      </c>
      <c r="K148" s="14">
        <v>0</v>
      </c>
      <c r="M148" s="14">
        <v>0</v>
      </c>
      <c r="O148" s="14">
        <v>0</v>
      </c>
      <c r="Q148" s="14">
        <v>0</v>
      </c>
      <c r="S148" s="14">
        <v>0</v>
      </c>
      <c r="U148" s="14">
        <v>0</v>
      </c>
      <c r="W148" s="14">
        <v>0</v>
      </c>
      <c r="Y148" s="14">
        <v>0</v>
      </c>
      <c r="AA148" s="14">
        <v>0</v>
      </c>
      <c r="AC148" s="14">
        <v>0</v>
      </c>
      <c r="AE148" s="14">
        <v>0</v>
      </c>
      <c r="AF148" s="14">
        <v>0</v>
      </c>
      <c r="AG148" s="14">
        <v>0</v>
      </c>
      <c r="AI148" s="14">
        <f t="shared" si="45"/>
        <v>0</v>
      </c>
      <c r="AK148" s="14">
        <f t="shared" si="40"/>
        <v>0</v>
      </c>
      <c r="AM148" s="14">
        <f t="shared" si="41"/>
        <v>0</v>
      </c>
      <c r="AO148" s="14">
        <f t="shared" si="42"/>
        <v>0</v>
      </c>
      <c r="AQ148" s="14">
        <f t="shared" si="43"/>
        <v>0</v>
      </c>
      <c r="AS148" s="14">
        <f t="shared" si="44"/>
        <v>0</v>
      </c>
      <c r="AU148" s="14">
        <f t="shared" si="26"/>
        <v>0</v>
      </c>
    </row>
    <row r="149" spans="1:47" x14ac:dyDescent="0.2">
      <c r="A149" s="71"/>
      <c r="B149" s="3" t="s">
        <v>156</v>
      </c>
      <c r="C149" s="14">
        <v>0</v>
      </c>
      <c r="E149" s="14">
        <v>0</v>
      </c>
      <c r="G149" s="14">
        <v>0</v>
      </c>
      <c r="I149" s="14">
        <v>0</v>
      </c>
      <c r="K149" s="14">
        <v>0</v>
      </c>
      <c r="M149" s="14">
        <v>0</v>
      </c>
      <c r="O149" s="14">
        <v>0</v>
      </c>
      <c r="Q149" s="14">
        <v>0</v>
      </c>
      <c r="S149" s="14">
        <v>0</v>
      </c>
      <c r="U149" s="14">
        <v>0</v>
      </c>
      <c r="W149" s="14">
        <v>0</v>
      </c>
      <c r="Y149" s="14">
        <v>0</v>
      </c>
      <c r="AA149" s="14">
        <v>0</v>
      </c>
      <c r="AC149" s="14">
        <v>0</v>
      </c>
      <c r="AE149" s="14">
        <v>0</v>
      </c>
      <c r="AF149" s="14">
        <v>0</v>
      </c>
      <c r="AG149" s="14">
        <v>0</v>
      </c>
      <c r="AI149" s="14">
        <f t="shared" si="45"/>
        <v>0</v>
      </c>
      <c r="AK149" s="14">
        <f t="shared" si="40"/>
        <v>0</v>
      </c>
      <c r="AM149" s="14">
        <f t="shared" si="41"/>
        <v>0</v>
      </c>
      <c r="AO149" s="14">
        <f t="shared" si="42"/>
        <v>0</v>
      </c>
      <c r="AQ149" s="14">
        <f t="shared" si="43"/>
        <v>0</v>
      </c>
      <c r="AS149" s="14">
        <f t="shared" si="44"/>
        <v>0</v>
      </c>
      <c r="AU149" s="14">
        <f t="shared" si="26"/>
        <v>0</v>
      </c>
    </row>
    <row r="150" spans="1:47" x14ac:dyDescent="0.2">
      <c r="A150" s="71"/>
      <c r="B150" s="3" t="s">
        <v>159</v>
      </c>
      <c r="C150" s="14">
        <v>0</v>
      </c>
      <c r="E150" s="14">
        <v>0</v>
      </c>
      <c r="G150" s="14">
        <v>0</v>
      </c>
      <c r="I150" s="14">
        <v>0</v>
      </c>
      <c r="K150" s="14">
        <v>0</v>
      </c>
      <c r="M150" s="14">
        <v>0</v>
      </c>
      <c r="O150" s="14">
        <v>0</v>
      </c>
      <c r="Q150" s="14">
        <v>0</v>
      </c>
      <c r="S150" s="14">
        <v>0</v>
      </c>
      <c r="U150" s="14">
        <v>0</v>
      </c>
      <c r="W150" s="14">
        <v>0</v>
      </c>
      <c r="Y150" s="14">
        <v>0</v>
      </c>
      <c r="AA150" s="14">
        <v>0</v>
      </c>
      <c r="AC150" s="14">
        <v>0</v>
      </c>
      <c r="AE150" s="14">
        <v>0</v>
      </c>
      <c r="AF150" s="14">
        <v>0</v>
      </c>
      <c r="AG150" s="14">
        <v>0</v>
      </c>
      <c r="AI150" s="14">
        <f t="shared" si="45"/>
        <v>0</v>
      </c>
      <c r="AK150" s="14">
        <f t="shared" si="40"/>
        <v>0</v>
      </c>
      <c r="AM150" s="14">
        <f t="shared" si="41"/>
        <v>0</v>
      </c>
      <c r="AO150" s="14">
        <f t="shared" si="42"/>
        <v>0</v>
      </c>
      <c r="AQ150" s="14">
        <f t="shared" si="43"/>
        <v>0</v>
      </c>
      <c r="AS150" s="14">
        <f t="shared" si="44"/>
        <v>0</v>
      </c>
      <c r="AU150" s="14">
        <f t="shared" si="26"/>
        <v>0</v>
      </c>
    </row>
    <row r="151" spans="1:47" x14ac:dyDescent="0.2">
      <c r="A151" s="71"/>
      <c r="B151" s="3" t="s">
        <v>160</v>
      </c>
      <c r="C151" s="14">
        <v>0</v>
      </c>
      <c r="E151" s="14">
        <v>0</v>
      </c>
      <c r="G151" s="14">
        <v>0</v>
      </c>
      <c r="I151" s="14">
        <v>0</v>
      </c>
      <c r="K151" s="14">
        <v>0</v>
      </c>
      <c r="M151" s="14">
        <v>0</v>
      </c>
      <c r="O151" s="14">
        <v>0</v>
      </c>
      <c r="Q151" s="14">
        <v>0</v>
      </c>
      <c r="S151" s="14">
        <v>0</v>
      </c>
      <c r="U151" s="14">
        <v>0</v>
      </c>
      <c r="W151" s="14">
        <v>0</v>
      </c>
      <c r="Y151" s="14">
        <v>0</v>
      </c>
      <c r="AA151" s="14">
        <v>0</v>
      </c>
      <c r="AC151" s="14">
        <v>0</v>
      </c>
      <c r="AE151" s="14">
        <v>0</v>
      </c>
      <c r="AF151" s="14">
        <v>0</v>
      </c>
      <c r="AG151" s="14">
        <v>0</v>
      </c>
      <c r="AI151" s="14">
        <f t="shared" si="45"/>
        <v>0</v>
      </c>
      <c r="AK151" s="14">
        <f t="shared" si="40"/>
        <v>0</v>
      </c>
      <c r="AM151" s="14">
        <f t="shared" si="41"/>
        <v>0</v>
      </c>
      <c r="AO151" s="14">
        <f t="shared" si="42"/>
        <v>0</v>
      </c>
      <c r="AQ151" s="14">
        <f t="shared" si="43"/>
        <v>0</v>
      </c>
      <c r="AS151" s="14">
        <f t="shared" si="44"/>
        <v>0</v>
      </c>
      <c r="AU151" s="14">
        <f t="shared" ref="AU151:AU215" si="46">+AI151-AS151</f>
        <v>0</v>
      </c>
    </row>
    <row r="152" spans="1:47" x14ac:dyDescent="0.2">
      <c r="A152" s="71"/>
      <c r="B152" s="3" t="s">
        <v>161</v>
      </c>
      <c r="C152" s="14">
        <v>0</v>
      </c>
      <c r="E152" s="14">
        <v>0</v>
      </c>
      <c r="G152" s="14">
        <v>0</v>
      </c>
      <c r="I152" s="14">
        <v>0</v>
      </c>
      <c r="K152" s="14">
        <v>0</v>
      </c>
      <c r="M152" s="14">
        <v>0</v>
      </c>
      <c r="O152" s="14">
        <v>0</v>
      </c>
      <c r="Q152" s="14">
        <v>0</v>
      </c>
      <c r="S152" s="14">
        <v>0</v>
      </c>
      <c r="U152" s="14">
        <v>0</v>
      </c>
      <c r="W152" s="14">
        <v>0</v>
      </c>
      <c r="Y152" s="14">
        <v>0</v>
      </c>
      <c r="AA152" s="14">
        <v>0</v>
      </c>
      <c r="AC152" s="14">
        <v>0</v>
      </c>
      <c r="AE152" s="14">
        <v>0</v>
      </c>
      <c r="AF152" s="14">
        <v>0</v>
      </c>
      <c r="AG152" s="14">
        <v>0</v>
      </c>
      <c r="AI152" s="14">
        <f t="shared" si="45"/>
        <v>0</v>
      </c>
      <c r="AK152" s="14">
        <f t="shared" si="40"/>
        <v>0</v>
      </c>
      <c r="AM152" s="14">
        <f t="shared" si="41"/>
        <v>0</v>
      </c>
      <c r="AO152" s="14">
        <f t="shared" si="42"/>
        <v>0</v>
      </c>
      <c r="AQ152" s="14">
        <f t="shared" si="43"/>
        <v>0</v>
      </c>
      <c r="AS152" s="14">
        <f t="shared" si="44"/>
        <v>0</v>
      </c>
      <c r="AU152" s="14">
        <f t="shared" si="46"/>
        <v>0</v>
      </c>
    </row>
    <row r="153" spans="1:47" x14ac:dyDescent="0.2">
      <c r="A153" s="71"/>
      <c r="B153" s="73" t="s">
        <v>162</v>
      </c>
      <c r="C153" s="14">
        <v>0</v>
      </c>
      <c r="E153" s="14">
        <v>0</v>
      </c>
      <c r="G153" s="14">
        <v>0</v>
      </c>
      <c r="I153" s="14">
        <v>0</v>
      </c>
      <c r="K153" s="14">
        <v>0</v>
      </c>
      <c r="M153" s="14">
        <v>0</v>
      </c>
      <c r="O153" s="14">
        <v>0</v>
      </c>
      <c r="Q153" s="14">
        <v>0</v>
      </c>
      <c r="S153" s="14">
        <v>0</v>
      </c>
      <c r="U153" s="14">
        <v>0</v>
      </c>
      <c r="W153" s="14">
        <v>0</v>
      </c>
      <c r="Y153" s="14">
        <v>0</v>
      </c>
      <c r="AA153" s="14">
        <v>0</v>
      </c>
      <c r="AC153" s="14">
        <v>0</v>
      </c>
      <c r="AE153" s="14">
        <v>0</v>
      </c>
      <c r="AF153" s="14">
        <v>0</v>
      </c>
      <c r="AG153" s="14">
        <v>0</v>
      </c>
      <c r="AI153" s="14">
        <f t="shared" si="45"/>
        <v>0</v>
      </c>
      <c r="AK153" s="14">
        <f t="shared" si="40"/>
        <v>0</v>
      </c>
      <c r="AM153" s="14">
        <f t="shared" si="41"/>
        <v>0</v>
      </c>
      <c r="AO153" s="14">
        <f t="shared" si="42"/>
        <v>0</v>
      </c>
      <c r="AQ153" s="14">
        <f t="shared" si="43"/>
        <v>0</v>
      </c>
      <c r="AS153" s="14">
        <f t="shared" si="44"/>
        <v>0</v>
      </c>
      <c r="AU153" s="14">
        <f t="shared" si="46"/>
        <v>0</v>
      </c>
    </row>
    <row r="154" spans="1:47" x14ac:dyDescent="0.2">
      <c r="A154" s="71"/>
      <c r="B154" s="12" t="s">
        <v>238</v>
      </c>
      <c r="C154" s="18">
        <f>SUM(C139:C153)</f>
        <v>0</v>
      </c>
      <c r="E154" s="18">
        <f>SUM(E139:E153)</f>
        <v>0</v>
      </c>
      <c r="G154" s="18">
        <f>SUM(G139:G153)</f>
        <v>0</v>
      </c>
      <c r="I154" s="18">
        <f>SUM(I139:I153)</f>
        <v>0</v>
      </c>
      <c r="K154" s="18">
        <f>SUM(K139:K153)</f>
        <v>0</v>
      </c>
      <c r="M154" s="18">
        <f>SUM(M139:M153)</f>
        <v>0</v>
      </c>
      <c r="O154" s="18">
        <f>SUM(O139:O153)</f>
        <v>0</v>
      </c>
      <c r="Q154" s="18">
        <f>SUM(Q139:Q153)</f>
        <v>0</v>
      </c>
      <c r="S154" s="18">
        <f>SUM(S139:S153)</f>
        <v>0</v>
      </c>
      <c r="U154" s="18">
        <f>SUM(U139:U153)</f>
        <v>0</v>
      </c>
      <c r="W154" s="18">
        <f>SUM(W139:W153)</f>
        <v>0</v>
      </c>
      <c r="Y154" s="18">
        <f>SUM(Y139:Y153)</f>
        <v>0</v>
      </c>
      <c r="AA154" s="18">
        <f>SUM(AA139:AA153)</f>
        <v>0</v>
      </c>
      <c r="AC154" s="18">
        <f>SUM(AC139:AC153)</f>
        <v>0</v>
      </c>
      <c r="AE154" s="18">
        <f>SUM(AE139:AE153)</f>
        <v>0</v>
      </c>
      <c r="AF154" s="18">
        <f>SUM(AF139:AF153)</f>
        <v>0</v>
      </c>
      <c r="AG154" s="18">
        <f>SUM(AG139:AG153)</f>
        <v>0</v>
      </c>
      <c r="AI154" s="18">
        <f>SUM(AI139:AI153)</f>
        <v>0</v>
      </c>
      <c r="AK154" s="18">
        <f>SUM(AK139:AK153)</f>
        <v>0</v>
      </c>
      <c r="AM154" s="18">
        <f>SUM(AM139:AM153)</f>
        <v>0</v>
      </c>
      <c r="AO154" s="18">
        <f>SUM(AO139:AO153)</f>
        <v>0</v>
      </c>
      <c r="AQ154" s="18">
        <f>SUM(AQ139:AQ153)</f>
        <v>0</v>
      </c>
      <c r="AS154" s="18">
        <f>SUM(AS139:AS153)</f>
        <v>0</v>
      </c>
      <c r="AU154" s="18">
        <f t="shared" si="46"/>
        <v>0</v>
      </c>
    </row>
    <row r="155" spans="1:47" x14ac:dyDescent="0.2">
      <c r="A155" s="71"/>
      <c r="C155" s="14"/>
      <c r="E155" s="14"/>
      <c r="G155" s="14"/>
      <c r="I155" s="14"/>
      <c r="K155" s="14"/>
      <c r="M155" s="14"/>
      <c r="O155" s="14"/>
      <c r="Q155" s="14"/>
      <c r="S155" s="14"/>
      <c r="U155" s="14"/>
      <c r="W155" s="14"/>
      <c r="Y155" s="14"/>
      <c r="AA155" s="14"/>
      <c r="AC155" s="14"/>
      <c r="AE155" s="14"/>
      <c r="AF155" s="14"/>
      <c r="AG155" s="14"/>
      <c r="AI155" s="14"/>
      <c r="AK155" s="14"/>
      <c r="AM155" s="14"/>
      <c r="AO155" s="14"/>
      <c r="AQ155" s="14"/>
      <c r="AS155" s="14"/>
      <c r="AU155" s="14"/>
    </row>
    <row r="156" spans="1:47" x14ac:dyDescent="0.2">
      <c r="A156" s="71"/>
      <c r="B156" s="12" t="s">
        <v>13</v>
      </c>
      <c r="C156" s="14"/>
      <c r="E156" s="14"/>
      <c r="G156" s="14"/>
      <c r="I156" s="14"/>
      <c r="K156" s="14"/>
      <c r="M156" s="14"/>
      <c r="O156" s="14"/>
      <c r="Q156" s="14"/>
      <c r="S156" s="14"/>
      <c r="U156" s="14"/>
      <c r="W156" s="14"/>
      <c r="Y156" s="14"/>
      <c r="AA156" s="14"/>
      <c r="AC156" s="14"/>
      <c r="AE156" s="14"/>
      <c r="AF156" s="14"/>
      <c r="AG156" s="14"/>
      <c r="AI156" s="14"/>
      <c r="AK156" s="14"/>
      <c r="AM156" s="14"/>
      <c r="AO156" s="14"/>
      <c r="AQ156" s="14"/>
      <c r="AS156" s="14"/>
      <c r="AU156" s="14"/>
    </row>
    <row r="157" spans="1:47" x14ac:dyDescent="0.2">
      <c r="A157" s="71"/>
      <c r="B157" s="43" t="s">
        <v>164</v>
      </c>
      <c r="C157" s="14">
        <v>0</v>
      </c>
      <c r="E157" s="14">
        <v>0</v>
      </c>
      <c r="G157" s="14">
        <v>0</v>
      </c>
      <c r="I157" s="14">
        <v>0</v>
      </c>
      <c r="K157" s="14">
        <v>0</v>
      </c>
      <c r="M157" s="14">
        <v>0</v>
      </c>
      <c r="O157" s="14">
        <v>0</v>
      </c>
      <c r="Q157" s="14">
        <v>0</v>
      </c>
      <c r="S157" s="14">
        <v>0</v>
      </c>
      <c r="U157" s="14">
        <v>0</v>
      </c>
      <c r="W157" s="14">
        <v>0</v>
      </c>
      <c r="Y157" s="14">
        <v>0</v>
      </c>
      <c r="AA157" s="14">
        <v>0</v>
      </c>
      <c r="AC157" s="14">
        <v>0</v>
      </c>
      <c r="AE157" s="14">
        <v>0</v>
      </c>
      <c r="AF157" s="14">
        <v>0</v>
      </c>
      <c r="AG157" s="14">
        <v>0</v>
      </c>
      <c r="AI157" s="14">
        <f>SUM(C157:AG157)</f>
        <v>0</v>
      </c>
      <c r="AK157" s="14">
        <f t="shared" ref="AK157:AK173" si="47">SUMIF($C$9:$AH$9,"=Addition",$C157:$AH157)</f>
        <v>0</v>
      </c>
      <c r="AM157" s="14">
        <f t="shared" ref="AM157:AM173" si="48">SUMIF($C$9:$AH$9,"=Adjustment",$C157:$AH157)</f>
        <v>0</v>
      </c>
      <c r="AO157" s="14">
        <f t="shared" ref="AO157:AO173" si="49">SUMIF($C$9:$AH$9,"=Transfer",$C157:$AH157)</f>
        <v>0</v>
      </c>
      <c r="AQ157" s="14">
        <f t="shared" ref="AQ157:AQ173" si="50">SUMIF($C$9:$Z$9,"=N/A",$C157:$Z157)</f>
        <v>0</v>
      </c>
      <c r="AS157" s="14">
        <f t="shared" ref="AS157:AS173" si="51">SUM(AK157:AQ157)</f>
        <v>0</v>
      </c>
      <c r="AU157" s="14">
        <f t="shared" si="46"/>
        <v>0</v>
      </c>
    </row>
    <row r="158" spans="1:47" x14ac:dyDescent="0.2">
      <c r="A158" s="71"/>
      <c r="B158" s="3" t="s">
        <v>165</v>
      </c>
      <c r="C158" s="14">
        <v>0</v>
      </c>
      <c r="E158" s="14">
        <v>0</v>
      </c>
      <c r="G158" s="14">
        <v>0</v>
      </c>
      <c r="I158" s="14">
        <v>0</v>
      </c>
      <c r="K158" s="14">
        <v>0</v>
      </c>
      <c r="M158" s="14">
        <v>0</v>
      </c>
      <c r="O158" s="14">
        <v>0</v>
      </c>
      <c r="Q158" s="14">
        <v>0</v>
      </c>
      <c r="S158" s="14">
        <v>0</v>
      </c>
      <c r="U158" s="14">
        <v>0</v>
      </c>
      <c r="W158" s="14">
        <v>0</v>
      </c>
      <c r="Y158" s="14">
        <v>0</v>
      </c>
      <c r="AA158" s="14">
        <v>0</v>
      </c>
      <c r="AC158" s="14">
        <v>0</v>
      </c>
      <c r="AE158" s="14">
        <v>0</v>
      </c>
      <c r="AF158" s="14">
        <v>0</v>
      </c>
      <c r="AG158" s="14">
        <v>0</v>
      </c>
      <c r="AI158" s="14">
        <f t="shared" ref="AI158:AI173" si="52">SUM(C158:AG158)</f>
        <v>0</v>
      </c>
      <c r="AK158" s="14">
        <f t="shared" si="47"/>
        <v>0</v>
      </c>
      <c r="AM158" s="14">
        <f t="shared" si="48"/>
        <v>0</v>
      </c>
      <c r="AO158" s="14">
        <f t="shared" si="49"/>
        <v>0</v>
      </c>
      <c r="AQ158" s="14">
        <f t="shared" si="50"/>
        <v>0</v>
      </c>
      <c r="AS158" s="14">
        <f t="shared" si="51"/>
        <v>0</v>
      </c>
      <c r="AU158" s="14">
        <f t="shared" si="46"/>
        <v>0</v>
      </c>
    </row>
    <row r="159" spans="1:47" x14ac:dyDescent="0.2">
      <c r="A159" s="71"/>
      <c r="B159" s="3" t="s">
        <v>166</v>
      </c>
      <c r="C159" s="14">
        <v>0</v>
      </c>
      <c r="E159" s="14">
        <v>0</v>
      </c>
      <c r="G159" s="14">
        <v>0</v>
      </c>
      <c r="I159" s="14">
        <v>0</v>
      </c>
      <c r="K159" s="14">
        <v>0</v>
      </c>
      <c r="M159" s="14">
        <v>0</v>
      </c>
      <c r="O159" s="14">
        <v>0</v>
      </c>
      <c r="Q159" s="14">
        <v>0</v>
      </c>
      <c r="S159" s="14">
        <v>0</v>
      </c>
      <c r="U159" s="14">
        <v>0</v>
      </c>
      <c r="W159" s="14">
        <v>0</v>
      </c>
      <c r="Y159" s="14">
        <v>0</v>
      </c>
      <c r="AA159" s="14">
        <v>0</v>
      </c>
      <c r="AC159" s="14">
        <v>0</v>
      </c>
      <c r="AE159" s="14">
        <v>0</v>
      </c>
      <c r="AF159" s="14">
        <v>0</v>
      </c>
      <c r="AG159" s="14">
        <v>0</v>
      </c>
      <c r="AI159" s="14">
        <f t="shared" si="52"/>
        <v>0</v>
      </c>
      <c r="AK159" s="14">
        <f t="shared" si="47"/>
        <v>0</v>
      </c>
      <c r="AM159" s="14">
        <f t="shared" si="48"/>
        <v>0</v>
      </c>
      <c r="AO159" s="14">
        <f t="shared" si="49"/>
        <v>0</v>
      </c>
      <c r="AQ159" s="14">
        <f t="shared" si="50"/>
        <v>0</v>
      </c>
      <c r="AS159" s="14">
        <f t="shared" si="51"/>
        <v>0</v>
      </c>
      <c r="AU159" s="14">
        <f t="shared" si="46"/>
        <v>0</v>
      </c>
    </row>
    <row r="160" spans="1:47" x14ac:dyDescent="0.2">
      <c r="A160" s="71"/>
      <c r="B160" s="3" t="s">
        <v>167</v>
      </c>
      <c r="C160" s="14">
        <v>0</v>
      </c>
      <c r="E160" s="14">
        <v>0</v>
      </c>
      <c r="G160" s="14">
        <v>0</v>
      </c>
      <c r="I160" s="14">
        <v>0</v>
      </c>
      <c r="K160" s="14">
        <v>0</v>
      </c>
      <c r="M160" s="14">
        <v>0</v>
      </c>
      <c r="O160" s="14">
        <v>0</v>
      </c>
      <c r="Q160" s="14">
        <v>0</v>
      </c>
      <c r="S160" s="14">
        <v>0</v>
      </c>
      <c r="U160" s="14">
        <v>0</v>
      </c>
      <c r="W160" s="14">
        <v>0</v>
      </c>
      <c r="Y160" s="14">
        <v>0</v>
      </c>
      <c r="AA160" s="14">
        <v>0</v>
      </c>
      <c r="AC160" s="14">
        <v>0</v>
      </c>
      <c r="AE160" s="14">
        <v>0</v>
      </c>
      <c r="AF160" s="14">
        <v>0</v>
      </c>
      <c r="AG160" s="14">
        <v>0</v>
      </c>
      <c r="AI160" s="14">
        <f t="shared" si="52"/>
        <v>0</v>
      </c>
      <c r="AK160" s="14">
        <f t="shared" si="47"/>
        <v>0</v>
      </c>
      <c r="AM160" s="14">
        <f t="shared" si="48"/>
        <v>0</v>
      </c>
      <c r="AO160" s="14">
        <f t="shared" si="49"/>
        <v>0</v>
      </c>
      <c r="AQ160" s="14">
        <f t="shared" si="50"/>
        <v>0</v>
      </c>
      <c r="AS160" s="14">
        <f t="shared" si="51"/>
        <v>0</v>
      </c>
      <c r="AU160" s="14">
        <f t="shared" si="46"/>
        <v>0</v>
      </c>
    </row>
    <row r="161" spans="1:47" x14ac:dyDescent="0.2">
      <c r="A161" s="71"/>
      <c r="B161" s="3" t="s">
        <v>168</v>
      </c>
      <c r="C161" s="14">
        <v>0</v>
      </c>
      <c r="E161" s="14">
        <v>0</v>
      </c>
      <c r="G161" s="14">
        <v>0</v>
      </c>
      <c r="I161" s="14">
        <v>0</v>
      </c>
      <c r="K161" s="14">
        <v>0</v>
      </c>
      <c r="M161" s="14">
        <v>0</v>
      </c>
      <c r="O161" s="14">
        <v>0</v>
      </c>
      <c r="Q161" s="14">
        <v>0</v>
      </c>
      <c r="S161" s="14">
        <v>0</v>
      </c>
      <c r="U161" s="14">
        <v>0</v>
      </c>
      <c r="W161" s="14">
        <v>0</v>
      </c>
      <c r="Y161" s="14">
        <v>0</v>
      </c>
      <c r="AA161" s="14">
        <v>0</v>
      </c>
      <c r="AC161" s="14">
        <v>0</v>
      </c>
      <c r="AE161" s="14">
        <v>0</v>
      </c>
      <c r="AF161" s="14">
        <v>0</v>
      </c>
      <c r="AG161" s="14">
        <v>0</v>
      </c>
      <c r="AI161" s="14">
        <f t="shared" si="52"/>
        <v>0</v>
      </c>
      <c r="AK161" s="14">
        <f t="shared" si="47"/>
        <v>0</v>
      </c>
      <c r="AM161" s="14">
        <f t="shared" si="48"/>
        <v>0</v>
      </c>
      <c r="AO161" s="14">
        <f t="shared" si="49"/>
        <v>0</v>
      </c>
      <c r="AQ161" s="14">
        <f t="shared" si="50"/>
        <v>0</v>
      </c>
      <c r="AS161" s="14">
        <f t="shared" si="51"/>
        <v>0</v>
      </c>
      <c r="AU161" s="14">
        <f t="shared" si="46"/>
        <v>0</v>
      </c>
    </row>
    <row r="162" spans="1:47" x14ac:dyDescent="0.2">
      <c r="A162" s="71"/>
      <c r="B162" s="3" t="s">
        <v>169</v>
      </c>
      <c r="C162" s="14">
        <v>0</v>
      </c>
      <c r="E162" s="14">
        <v>0</v>
      </c>
      <c r="G162" s="14">
        <v>0</v>
      </c>
      <c r="I162" s="14">
        <v>0</v>
      </c>
      <c r="K162" s="14">
        <v>0</v>
      </c>
      <c r="M162" s="14">
        <v>0</v>
      </c>
      <c r="O162" s="14">
        <v>0</v>
      </c>
      <c r="Q162" s="14">
        <v>0</v>
      </c>
      <c r="S162" s="14">
        <v>0</v>
      </c>
      <c r="U162" s="14">
        <v>0</v>
      </c>
      <c r="W162" s="14">
        <v>0</v>
      </c>
      <c r="Y162" s="14">
        <v>0</v>
      </c>
      <c r="AA162" s="14">
        <v>0</v>
      </c>
      <c r="AC162" s="14">
        <v>0</v>
      </c>
      <c r="AE162" s="14">
        <v>0</v>
      </c>
      <c r="AF162" s="14">
        <v>0</v>
      </c>
      <c r="AG162" s="14">
        <v>0</v>
      </c>
      <c r="AI162" s="14">
        <f t="shared" si="52"/>
        <v>0</v>
      </c>
      <c r="AK162" s="14">
        <f t="shared" si="47"/>
        <v>0</v>
      </c>
      <c r="AM162" s="14">
        <f t="shared" si="48"/>
        <v>0</v>
      </c>
      <c r="AO162" s="14">
        <f t="shared" si="49"/>
        <v>0</v>
      </c>
      <c r="AQ162" s="14">
        <f t="shared" si="50"/>
        <v>0</v>
      </c>
      <c r="AS162" s="14">
        <f t="shared" si="51"/>
        <v>0</v>
      </c>
      <c r="AU162" s="14">
        <f t="shared" si="46"/>
        <v>0</v>
      </c>
    </row>
    <row r="163" spans="1:47" x14ac:dyDescent="0.2">
      <c r="A163" s="71"/>
      <c r="B163" s="3" t="s">
        <v>170</v>
      </c>
      <c r="C163" s="14">
        <v>0</v>
      </c>
      <c r="E163" s="14">
        <v>0</v>
      </c>
      <c r="G163" s="14">
        <v>0</v>
      </c>
      <c r="I163" s="14">
        <v>0</v>
      </c>
      <c r="K163" s="14">
        <v>0</v>
      </c>
      <c r="M163" s="14">
        <v>0</v>
      </c>
      <c r="O163" s="14">
        <v>0</v>
      </c>
      <c r="Q163" s="14">
        <v>0</v>
      </c>
      <c r="S163" s="14">
        <v>0</v>
      </c>
      <c r="U163" s="14">
        <v>0</v>
      </c>
      <c r="W163" s="14">
        <v>0</v>
      </c>
      <c r="Y163" s="14">
        <v>0</v>
      </c>
      <c r="AA163" s="14">
        <v>0</v>
      </c>
      <c r="AC163" s="14">
        <v>0</v>
      </c>
      <c r="AE163" s="14">
        <v>0</v>
      </c>
      <c r="AF163" s="14">
        <v>0</v>
      </c>
      <c r="AG163" s="14">
        <v>0</v>
      </c>
      <c r="AI163" s="14">
        <f t="shared" si="52"/>
        <v>0</v>
      </c>
      <c r="AK163" s="14">
        <f t="shared" si="47"/>
        <v>0</v>
      </c>
      <c r="AM163" s="14">
        <f t="shared" si="48"/>
        <v>0</v>
      </c>
      <c r="AO163" s="14">
        <f t="shared" si="49"/>
        <v>0</v>
      </c>
      <c r="AQ163" s="14">
        <f t="shared" si="50"/>
        <v>0</v>
      </c>
      <c r="AS163" s="14">
        <f t="shared" si="51"/>
        <v>0</v>
      </c>
      <c r="AU163" s="14">
        <f t="shared" si="46"/>
        <v>0</v>
      </c>
    </row>
    <row r="164" spans="1:47" x14ac:dyDescent="0.2">
      <c r="A164" s="71"/>
      <c r="B164" s="3" t="s">
        <v>171</v>
      </c>
      <c r="C164" s="14">
        <v>0</v>
      </c>
      <c r="E164" s="14">
        <v>0</v>
      </c>
      <c r="G164" s="14">
        <v>0</v>
      </c>
      <c r="I164" s="14">
        <v>0</v>
      </c>
      <c r="K164" s="14">
        <v>0</v>
      </c>
      <c r="M164" s="14">
        <v>0</v>
      </c>
      <c r="O164" s="14">
        <v>0</v>
      </c>
      <c r="Q164" s="14">
        <v>0</v>
      </c>
      <c r="S164" s="14">
        <v>0</v>
      </c>
      <c r="U164" s="14">
        <v>0</v>
      </c>
      <c r="W164" s="14">
        <v>0</v>
      </c>
      <c r="Y164" s="14">
        <v>0</v>
      </c>
      <c r="AA164" s="14">
        <v>0</v>
      </c>
      <c r="AC164" s="14">
        <v>0</v>
      </c>
      <c r="AE164" s="14">
        <v>0</v>
      </c>
      <c r="AF164" s="14">
        <v>0</v>
      </c>
      <c r="AG164" s="14">
        <v>0</v>
      </c>
      <c r="AI164" s="14">
        <f t="shared" si="52"/>
        <v>0</v>
      </c>
      <c r="AK164" s="14">
        <f t="shared" si="47"/>
        <v>0</v>
      </c>
      <c r="AM164" s="14">
        <f t="shared" si="48"/>
        <v>0</v>
      </c>
      <c r="AO164" s="14">
        <f t="shared" si="49"/>
        <v>0</v>
      </c>
      <c r="AQ164" s="14">
        <f t="shared" si="50"/>
        <v>0</v>
      </c>
      <c r="AS164" s="14">
        <f t="shared" si="51"/>
        <v>0</v>
      </c>
      <c r="AU164" s="14">
        <f t="shared" si="46"/>
        <v>0</v>
      </c>
    </row>
    <row r="165" spans="1:47" x14ac:dyDescent="0.2">
      <c r="A165" s="71"/>
      <c r="B165" s="3" t="s">
        <v>172</v>
      </c>
      <c r="C165" s="14">
        <v>0</v>
      </c>
      <c r="E165" s="14">
        <v>0</v>
      </c>
      <c r="G165" s="14">
        <v>0</v>
      </c>
      <c r="I165" s="14">
        <v>0</v>
      </c>
      <c r="K165" s="14">
        <v>0</v>
      </c>
      <c r="M165" s="14">
        <v>0</v>
      </c>
      <c r="O165" s="14">
        <v>0</v>
      </c>
      <c r="Q165" s="14">
        <v>0</v>
      </c>
      <c r="S165" s="14">
        <v>0</v>
      </c>
      <c r="U165" s="14">
        <v>0</v>
      </c>
      <c r="W165" s="14">
        <v>0</v>
      </c>
      <c r="Y165" s="14">
        <v>0</v>
      </c>
      <c r="AA165" s="14">
        <v>0</v>
      </c>
      <c r="AC165" s="14">
        <v>0</v>
      </c>
      <c r="AE165" s="14">
        <v>0</v>
      </c>
      <c r="AF165" s="14">
        <v>0</v>
      </c>
      <c r="AG165" s="14">
        <v>0</v>
      </c>
      <c r="AI165" s="14">
        <f t="shared" si="52"/>
        <v>0</v>
      </c>
      <c r="AK165" s="14">
        <f t="shared" si="47"/>
        <v>0</v>
      </c>
      <c r="AM165" s="14">
        <f t="shared" si="48"/>
        <v>0</v>
      </c>
      <c r="AO165" s="14">
        <f t="shared" si="49"/>
        <v>0</v>
      </c>
      <c r="AQ165" s="14">
        <f t="shared" si="50"/>
        <v>0</v>
      </c>
      <c r="AS165" s="14">
        <f t="shared" si="51"/>
        <v>0</v>
      </c>
      <c r="AU165" s="14">
        <f t="shared" si="46"/>
        <v>0</v>
      </c>
    </row>
    <row r="166" spans="1:47" x14ac:dyDescent="0.2">
      <c r="A166" s="71"/>
      <c r="B166" s="3" t="s">
        <v>173</v>
      </c>
      <c r="C166" s="14">
        <v>0</v>
      </c>
      <c r="E166" s="14">
        <v>0</v>
      </c>
      <c r="G166" s="14">
        <v>0</v>
      </c>
      <c r="I166" s="14">
        <v>0</v>
      </c>
      <c r="K166" s="14">
        <v>0</v>
      </c>
      <c r="M166" s="14">
        <v>0</v>
      </c>
      <c r="O166" s="14">
        <v>0</v>
      </c>
      <c r="Q166" s="14">
        <v>0</v>
      </c>
      <c r="S166" s="14">
        <v>0</v>
      </c>
      <c r="U166" s="14">
        <v>0</v>
      </c>
      <c r="W166" s="14">
        <v>0</v>
      </c>
      <c r="Y166" s="14">
        <v>0</v>
      </c>
      <c r="AA166" s="14">
        <v>0</v>
      </c>
      <c r="AC166" s="14">
        <v>0</v>
      </c>
      <c r="AE166" s="14">
        <v>0</v>
      </c>
      <c r="AF166" s="14">
        <v>0</v>
      </c>
      <c r="AG166" s="14">
        <v>0</v>
      </c>
      <c r="AI166" s="14">
        <f t="shared" si="52"/>
        <v>0</v>
      </c>
      <c r="AK166" s="14">
        <f t="shared" si="47"/>
        <v>0</v>
      </c>
      <c r="AM166" s="14">
        <f t="shared" si="48"/>
        <v>0</v>
      </c>
      <c r="AO166" s="14">
        <f t="shared" si="49"/>
        <v>0</v>
      </c>
      <c r="AQ166" s="14">
        <f t="shared" si="50"/>
        <v>0</v>
      </c>
      <c r="AS166" s="14">
        <f t="shared" si="51"/>
        <v>0</v>
      </c>
      <c r="AU166" s="14">
        <f t="shared" si="46"/>
        <v>0</v>
      </c>
    </row>
    <row r="167" spans="1:47" x14ac:dyDescent="0.2">
      <c r="A167" s="71"/>
      <c r="B167" s="3" t="s">
        <v>174</v>
      </c>
      <c r="C167" s="14">
        <v>0</v>
      </c>
      <c r="E167" s="14">
        <v>0</v>
      </c>
      <c r="G167" s="14">
        <v>0</v>
      </c>
      <c r="I167" s="14">
        <v>0</v>
      </c>
      <c r="K167" s="14">
        <v>0</v>
      </c>
      <c r="M167" s="14">
        <v>0</v>
      </c>
      <c r="O167" s="14">
        <v>0</v>
      </c>
      <c r="Q167" s="14">
        <v>0</v>
      </c>
      <c r="S167" s="14">
        <v>0</v>
      </c>
      <c r="U167" s="14">
        <v>0</v>
      </c>
      <c r="W167" s="14">
        <v>0</v>
      </c>
      <c r="Y167" s="14">
        <v>0</v>
      </c>
      <c r="AA167" s="14">
        <v>0</v>
      </c>
      <c r="AC167" s="14">
        <v>0</v>
      </c>
      <c r="AE167" s="14">
        <v>0</v>
      </c>
      <c r="AF167" s="14">
        <v>0</v>
      </c>
      <c r="AG167" s="14">
        <v>0</v>
      </c>
      <c r="AI167" s="14">
        <f t="shared" si="52"/>
        <v>0</v>
      </c>
      <c r="AK167" s="14">
        <f t="shared" si="47"/>
        <v>0</v>
      </c>
      <c r="AM167" s="14">
        <f t="shared" si="48"/>
        <v>0</v>
      </c>
      <c r="AO167" s="14">
        <f t="shared" si="49"/>
        <v>0</v>
      </c>
      <c r="AQ167" s="14">
        <f t="shared" si="50"/>
        <v>0</v>
      </c>
      <c r="AS167" s="14">
        <f t="shared" si="51"/>
        <v>0</v>
      </c>
      <c r="AU167" s="14">
        <f t="shared" si="46"/>
        <v>0</v>
      </c>
    </row>
    <row r="168" spans="1:47" x14ac:dyDescent="0.2">
      <c r="A168" s="71"/>
      <c r="B168" s="3" t="s">
        <v>175</v>
      </c>
      <c r="C168" s="14">
        <v>0</v>
      </c>
      <c r="E168" s="14">
        <v>0</v>
      </c>
      <c r="G168" s="14">
        <v>0</v>
      </c>
      <c r="I168" s="14">
        <v>0</v>
      </c>
      <c r="K168" s="14">
        <v>0</v>
      </c>
      <c r="M168" s="14">
        <v>0</v>
      </c>
      <c r="O168" s="14">
        <v>0</v>
      </c>
      <c r="Q168" s="14">
        <v>0</v>
      </c>
      <c r="S168" s="14">
        <v>0</v>
      </c>
      <c r="U168" s="14">
        <v>0</v>
      </c>
      <c r="W168" s="14">
        <v>0</v>
      </c>
      <c r="Y168" s="14">
        <v>0</v>
      </c>
      <c r="AA168" s="14">
        <v>0</v>
      </c>
      <c r="AC168" s="14">
        <v>0</v>
      </c>
      <c r="AE168" s="14">
        <v>0</v>
      </c>
      <c r="AF168" s="14">
        <v>0</v>
      </c>
      <c r="AG168" s="14">
        <v>0</v>
      </c>
      <c r="AI168" s="14">
        <f t="shared" si="52"/>
        <v>0</v>
      </c>
      <c r="AK168" s="14">
        <f t="shared" si="47"/>
        <v>0</v>
      </c>
      <c r="AM168" s="14">
        <f t="shared" si="48"/>
        <v>0</v>
      </c>
      <c r="AO168" s="14">
        <f t="shared" si="49"/>
        <v>0</v>
      </c>
      <c r="AQ168" s="14">
        <f t="shared" si="50"/>
        <v>0</v>
      </c>
      <c r="AS168" s="14">
        <f t="shared" si="51"/>
        <v>0</v>
      </c>
      <c r="AU168" s="14">
        <f t="shared" si="46"/>
        <v>0</v>
      </c>
    </row>
    <row r="169" spans="1:47" x14ac:dyDescent="0.2">
      <c r="A169" s="71"/>
      <c r="B169" s="3" t="s">
        <v>176</v>
      </c>
      <c r="C169" s="14">
        <v>0</v>
      </c>
      <c r="E169" s="14">
        <v>0</v>
      </c>
      <c r="G169" s="14">
        <v>0</v>
      </c>
      <c r="I169" s="14">
        <v>0</v>
      </c>
      <c r="K169" s="14">
        <v>0</v>
      </c>
      <c r="M169" s="14">
        <v>0</v>
      </c>
      <c r="O169" s="14">
        <v>0</v>
      </c>
      <c r="Q169" s="14">
        <v>0</v>
      </c>
      <c r="S169" s="14">
        <v>0</v>
      </c>
      <c r="U169" s="14">
        <v>0</v>
      </c>
      <c r="W169" s="14">
        <v>0</v>
      </c>
      <c r="Y169" s="14">
        <v>0</v>
      </c>
      <c r="AA169" s="14">
        <v>0</v>
      </c>
      <c r="AC169" s="14">
        <v>0</v>
      </c>
      <c r="AE169" s="14">
        <v>0</v>
      </c>
      <c r="AF169" s="14">
        <v>0</v>
      </c>
      <c r="AG169" s="14">
        <v>0</v>
      </c>
      <c r="AI169" s="14">
        <f t="shared" si="52"/>
        <v>0</v>
      </c>
      <c r="AK169" s="14">
        <f t="shared" si="47"/>
        <v>0</v>
      </c>
      <c r="AM169" s="14">
        <f t="shared" si="48"/>
        <v>0</v>
      </c>
      <c r="AO169" s="14">
        <f t="shared" si="49"/>
        <v>0</v>
      </c>
      <c r="AQ169" s="14">
        <f t="shared" si="50"/>
        <v>0</v>
      </c>
      <c r="AS169" s="14">
        <f t="shared" si="51"/>
        <v>0</v>
      </c>
      <c r="AU169" s="14">
        <f t="shared" si="46"/>
        <v>0</v>
      </c>
    </row>
    <row r="170" spans="1:47" x14ac:dyDescent="0.2">
      <c r="A170" s="71"/>
      <c r="B170" s="43" t="s">
        <v>177</v>
      </c>
      <c r="C170" s="14">
        <v>0</v>
      </c>
      <c r="E170" s="14">
        <v>0</v>
      </c>
      <c r="G170" s="14">
        <v>0</v>
      </c>
      <c r="I170" s="14">
        <v>0</v>
      </c>
      <c r="K170" s="14">
        <v>0</v>
      </c>
      <c r="M170" s="14">
        <v>0</v>
      </c>
      <c r="O170" s="14">
        <v>0</v>
      </c>
      <c r="Q170" s="14">
        <v>0</v>
      </c>
      <c r="S170" s="14">
        <v>0</v>
      </c>
      <c r="U170" s="14">
        <v>0</v>
      </c>
      <c r="W170" s="14">
        <v>0</v>
      </c>
      <c r="Y170" s="14">
        <v>0</v>
      </c>
      <c r="AA170" s="14">
        <v>0</v>
      </c>
      <c r="AC170" s="14">
        <v>0</v>
      </c>
      <c r="AE170" s="14">
        <v>0</v>
      </c>
      <c r="AF170" s="14">
        <v>0</v>
      </c>
      <c r="AG170" s="14">
        <v>0</v>
      </c>
      <c r="AI170" s="14">
        <f t="shared" si="52"/>
        <v>0</v>
      </c>
      <c r="AK170" s="14">
        <f t="shared" si="47"/>
        <v>0</v>
      </c>
      <c r="AM170" s="14">
        <f t="shared" si="48"/>
        <v>0</v>
      </c>
      <c r="AO170" s="14">
        <f t="shared" si="49"/>
        <v>0</v>
      </c>
      <c r="AQ170" s="14">
        <f t="shared" si="50"/>
        <v>0</v>
      </c>
      <c r="AS170" s="14">
        <f t="shared" si="51"/>
        <v>0</v>
      </c>
      <c r="AU170" s="14">
        <f t="shared" si="46"/>
        <v>0</v>
      </c>
    </row>
    <row r="171" spans="1:47" x14ac:dyDescent="0.2">
      <c r="A171" s="71"/>
      <c r="B171" s="43" t="s">
        <v>178</v>
      </c>
      <c r="C171" s="14">
        <v>0</v>
      </c>
      <c r="E171" s="14">
        <v>0</v>
      </c>
      <c r="G171" s="14">
        <v>0</v>
      </c>
      <c r="I171" s="14">
        <v>0</v>
      </c>
      <c r="K171" s="14">
        <v>0</v>
      </c>
      <c r="M171" s="14">
        <v>0</v>
      </c>
      <c r="O171" s="14">
        <v>0</v>
      </c>
      <c r="Q171" s="14">
        <v>0</v>
      </c>
      <c r="S171" s="14">
        <v>0</v>
      </c>
      <c r="U171" s="14">
        <v>0</v>
      </c>
      <c r="W171" s="14">
        <v>0</v>
      </c>
      <c r="Y171" s="14">
        <v>0</v>
      </c>
      <c r="AA171" s="14">
        <v>0</v>
      </c>
      <c r="AC171" s="14">
        <v>0</v>
      </c>
      <c r="AE171" s="14">
        <v>0</v>
      </c>
      <c r="AF171" s="14">
        <v>0</v>
      </c>
      <c r="AG171" s="14">
        <v>0</v>
      </c>
      <c r="AI171" s="14">
        <f t="shared" si="52"/>
        <v>0</v>
      </c>
      <c r="AK171" s="14">
        <f t="shared" si="47"/>
        <v>0</v>
      </c>
      <c r="AM171" s="14">
        <f t="shared" si="48"/>
        <v>0</v>
      </c>
      <c r="AO171" s="14">
        <f t="shared" si="49"/>
        <v>0</v>
      </c>
      <c r="AQ171" s="14">
        <f t="shared" si="50"/>
        <v>0</v>
      </c>
      <c r="AS171" s="14">
        <f t="shared" si="51"/>
        <v>0</v>
      </c>
      <c r="AU171" s="14">
        <f t="shared" si="46"/>
        <v>0</v>
      </c>
    </row>
    <row r="172" spans="1:47" x14ac:dyDescent="0.2">
      <c r="A172" s="71"/>
      <c r="B172" s="3" t="s">
        <v>179</v>
      </c>
      <c r="C172" s="14">
        <v>0</v>
      </c>
      <c r="E172" s="14">
        <v>0</v>
      </c>
      <c r="G172" s="14">
        <v>0</v>
      </c>
      <c r="I172" s="14">
        <v>0</v>
      </c>
      <c r="K172" s="14">
        <v>0</v>
      </c>
      <c r="M172" s="14">
        <v>0</v>
      </c>
      <c r="O172" s="14">
        <v>0</v>
      </c>
      <c r="Q172" s="14">
        <v>0</v>
      </c>
      <c r="S172" s="14">
        <v>0</v>
      </c>
      <c r="U172" s="14">
        <v>0</v>
      </c>
      <c r="W172" s="14">
        <v>0</v>
      </c>
      <c r="Y172" s="14">
        <v>0</v>
      </c>
      <c r="AA172" s="14">
        <v>0</v>
      </c>
      <c r="AC172" s="14">
        <v>0</v>
      </c>
      <c r="AE172" s="14">
        <v>0</v>
      </c>
      <c r="AF172" s="14">
        <v>0</v>
      </c>
      <c r="AG172" s="14">
        <v>0</v>
      </c>
      <c r="AI172" s="14">
        <f t="shared" si="52"/>
        <v>0</v>
      </c>
      <c r="AK172" s="14">
        <f t="shared" si="47"/>
        <v>0</v>
      </c>
      <c r="AM172" s="14">
        <f t="shared" si="48"/>
        <v>0</v>
      </c>
      <c r="AO172" s="14">
        <f t="shared" si="49"/>
        <v>0</v>
      </c>
      <c r="AQ172" s="14">
        <f t="shared" si="50"/>
        <v>0</v>
      </c>
      <c r="AS172" s="14">
        <f t="shared" si="51"/>
        <v>0</v>
      </c>
      <c r="AU172" s="14">
        <f t="shared" si="46"/>
        <v>0</v>
      </c>
    </row>
    <row r="173" spans="1:47" x14ac:dyDescent="0.2">
      <c r="A173" s="71"/>
      <c r="B173" s="3" t="s">
        <v>180</v>
      </c>
      <c r="C173" s="14">
        <v>0</v>
      </c>
      <c r="E173" s="14">
        <v>0</v>
      </c>
      <c r="G173" s="14">
        <v>0</v>
      </c>
      <c r="I173" s="14">
        <v>0</v>
      </c>
      <c r="K173" s="14">
        <v>0</v>
      </c>
      <c r="M173" s="14">
        <v>0</v>
      </c>
      <c r="O173" s="14">
        <v>0</v>
      </c>
      <c r="Q173" s="14">
        <v>0</v>
      </c>
      <c r="S173" s="14">
        <v>0</v>
      </c>
      <c r="U173" s="14">
        <v>0</v>
      </c>
      <c r="W173" s="14">
        <v>0</v>
      </c>
      <c r="Y173" s="14">
        <v>0</v>
      </c>
      <c r="AA173" s="14">
        <v>0</v>
      </c>
      <c r="AC173" s="14">
        <v>0</v>
      </c>
      <c r="AE173" s="14">
        <v>0</v>
      </c>
      <c r="AF173" s="14">
        <v>0</v>
      </c>
      <c r="AG173" s="14">
        <v>0</v>
      </c>
      <c r="AI173" s="14">
        <f t="shared" si="52"/>
        <v>0</v>
      </c>
      <c r="AK173" s="14">
        <f t="shared" si="47"/>
        <v>0</v>
      </c>
      <c r="AM173" s="14">
        <f t="shared" si="48"/>
        <v>0</v>
      </c>
      <c r="AO173" s="14">
        <f t="shared" si="49"/>
        <v>0</v>
      </c>
      <c r="AQ173" s="14">
        <f t="shared" si="50"/>
        <v>0</v>
      </c>
      <c r="AS173" s="14">
        <f t="shared" si="51"/>
        <v>0</v>
      </c>
      <c r="AU173" s="14">
        <f t="shared" si="46"/>
        <v>0</v>
      </c>
    </row>
    <row r="174" spans="1:47" x14ac:dyDescent="0.2">
      <c r="A174" s="71"/>
      <c r="B174" s="12" t="s">
        <v>239</v>
      </c>
      <c r="C174" s="18">
        <f>SUM(C157:C173)</f>
        <v>0</v>
      </c>
      <c r="E174" s="18">
        <f>SUM(E157:E173)</f>
        <v>0</v>
      </c>
      <c r="G174" s="18">
        <f>SUM(G157:G173)</f>
        <v>0</v>
      </c>
      <c r="I174" s="18">
        <f>SUM(I157:I173)</f>
        <v>0</v>
      </c>
      <c r="K174" s="18">
        <f>SUM(K157:K173)</f>
        <v>0</v>
      </c>
      <c r="M174" s="18">
        <f>SUM(M157:M173)</f>
        <v>0</v>
      </c>
      <c r="O174" s="18">
        <f>SUM(O157:O173)</f>
        <v>0</v>
      </c>
      <c r="Q174" s="18">
        <f>SUM(Q157:Q173)</f>
        <v>0</v>
      </c>
      <c r="S174" s="18">
        <f>SUM(S157:S173)</f>
        <v>0</v>
      </c>
      <c r="U174" s="18">
        <f>SUM(U157:U173)</f>
        <v>0</v>
      </c>
      <c r="W174" s="18">
        <f>SUM(W157:W173)</f>
        <v>0</v>
      </c>
      <c r="Y174" s="18">
        <f>SUM(Y157:Y173)</f>
        <v>0</v>
      </c>
      <c r="AA174" s="18">
        <f>SUM(AA157:AA173)</f>
        <v>0</v>
      </c>
      <c r="AC174" s="18">
        <f>SUM(AC157:AC173)</f>
        <v>0</v>
      </c>
      <c r="AE174" s="18">
        <f>SUM(AE157:AE173)</f>
        <v>0</v>
      </c>
      <c r="AF174" s="18">
        <f>SUM(AF157:AF173)</f>
        <v>0</v>
      </c>
      <c r="AG174" s="18">
        <f>SUM(AG157:AG173)</f>
        <v>0</v>
      </c>
      <c r="AI174" s="18">
        <f>SUM(AI157:AI173)</f>
        <v>0</v>
      </c>
      <c r="AK174" s="18">
        <f>SUM(AK157:AK173)</f>
        <v>0</v>
      </c>
      <c r="AM174" s="18">
        <f>SUM(AM157:AM173)</f>
        <v>0</v>
      </c>
      <c r="AO174" s="18">
        <f>SUM(AO157:AO173)</f>
        <v>0</v>
      </c>
      <c r="AQ174" s="18">
        <f>SUM(AQ157:AQ173)</f>
        <v>0</v>
      </c>
      <c r="AS174" s="18">
        <f>SUM(AS157:AS173)</f>
        <v>0</v>
      </c>
      <c r="AU174" s="18">
        <f t="shared" si="46"/>
        <v>0</v>
      </c>
    </row>
    <row r="175" spans="1:47" x14ac:dyDescent="0.2">
      <c r="A175" s="71"/>
      <c r="C175" s="14"/>
      <c r="E175" s="14"/>
      <c r="G175" s="14"/>
      <c r="I175" s="14"/>
      <c r="K175" s="14"/>
      <c r="M175" s="14"/>
      <c r="O175" s="14"/>
      <c r="Q175" s="14"/>
      <c r="S175" s="14"/>
      <c r="U175" s="14"/>
      <c r="W175" s="14"/>
      <c r="Y175" s="14"/>
      <c r="AA175" s="14"/>
      <c r="AC175" s="14"/>
      <c r="AE175" s="14"/>
      <c r="AF175" s="14"/>
      <c r="AG175" s="14"/>
      <c r="AI175" s="14"/>
      <c r="AK175" s="14"/>
      <c r="AM175" s="14"/>
      <c r="AO175" s="14"/>
      <c r="AQ175" s="14"/>
      <c r="AS175" s="14"/>
      <c r="AU175" s="14"/>
    </row>
    <row r="176" spans="1:47" x14ac:dyDescent="0.2">
      <c r="A176" s="71"/>
      <c r="B176" s="12" t="s">
        <v>14</v>
      </c>
      <c r="C176" s="14"/>
      <c r="E176" s="14"/>
      <c r="G176" s="14"/>
      <c r="I176" s="14"/>
      <c r="K176" s="14"/>
      <c r="M176" s="14"/>
      <c r="O176" s="14"/>
      <c r="Q176" s="14"/>
      <c r="S176" s="14"/>
      <c r="U176" s="14"/>
      <c r="W176" s="14"/>
      <c r="Y176" s="14"/>
      <c r="AA176" s="14"/>
      <c r="AC176" s="14"/>
      <c r="AE176" s="14"/>
      <c r="AF176" s="14"/>
      <c r="AG176" s="14"/>
      <c r="AI176" s="14"/>
      <c r="AK176" s="14"/>
      <c r="AM176" s="14"/>
      <c r="AO176" s="14"/>
      <c r="AQ176" s="14"/>
      <c r="AS176" s="14"/>
      <c r="AU176" s="14"/>
    </row>
    <row r="177" spans="1:47" x14ac:dyDescent="0.2">
      <c r="A177" s="71"/>
      <c r="B177" s="43" t="s">
        <v>182</v>
      </c>
      <c r="C177" s="14">
        <v>0</v>
      </c>
      <c r="E177" s="14">
        <v>0</v>
      </c>
      <c r="G177" s="14">
        <v>0</v>
      </c>
      <c r="I177" s="14">
        <v>0</v>
      </c>
      <c r="K177" s="14">
        <v>0</v>
      </c>
      <c r="M177" s="14">
        <v>0</v>
      </c>
      <c r="O177" s="14">
        <v>0</v>
      </c>
      <c r="Q177" s="14">
        <v>0</v>
      </c>
      <c r="S177" s="14">
        <v>0</v>
      </c>
      <c r="U177" s="14">
        <v>0</v>
      </c>
      <c r="W177" s="14">
        <v>0</v>
      </c>
      <c r="Y177" s="14">
        <v>0</v>
      </c>
      <c r="AA177" s="14">
        <v>0</v>
      </c>
      <c r="AC177" s="14">
        <v>0</v>
      </c>
      <c r="AE177" s="14">
        <v>0</v>
      </c>
      <c r="AF177" s="14">
        <v>0</v>
      </c>
      <c r="AG177" s="14">
        <v>0</v>
      </c>
      <c r="AI177" s="17">
        <f>SUM(C177:AG177)</f>
        <v>0</v>
      </c>
      <c r="AK177" s="14">
        <f t="shared" ref="AK177:AK184" si="53">SUMIF($C$9:$AH$9,"=Addition",$C177:$AH177)</f>
        <v>0</v>
      </c>
      <c r="AM177" s="14">
        <f t="shared" ref="AM177:AM184" si="54">SUMIF($C$9:$AH$9,"=Adjustment",$C177:$AH177)</f>
        <v>0</v>
      </c>
      <c r="AO177" s="14">
        <f t="shared" ref="AO177:AO184" si="55">SUMIF($C$9:$AH$9,"=Transfer",$C177:$AH177)</f>
        <v>0</v>
      </c>
      <c r="AQ177" s="14">
        <f t="shared" ref="AQ177:AQ184" si="56">SUMIF($C$9:$Z$9,"=N/A",$C177:$Z177)</f>
        <v>0</v>
      </c>
      <c r="AS177" s="14">
        <f t="shared" ref="AS177:AS184" si="57">SUM(AK177:AQ177)</f>
        <v>0</v>
      </c>
      <c r="AU177" s="14">
        <f t="shared" si="46"/>
        <v>0</v>
      </c>
    </row>
    <row r="178" spans="1:47" x14ac:dyDescent="0.2">
      <c r="A178" s="71"/>
      <c r="B178" s="3" t="s">
        <v>183</v>
      </c>
      <c r="C178" s="14">
        <v>0</v>
      </c>
      <c r="E178" s="14">
        <v>0</v>
      </c>
      <c r="G178" s="14">
        <v>0</v>
      </c>
      <c r="I178" s="14">
        <v>0</v>
      </c>
      <c r="K178" s="14">
        <v>0</v>
      </c>
      <c r="M178" s="14">
        <v>0</v>
      </c>
      <c r="O178" s="14">
        <v>0</v>
      </c>
      <c r="Q178" s="14">
        <v>0</v>
      </c>
      <c r="S178" s="14">
        <v>0</v>
      </c>
      <c r="U178" s="14">
        <v>0</v>
      </c>
      <c r="W178" s="14">
        <v>0</v>
      </c>
      <c r="Y178" s="14">
        <v>0</v>
      </c>
      <c r="AA178" s="14">
        <v>0</v>
      </c>
      <c r="AC178" s="14">
        <v>0</v>
      </c>
      <c r="AE178" s="14">
        <v>0</v>
      </c>
      <c r="AF178" s="14">
        <v>0</v>
      </c>
      <c r="AG178" s="14">
        <v>0</v>
      </c>
      <c r="AI178" s="17">
        <f t="shared" ref="AI178:AI184" si="58">SUM(C178:AG178)</f>
        <v>0</v>
      </c>
      <c r="AK178" s="14">
        <f t="shared" si="53"/>
        <v>0</v>
      </c>
      <c r="AM178" s="14">
        <f t="shared" si="54"/>
        <v>0</v>
      </c>
      <c r="AO178" s="14">
        <f t="shared" si="55"/>
        <v>0</v>
      </c>
      <c r="AQ178" s="14">
        <f t="shared" si="56"/>
        <v>0</v>
      </c>
      <c r="AS178" s="14">
        <f t="shared" si="57"/>
        <v>0</v>
      </c>
      <c r="AU178" s="14">
        <f t="shared" si="46"/>
        <v>0</v>
      </c>
    </row>
    <row r="179" spans="1:47" x14ac:dyDescent="0.2">
      <c r="A179" s="71"/>
      <c r="B179" s="3" t="s">
        <v>184</v>
      </c>
      <c r="C179" s="14">
        <v>0</v>
      </c>
      <c r="E179" s="14">
        <v>0</v>
      </c>
      <c r="G179" s="14">
        <v>0</v>
      </c>
      <c r="I179" s="14">
        <v>0</v>
      </c>
      <c r="K179" s="14">
        <v>0</v>
      </c>
      <c r="M179" s="14">
        <v>0</v>
      </c>
      <c r="O179" s="14">
        <v>0</v>
      </c>
      <c r="Q179" s="14">
        <v>0</v>
      </c>
      <c r="S179" s="14">
        <v>0</v>
      </c>
      <c r="U179" s="14">
        <v>0</v>
      </c>
      <c r="W179" s="14">
        <v>0</v>
      </c>
      <c r="Y179" s="14">
        <v>0</v>
      </c>
      <c r="AA179" s="14">
        <v>0</v>
      </c>
      <c r="AC179" s="14">
        <v>0</v>
      </c>
      <c r="AE179" s="14">
        <v>0</v>
      </c>
      <c r="AF179" s="14">
        <v>0</v>
      </c>
      <c r="AG179" s="14">
        <v>0</v>
      </c>
      <c r="AI179" s="17">
        <f t="shared" si="58"/>
        <v>0</v>
      </c>
      <c r="AK179" s="14">
        <f t="shared" si="53"/>
        <v>0</v>
      </c>
      <c r="AM179" s="14">
        <f t="shared" si="54"/>
        <v>0</v>
      </c>
      <c r="AO179" s="14">
        <f t="shared" si="55"/>
        <v>0</v>
      </c>
      <c r="AQ179" s="14">
        <f t="shared" si="56"/>
        <v>0</v>
      </c>
      <c r="AS179" s="14">
        <f t="shared" si="57"/>
        <v>0</v>
      </c>
      <c r="AU179" s="14">
        <f t="shared" si="46"/>
        <v>0</v>
      </c>
    </row>
    <row r="180" spans="1:47" x14ac:dyDescent="0.2">
      <c r="A180" s="71"/>
      <c r="B180" s="3" t="s">
        <v>185</v>
      </c>
      <c r="C180" s="14">
        <v>0</v>
      </c>
      <c r="E180" s="14">
        <v>0</v>
      </c>
      <c r="G180" s="14">
        <v>0</v>
      </c>
      <c r="I180" s="14">
        <v>0</v>
      </c>
      <c r="K180" s="14">
        <v>0</v>
      </c>
      <c r="M180" s="14">
        <v>0</v>
      </c>
      <c r="O180" s="14">
        <v>0</v>
      </c>
      <c r="Q180" s="14">
        <v>0</v>
      </c>
      <c r="S180" s="14">
        <v>0</v>
      </c>
      <c r="U180" s="14">
        <v>0</v>
      </c>
      <c r="W180" s="14">
        <v>0</v>
      </c>
      <c r="Y180" s="14">
        <v>0</v>
      </c>
      <c r="AA180" s="14">
        <v>0</v>
      </c>
      <c r="AC180" s="14">
        <v>0</v>
      </c>
      <c r="AE180" s="14">
        <v>0</v>
      </c>
      <c r="AF180" s="14">
        <v>0</v>
      </c>
      <c r="AG180" s="14">
        <v>0</v>
      </c>
      <c r="AI180" s="17">
        <f t="shared" si="58"/>
        <v>0</v>
      </c>
      <c r="AK180" s="14">
        <f t="shared" si="53"/>
        <v>0</v>
      </c>
      <c r="AM180" s="14">
        <f t="shared" si="54"/>
        <v>0</v>
      </c>
      <c r="AO180" s="14">
        <f t="shared" si="55"/>
        <v>0</v>
      </c>
      <c r="AQ180" s="14">
        <f t="shared" si="56"/>
        <v>0</v>
      </c>
      <c r="AS180" s="14">
        <f t="shared" si="57"/>
        <v>0</v>
      </c>
      <c r="AU180" s="14">
        <f t="shared" si="46"/>
        <v>0</v>
      </c>
    </row>
    <row r="181" spans="1:47" x14ac:dyDescent="0.2">
      <c r="A181" s="71"/>
      <c r="B181" s="3" t="s">
        <v>186</v>
      </c>
      <c r="C181" s="14">
        <v>0</v>
      </c>
      <c r="E181" s="14">
        <v>0</v>
      </c>
      <c r="G181" s="14">
        <v>0</v>
      </c>
      <c r="I181" s="14">
        <v>0</v>
      </c>
      <c r="K181" s="14">
        <v>0</v>
      </c>
      <c r="M181" s="14">
        <v>0</v>
      </c>
      <c r="O181" s="14">
        <v>0</v>
      </c>
      <c r="Q181" s="14">
        <v>0</v>
      </c>
      <c r="S181" s="14">
        <v>0</v>
      </c>
      <c r="U181" s="14">
        <v>0</v>
      </c>
      <c r="W181" s="14">
        <v>0</v>
      </c>
      <c r="Y181" s="14">
        <v>0</v>
      </c>
      <c r="AA181" s="14">
        <v>0</v>
      </c>
      <c r="AC181" s="14">
        <v>0</v>
      </c>
      <c r="AE181" s="14">
        <v>0</v>
      </c>
      <c r="AF181" s="14">
        <v>0</v>
      </c>
      <c r="AG181" s="14">
        <v>0</v>
      </c>
      <c r="AI181" s="17">
        <f t="shared" si="58"/>
        <v>0</v>
      </c>
      <c r="AK181" s="14">
        <f t="shared" si="53"/>
        <v>0</v>
      </c>
      <c r="AM181" s="14">
        <f t="shared" si="54"/>
        <v>0</v>
      </c>
      <c r="AO181" s="14">
        <f t="shared" si="55"/>
        <v>0</v>
      </c>
      <c r="AQ181" s="14">
        <f t="shared" si="56"/>
        <v>0</v>
      </c>
      <c r="AS181" s="14">
        <f t="shared" si="57"/>
        <v>0</v>
      </c>
      <c r="AU181" s="14">
        <f t="shared" si="46"/>
        <v>0</v>
      </c>
    </row>
    <row r="182" spans="1:47" x14ac:dyDescent="0.2">
      <c r="A182" s="71"/>
      <c r="B182" s="3" t="s">
        <v>187</v>
      </c>
      <c r="C182" s="14">
        <v>0</v>
      </c>
      <c r="E182" s="14">
        <v>0</v>
      </c>
      <c r="G182" s="14">
        <v>0</v>
      </c>
      <c r="I182" s="14">
        <v>0</v>
      </c>
      <c r="K182" s="14">
        <v>0</v>
      </c>
      <c r="M182" s="14">
        <v>0</v>
      </c>
      <c r="O182" s="14">
        <v>0</v>
      </c>
      <c r="Q182" s="14">
        <v>0</v>
      </c>
      <c r="S182" s="14">
        <v>0</v>
      </c>
      <c r="U182" s="14">
        <v>0</v>
      </c>
      <c r="W182" s="14">
        <v>0</v>
      </c>
      <c r="Y182" s="14">
        <v>0</v>
      </c>
      <c r="AA182" s="14">
        <v>0</v>
      </c>
      <c r="AC182" s="14">
        <v>0</v>
      </c>
      <c r="AE182" s="14">
        <v>0</v>
      </c>
      <c r="AF182" s="14">
        <v>0</v>
      </c>
      <c r="AG182" s="14">
        <v>0</v>
      </c>
      <c r="AI182" s="17">
        <f t="shared" si="58"/>
        <v>0</v>
      </c>
      <c r="AK182" s="14">
        <f t="shared" si="53"/>
        <v>0</v>
      </c>
      <c r="AM182" s="14">
        <f t="shared" si="54"/>
        <v>0</v>
      </c>
      <c r="AO182" s="14">
        <f t="shared" si="55"/>
        <v>0</v>
      </c>
      <c r="AQ182" s="14">
        <f t="shared" si="56"/>
        <v>0</v>
      </c>
      <c r="AS182" s="14">
        <f t="shared" si="57"/>
        <v>0</v>
      </c>
      <c r="AU182" s="14">
        <f t="shared" si="46"/>
        <v>0</v>
      </c>
    </row>
    <row r="183" spans="1:47" x14ac:dyDescent="0.2">
      <c r="A183" s="71"/>
      <c r="B183" s="3" t="s">
        <v>188</v>
      </c>
      <c r="C183" s="14">
        <v>0</v>
      </c>
      <c r="E183" s="14">
        <v>0</v>
      </c>
      <c r="G183" s="14">
        <v>0</v>
      </c>
      <c r="I183" s="14">
        <v>0</v>
      </c>
      <c r="K183" s="14">
        <v>0</v>
      </c>
      <c r="M183" s="14">
        <v>0</v>
      </c>
      <c r="O183" s="14">
        <v>0</v>
      </c>
      <c r="Q183" s="14">
        <v>0</v>
      </c>
      <c r="S183" s="14">
        <v>0</v>
      </c>
      <c r="U183" s="14">
        <v>0</v>
      </c>
      <c r="W183" s="14">
        <v>0</v>
      </c>
      <c r="Y183" s="14">
        <v>0</v>
      </c>
      <c r="AA183" s="14">
        <v>0</v>
      </c>
      <c r="AC183" s="14">
        <v>0</v>
      </c>
      <c r="AE183" s="14">
        <v>0</v>
      </c>
      <c r="AF183" s="14">
        <v>0</v>
      </c>
      <c r="AG183" s="14">
        <v>0</v>
      </c>
      <c r="AI183" s="17">
        <f t="shared" si="58"/>
        <v>0</v>
      </c>
      <c r="AK183" s="14">
        <f t="shared" si="53"/>
        <v>0</v>
      </c>
      <c r="AM183" s="14">
        <f t="shared" si="54"/>
        <v>0</v>
      </c>
      <c r="AO183" s="14">
        <f t="shared" si="55"/>
        <v>0</v>
      </c>
      <c r="AQ183" s="14">
        <f t="shared" si="56"/>
        <v>0</v>
      </c>
      <c r="AS183" s="14">
        <f t="shared" si="57"/>
        <v>0</v>
      </c>
      <c r="AU183" s="14">
        <f t="shared" si="46"/>
        <v>0</v>
      </c>
    </row>
    <row r="184" spans="1:47" x14ac:dyDescent="0.2">
      <c r="A184" s="71"/>
      <c r="B184" s="3" t="s">
        <v>189</v>
      </c>
      <c r="C184" s="14">
        <v>0</v>
      </c>
      <c r="E184" s="14">
        <v>0</v>
      </c>
      <c r="G184" s="14">
        <v>0</v>
      </c>
      <c r="I184" s="14">
        <v>0</v>
      </c>
      <c r="K184" s="14">
        <v>0</v>
      </c>
      <c r="M184" s="14">
        <v>0</v>
      </c>
      <c r="O184" s="14">
        <v>0</v>
      </c>
      <c r="Q184" s="14">
        <v>0</v>
      </c>
      <c r="S184" s="14">
        <v>0</v>
      </c>
      <c r="U184" s="14">
        <v>0</v>
      </c>
      <c r="W184" s="14">
        <v>0</v>
      </c>
      <c r="Y184" s="14">
        <v>0</v>
      </c>
      <c r="AA184" s="14">
        <v>0</v>
      </c>
      <c r="AC184" s="14">
        <v>0</v>
      </c>
      <c r="AE184" s="14">
        <v>0</v>
      </c>
      <c r="AF184" s="14">
        <v>0</v>
      </c>
      <c r="AG184" s="14">
        <v>0</v>
      </c>
      <c r="AI184" s="17">
        <f t="shared" si="58"/>
        <v>0</v>
      </c>
      <c r="AK184" s="14">
        <f t="shared" si="53"/>
        <v>0</v>
      </c>
      <c r="AM184" s="14">
        <f t="shared" si="54"/>
        <v>0</v>
      </c>
      <c r="AO184" s="14">
        <f t="shared" si="55"/>
        <v>0</v>
      </c>
      <c r="AQ184" s="14">
        <f t="shared" si="56"/>
        <v>0</v>
      </c>
      <c r="AS184" s="14">
        <f t="shared" si="57"/>
        <v>0</v>
      </c>
      <c r="AU184" s="14">
        <f t="shared" si="46"/>
        <v>0</v>
      </c>
    </row>
    <row r="185" spans="1:47" x14ac:dyDescent="0.2">
      <c r="A185" s="71"/>
      <c r="B185" s="12" t="s">
        <v>240</v>
      </c>
      <c r="C185" s="18">
        <f>SUM(C177:C184)</f>
        <v>0</v>
      </c>
      <c r="E185" s="18">
        <f>SUM(E177:E184)</f>
        <v>0</v>
      </c>
      <c r="G185" s="18">
        <f>SUM(G177:G184)</f>
        <v>0</v>
      </c>
      <c r="I185" s="18">
        <f>SUM(I177:I184)</f>
        <v>0</v>
      </c>
      <c r="K185" s="18">
        <f>SUM(K177:K184)</f>
        <v>0</v>
      </c>
      <c r="M185" s="18">
        <f>SUM(M177:M184)</f>
        <v>0</v>
      </c>
      <c r="O185" s="18">
        <f>SUM(O177:O184)</f>
        <v>0</v>
      </c>
      <c r="Q185" s="18">
        <f>SUM(Q177:Q184)</f>
        <v>0</v>
      </c>
      <c r="S185" s="18">
        <f>SUM(S177:S184)</f>
        <v>0</v>
      </c>
      <c r="U185" s="18">
        <f>SUM(U177:U184)</f>
        <v>0</v>
      </c>
      <c r="W185" s="18">
        <f>SUM(W177:W184)</f>
        <v>0</v>
      </c>
      <c r="Y185" s="18">
        <f>SUM(Y177:Y184)</f>
        <v>0</v>
      </c>
      <c r="AA185" s="18">
        <f>SUM(AA177:AA184)</f>
        <v>0</v>
      </c>
      <c r="AC185" s="18">
        <f>SUM(AC177:AC184)</f>
        <v>0</v>
      </c>
      <c r="AE185" s="18">
        <f>SUM(AE177:AE184)</f>
        <v>0</v>
      </c>
      <c r="AF185" s="18">
        <f>SUM(AF177:AF184)</f>
        <v>0</v>
      </c>
      <c r="AG185" s="18">
        <f>SUM(AG177:AG184)</f>
        <v>0</v>
      </c>
      <c r="AI185" s="18">
        <f>SUM(AI177:AI184)</f>
        <v>0</v>
      </c>
      <c r="AK185" s="18">
        <f>SUM(AK177:AK184)</f>
        <v>0</v>
      </c>
      <c r="AM185" s="18">
        <f>SUM(AM177:AM184)</f>
        <v>0</v>
      </c>
      <c r="AO185" s="18">
        <f>SUM(AO177:AO184)</f>
        <v>0</v>
      </c>
      <c r="AQ185" s="18">
        <f>SUM(AQ177:AQ184)</f>
        <v>0</v>
      </c>
      <c r="AS185" s="18">
        <f>SUM(AS177:AS184)</f>
        <v>0</v>
      </c>
      <c r="AU185" s="18">
        <f t="shared" si="46"/>
        <v>0</v>
      </c>
    </row>
    <row r="186" spans="1:47" x14ac:dyDescent="0.2">
      <c r="A186" s="71"/>
      <c r="C186" s="14"/>
      <c r="E186" s="14"/>
      <c r="G186" s="14"/>
      <c r="I186" s="14"/>
      <c r="K186" s="14"/>
      <c r="M186" s="14"/>
      <c r="O186" s="14"/>
      <c r="Q186" s="14"/>
      <c r="S186" s="14"/>
      <c r="U186" s="14"/>
      <c r="W186" s="14"/>
      <c r="Y186" s="14"/>
      <c r="AA186" s="14"/>
      <c r="AC186" s="14"/>
      <c r="AE186" s="14"/>
      <c r="AF186" s="14"/>
      <c r="AG186" s="14"/>
      <c r="AI186" s="14"/>
      <c r="AK186" s="14"/>
      <c r="AM186" s="14"/>
      <c r="AO186" s="14"/>
      <c r="AQ186" s="14"/>
      <c r="AS186" s="14"/>
      <c r="AU186" s="14"/>
    </row>
    <row r="187" spans="1:47" x14ac:dyDescent="0.2">
      <c r="A187" s="71"/>
      <c r="B187" s="12" t="s">
        <v>15</v>
      </c>
      <c r="C187" s="14"/>
      <c r="E187" s="14"/>
      <c r="G187" s="14"/>
      <c r="I187" s="14"/>
      <c r="K187" s="14"/>
      <c r="M187" s="14"/>
      <c r="O187" s="14"/>
      <c r="Q187" s="14"/>
      <c r="S187" s="14"/>
      <c r="U187" s="14"/>
      <c r="W187" s="14"/>
      <c r="Y187" s="14"/>
      <c r="AA187" s="14"/>
      <c r="AC187" s="14"/>
      <c r="AE187" s="14"/>
      <c r="AF187" s="14"/>
      <c r="AG187" s="14"/>
      <c r="AI187" s="14"/>
      <c r="AK187" s="14"/>
      <c r="AM187" s="14"/>
      <c r="AO187" s="14"/>
      <c r="AQ187" s="14"/>
      <c r="AS187" s="14"/>
      <c r="AU187" s="14"/>
    </row>
    <row r="188" spans="1:47" x14ac:dyDescent="0.2">
      <c r="A188" s="71"/>
      <c r="B188" s="43" t="s">
        <v>191</v>
      </c>
      <c r="C188" s="14">
        <v>0</v>
      </c>
      <c r="E188" s="14">
        <v>0</v>
      </c>
      <c r="G188" s="14">
        <v>0</v>
      </c>
      <c r="I188" s="14">
        <v>0</v>
      </c>
      <c r="K188" s="14">
        <v>0</v>
      </c>
      <c r="M188" s="14">
        <v>0</v>
      </c>
      <c r="O188" s="14">
        <v>0</v>
      </c>
      <c r="Q188" s="14">
        <v>0</v>
      </c>
      <c r="S188" s="14">
        <v>0</v>
      </c>
      <c r="U188" s="14">
        <v>0</v>
      </c>
      <c r="W188" s="14">
        <v>0</v>
      </c>
      <c r="Y188" s="14">
        <v>0</v>
      </c>
      <c r="AA188" s="14">
        <v>0</v>
      </c>
      <c r="AC188" s="14">
        <v>0</v>
      </c>
      <c r="AE188" s="14">
        <v>0</v>
      </c>
      <c r="AF188" s="14">
        <v>0</v>
      </c>
      <c r="AG188" s="14">
        <v>0</v>
      </c>
      <c r="AI188" s="17">
        <f>SUM(C188:AG188)</f>
        <v>0</v>
      </c>
      <c r="AK188" s="14">
        <f>SUMIF($C$9:$AH$9,"=Addition",$C188:$AH188)</f>
        <v>0</v>
      </c>
      <c r="AM188" s="14">
        <f>SUMIF($C$9:$AH$9,"=Adjustment",$C188:$AH188)</f>
        <v>0</v>
      </c>
      <c r="AO188" s="14">
        <f>SUMIF($C$9:$AH$9,"=Transfer",$C188:$AH188)</f>
        <v>0</v>
      </c>
      <c r="AQ188" s="14">
        <f>SUMIF($C$9:$Z$9,"=N/A",$C188:$Z188)</f>
        <v>0</v>
      </c>
      <c r="AS188" s="14">
        <f>SUM(AK188:AQ188)</f>
        <v>0</v>
      </c>
      <c r="AU188" s="14">
        <f t="shared" si="46"/>
        <v>0</v>
      </c>
    </row>
    <row r="189" spans="1:47" x14ac:dyDescent="0.2">
      <c r="A189" s="71"/>
      <c r="B189" s="3" t="s">
        <v>192</v>
      </c>
      <c r="C189" s="14">
        <v>0</v>
      </c>
      <c r="E189" s="14">
        <v>0</v>
      </c>
      <c r="G189" s="14">
        <v>0</v>
      </c>
      <c r="I189" s="14">
        <v>0</v>
      </c>
      <c r="K189" s="14">
        <v>0</v>
      </c>
      <c r="M189" s="14">
        <v>0</v>
      </c>
      <c r="O189" s="14">
        <v>0</v>
      </c>
      <c r="Q189" s="14">
        <v>0</v>
      </c>
      <c r="S189" s="14">
        <v>0</v>
      </c>
      <c r="U189" s="14">
        <v>0</v>
      </c>
      <c r="W189" s="14">
        <v>0</v>
      </c>
      <c r="Y189" s="14">
        <v>0</v>
      </c>
      <c r="AA189" s="14">
        <v>0</v>
      </c>
      <c r="AC189" s="14">
        <v>0</v>
      </c>
      <c r="AE189" s="14">
        <v>0</v>
      </c>
      <c r="AF189" s="14">
        <v>0</v>
      </c>
      <c r="AG189" s="14">
        <v>0</v>
      </c>
      <c r="AI189" s="17">
        <f t="shared" ref="AI189:AI191" si="59">SUM(C189:AG189)</f>
        <v>0</v>
      </c>
      <c r="AK189" s="14">
        <f>SUMIF($C$9:$AH$9,"=Addition",$C189:$AH189)</f>
        <v>0</v>
      </c>
      <c r="AM189" s="14">
        <f>SUMIF($C$9:$AH$9,"=Adjustment",$C189:$AH189)</f>
        <v>0</v>
      </c>
      <c r="AO189" s="14">
        <f>SUMIF($C$9:$AH$9,"=Transfer",$C189:$AH189)</f>
        <v>0</v>
      </c>
      <c r="AQ189" s="14">
        <f>SUMIF($C$9:$Z$9,"=N/A",$C189:$Z189)</f>
        <v>0</v>
      </c>
      <c r="AS189" s="14">
        <f>SUM(AK189:AQ189)</f>
        <v>0</v>
      </c>
      <c r="AU189" s="14">
        <f t="shared" si="46"/>
        <v>0</v>
      </c>
    </row>
    <row r="190" spans="1:47" x14ac:dyDescent="0.2">
      <c r="A190" s="71"/>
      <c r="B190" s="3" t="s">
        <v>193</v>
      </c>
      <c r="C190" s="14">
        <v>0</v>
      </c>
      <c r="E190" s="14">
        <v>0</v>
      </c>
      <c r="G190" s="14">
        <v>0</v>
      </c>
      <c r="I190" s="14">
        <v>0</v>
      </c>
      <c r="K190" s="14">
        <v>0</v>
      </c>
      <c r="M190" s="14">
        <v>0</v>
      </c>
      <c r="O190" s="14">
        <v>0</v>
      </c>
      <c r="Q190" s="14">
        <v>0</v>
      </c>
      <c r="S190" s="14">
        <v>0</v>
      </c>
      <c r="U190" s="14">
        <v>0</v>
      </c>
      <c r="W190" s="14">
        <v>0</v>
      </c>
      <c r="Y190" s="14">
        <v>0</v>
      </c>
      <c r="AA190" s="14">
        <v>0</v>
      </c>
      <c r="AC190" s="14">
        <v>0</v>
      </c>
      <c r="AE190" s="14">
        <v>0</v>
      </c>
      <c r="AF190" s="14">
        <v>0</v>
      </c>
      <c r="AG190" s="14">
        <v>0</v>
      </c>
      <c r="AI190" s="17">
        <f t="shared" si="59"/>
        <v>0</v>
      </c>
      <c r="AK190" s="14">
        <f>SUMIF($C$9:$AH$9,"=Addition",$C190:$AH190)</f>
        <v>0</v>
      </c>
      <c r="AM190" s="14">
        <f>SUMIF($C$9:$AH$9,"=Adjustment",$C190:$AH190)</f>
        <v>0</v>
      </c>
      <c r="AO190" s="14">
        <f>SUMIF($C$9:$AH$9,"=Transfer",$C190:$AH190)</f>
        <v>0</v>
      </c>
      <c r="AQ190" s="14">
        <f>SUMIF($C$9:$Z$9,"=N/A",$C190:$Z190)</f>
        <v>0</v>
      </c>
      <c r="AS190" s="14">
        <f>SUM(AK190:AQ190)</f>
        <v>0</v>
      </c>
      <c r="AU190" s="14">
        <f t="shared" si="46"/>
        <v>0</v>
      </c>
    </row>
    <row r="191" spans="1:47" x14ac:dyDescent="0.2">
      <c r="A191" s="71"/>
      <c r="B191" s="3" t="s">
        <v>194</v>
      </c>
      <c r="C191" s="14">
        <v>0</v>
      </c>
      <c r="E191" s="14">
        <v>0</v>
      </c>
      <c r="G191" s="14">
        <v>0</v>
      </c>
      <c r="I191" s="14">
        <v>0</v>
      </c>
      <c r="K191" s="14">
        <v>0</v>
      </c>
      <c r="M191" s="14">
        <v>0</v>
      </c>
      <c r="O191" s="14">
        <v>0</v>
      </c>
      <c r="Q191" s="14">
        <v>0</v>
      </c>
      <c r="S191" s="14">
        <v>0</v>
      </c>
      <c r="U191" s="14">
        <v>0</v>
      </c>
      <c r="W191" s="14">
        <v>0</v>
      </c>
      <c r="Y191" s="14">
        <v>0</v>
      </c>
      <c r="AA191" s="14">
        <v>0</v>
      </c>
      <c r="AC191" s="14">
        <v>0</v>
      </c>
      <c r="AE191" s="14">
        <v>0</v>
      </c>
      <c r="AF191" s="14">
        <v>0</v>
      </c>
      <c r="AG191" s="14">
        <v>0</v>
      </c>
      <c r="AI191" s="17">
        <f t="shared" si="59"/>
        <v>0</v>
      </c>
      <c r="AK191" s="14">
        <f>SUMIF($C$9:$AH$9,"=Addition",$C191:$AH191)</f>
        <v>0</v>
      </c>
      <c r="AM191" s="14">
        <f>SUMIF($C$9:$AH$9,"=Adjustment",$C191:$AH191)</f>
        <v>0</v>
      </c>
      <c r="AO191" s="14">
        <f>SUMIF($C$9:$AH$9,"=Transfer",$C191:$AH191)</f>
        <v>0</v>
      </c>
      <c r="AQ191" s="14">
        <f>SUMIF($C$9:$Z$9,"=N/A",$C191:$Z191)</f>
        <v>0</v>
      </c>
      <c r="AS191" s="14">
        <f>SUM(AK191:AQ191)</f>
        <v>0</v>
      </c>
      <c r="AU191" s="14">
        <f t="shared" si="46"/>
        <v>0</v>
      </c>
    </row>
    <row r="192" spans="1:47" x14ac:dyDescent="0.2">
      <c r="A192" s="71"/>
      <c r="B192" s="12" t="s">
        <v>241</v>
      </c>
      <c r="C192" s="18">
        <f>SUM(C188:C191)</f>
        <v>0</v>
      </c>
      <c r="E192" s="18">
        <f>SUM(E188:E191)</f>
        <v>0</v>
      </c>
      <c r="G192" s="18">
        <f>SUM(G188:G191)</f>
        <v>0</v>
      </c>
      <c r="I192" s="18">
        <f>SUM(I188:I191)</f>
        <v>0</v>
      </c>
      <c r="K192" s="18">
        <f>SUM(K188:K191)</f>
        <v>0</v>
      </c>
      <c r="M192" s="18">
        <f>SUM(M188:M191)</f>
        <v>0</v>
      </c>
      <c r="O192" s="18">
        <f>SUM(O188:O191)</f>
        <v>0</v>
      </c>
      <c r="Q192" s="18">
        <f>SUM(Q188:Q191)</f>
        <v>0</v>
      </c>
      <c r="S192" s="18">
        <f>SUM(S188:S191)</f>
        <v>0</v>
      </c>
      <c r="U192" s="18">
        <f>SUM(U188:U191)</f>
        <v>0</v>
      </c>
      <c r="W192" s="18">
        <f>SUM(W188:W191)</f>
        <v>0</v>
      </c>
      <c r="Y192" s="18">
        <f>SUM(Y188:Y191)</f>
        <v>0</v>
      </c>
      <c r="AA192" s="18">
        <f>SUM(AA188:AA191)</f>
        <v>0</v>
      </c>
      <c r="AC192" s="18">
        <f>SUM(AC188:AC191)</f>
        <v>0</v>
      </c>
      <c r="AE192" s="18">
        <f>SUM(AE188:AE191)</f>
        <v>0</v>
      </c>
      <c r="AF192" s="18">
        <f>SUM(AF188:AF191)</f>
        <v>0</v>
      </c>
      <c r="AG192" s="18">
        <f>SUM(AG188:AG191)</f>
        <v>0</v>
      </c>
      <c r="AI192" s="18">
        <f>SUM(AI188:AI191)</f>
        <v>0</v>
      </c>
      <c r="AK192" s="18">
        <f>SUM(AK188:AK191)</f>
        <v>0</v>
      </c>
      <c r="AM192" s="18">
        <f>SUM(AM188:AM191)</f>
        <v>0</v>
      </c>
      <c r="AO192" s="18">
        <f>SUM(AO188:AO191)</f>
        <v>0</v>
      </c>
      <c r="AQ192" s="18">
        <f>SUM(AQ188:AQ191)</f>
        <v>0</v>
      </c>
      <c r="AS192" s="18">
        <f>SUM(AS188:AS191)</f>
        <v>0</v>
      </c>
      <c r="AU192" s="18">
        <f t="shared" si="46"/>
        <v>0</v>
      </c>
    </row>
    <row r="193" spans="1:47" x14ac:dyDescent="0.2">
      <c r="A193" s="71"/>
      <c r="C193" s="14"/>
      <c r="E193" s="14"/>
      <c r="G193" s="14"/>
      <c r="I193" s="14"/>
      <c r="K193" s="14"/>
      <c r="M193" s="14"/>
      <c r="O193" s="14"/>
      <c r="Q193" s="14"/>
      <c r="S193" s="14"/>
      <c r="U193" s="14"/>
      <c r="W193" s="14"/>
      <c r="Y193" s="14"/>
      <c r="AA193" s="14"/>
      <c r="AC193" s="14"/>
      <c r="AE193" s="14"/>
      <c r="AF193" s="14"/>
      <c r="AG193" s="14"/>
      <c r="AI193" s="14"/>
      <c r="AK193" s="14"/>
      <c r="AM193" s="14"/>
      <c r="AO193" s="14"/>
      <c r="AQ193" s="14"/>
      <c r="AS193" s="14"/>
      <c r="AU193" s="14"/>
    </row>
    <row r="194" spans="1:47" x14ac:dyDescent="0.2">
      <c r="A194" s="71"/>
      <c r="B194" s="12" t="s">
        <v>16</v>
      </c>
      <c r="C194" s="14"/>
      <c r="E194" s="14"/>
      <c r="G194" s="14"/>
      <c r="I194" s="14"/>
      <c r="K194" s="14"/>
      <c r="M194" s="14"/>
      <c r="O194" s="14"/>
      <c r="Q194" s="14"/>
      <c r="S194" s="14"/>
      <c r="U194" s="14"/>
      <c r="W194" s="14"/>
      <c r="Y194" s="14"/>
      <c r="AA194" s="14"/>
      <c r="AC194" s="14"/>
      <c r="AE194" s="14"/>
      <c r="AF194" s="14"/>
      <c r="AG194" s="14"/>
      <c r="AI194" s="14"/>
      <c r="AK194" s="14"/>
      <c r="AM194" s="14"/>
      <c r="AO194" s="14"/>
      <c r="AQ194" s="14"/>
      <c r="AS194" s="14"/>
      <c r="AU194" s="14"/>
    </row>
    <row r="195" spans="1:47" x14ac:dyDescent="0.2">
      <c r="A195" s="71"/>
      <c r="B195" s="3" t="s">
        <v>196</v>
      </c>
      <c r="C195" s="14">
        <v>0</v>
      </c>
      <c r="E195" s="14">
        <v>0</v>
      </c>
      <c r="G195" s="14">
        <v>0</v>
      </c>
      <c r="I195" s="14">
        <v>0</v>
      </c>
      <c r="K195" s="14">
        <v>0</v>
      </c>
      <c r="M195" s="14">
        <v>0</v>
      </c>
      <c r="O195" s="14">
        <v>0</v>
      </c>
      <c r="Q195" s="14">
        <v>0</v>
      </c>
      <c r="S195" s="14">
        <v>0</v>
      </c>
      <c r="U195" s="14">
        <v>0</v>
      </c>
      <c r="W195" s="14">
        <v>0</v>
      </c>
      <c r="Y195" s="14">
        <v>0</v>
      </c>
      <c r="AA195" s="14">
        <v>0</v>
      </c>
      <c r="AC195" s="14">
        <v>0</v>
      </c>
      <c r="AE195" s="14">
        <v>0</v>
      </c>
      <c r="AF195" s="14">
        <v>0</v>
      </c>
      <c r="AG195" s="14">
        <v>0</v>
      </c>
      <c r="AI195" s="17">
        <f>SUM(C195:AG195)</f>
        <v>0</v>
      </c>
      <c r="AK195" s="14">
        <f t="shared" ref="AK195:AK205" si="60">SUMIF($C$9:$AH$9,"=Addition",$C195:$AH195)</f>
        <v>0</v>
      </c>
      <c r="AM195" s="14">
        <f t="shared" ref="AM195:AM205" si="61">SUMIF($C$9:$AH$9,"=Adjustment",$C195:$AH195)</f>
        <v>0</v>
      </c>
      <c r="AO195" s="14">
        <f t="shared" ref="AO195:AO205" si="62">SUMIF($C$9:$AH$9,"=Transfer",$C195:$AH195)</f>
        <v>0</v>
      </c>
      <c r="AQ195" s="14">
        <f t="shared" ref="AQ195:AQ205" si="63">SUMIF($C$9:$Z$9,"=N/A",$C195:$Z195)</f>
        <v>0</v>
      </c>
      <c r="AS195" s="14">
        <f t="shared" ref="AS195:AS205" si="64">SUM(AK195:AQ195)</f>
        <v>0</v>
      </c>
      <c r="AU195" s="14">
        <f t="shared" si="46"/>
        <v>0</v>
      </c>
    </row>
    <row r="196" spans="1:47" x14ac:dyDescent="0.2">
      <c r="A196" s="71"/>
      <c r="B196" s="3" t="s">
        <v>197</v>
      </c>
      <c r="C196" s="14">
        <v>0</v>
      </c>
      <c r="E196" s="14">
        <v>0</v>
      </c>
      <c r="G196" s="14">
        <v>0</v>
      </c>
      <c r="I196" s="14">
        <v>0</v>
      </c>
      <c r="K196" s="14">
        <v>0</v>
      </c>
      <c r="M196" s="14">
        <v>0</v>
      </c>
      <c r="O196" s="14">
        <v>0</v>
      </c>
      <c r="Q196" s="14">
        <v>0</v>
      </c>
      <c r="S196" s="14">
        <v>0</v>
      </c>
      <c r="U196" s="14">
        <v>0</v>
      </c>
      <c r="W196" s="14">
        <v>0</v>
      </c>
      <c r="Y196" s="14">
        <v>0</v>
      </c>
      <c r="AA196" s="14">
        <v>0</v>
      </c>
      <c r="AC196" s="14">
        <v>0</v>
      </c>
      <c r="AE196" s="14">
        <v>0</v>
      </c>
      <c r="AF196" s="14">
        <v>0</v>
      </c>
      <c r="AG196" s="14">
        <v>0</v>
      </c>
      <c r="AI196" s="17">
        <f t="shared" ref="AI196:AI205" si="65">SUM(C196:AG196)</f>
        <v>0</v>
      </c>
      <c r="AK196" s="14">
        <f t="shared" si="60"/>
        <v>0</v>
      </c>
      <c r="AM196" s="14">
        <f t="shared" si="61"/>
        <v>0</v>
      </c>
      <c r="AO196" s="14">
        <f t="shared" si="62"/>
        <v>0</v>
      </c>
      <c r="AQ196" s="14">
        <f t="shared" si="63"/>
        <v>0</v>
      </c>
      <c r="AS196" s="14">
        <f t="shared" si="64"/>
        <v>0</v>
      </c>
      <c r="AU196" s="14">
        <f t="shared" si="46"/>
        <v>0</v>
      </c>
    </row>
    <row r="197" spans="1:47" x14ac:dyDescent="0.2">
      <c r="A197" s="71"/>
      <c r="B197" s="3" t="s">
        <v>198</v>
      </c>
      <c r="C197" s="14">
        <v>0</v>
      </c>
      <c r="E197" s="14">
        <v>0</v>
      </c>
      <c r="G197" s="14">
        <v>0</v>
      </c>
      <c r="I197" s="14">
        <v>0</v>
      </c>
      <c r="K197" s="14">
        <v>0</v>
      </c>
      <c r="M197" s="14">
        <v>0</v>
      </c>
      <c r="O197" s="14">
        <v>0</v>
      </c>
      <c r="Q197" s="14">
        <v>0</v>
      </c>
      <c r="S197" s="14">
        <v>0</v>
      </c>
      <c r="U197" s="14">
        <v>0</v>
      </c>
      <c r="W197" s="14">
        <v>0</v>
      </c>
      <c r="Y197" s="14">
        <v>0</v>
      </c>
      <c r="AA197" s="14">
        <v>0</v>
      </c>
      <c r="AC197" s="14">
        <v>0</v>
      </c>
      <c r="AE197" s="14">
        <v>0</v>
      </c>
      <c r="AF197" s="14">
        <v>0</v>
      </c>
      <c r="AG197" s="14">
        <v>0</v>
      </c>
      <c r="AI197" s="17">
        <f t="shared" si="65"/>
        <v>0</v>
      </c>
      <c r="AK197" s="14">
        <f t="shared" si="60"/>
        <v>0</v>
      </c>
      <c r="AM197" s="14">
        <f t="shared" si="61"/>
        <v>0</v>
      </c>
      <c r="AO197" s="14">
        <f t="shared" si="62"/>
        <v>0</v>
      </c>
      <c r="AQ197" s="14">
        <f t="shared" si="63"/>
        <v>0</v>
      </c>
      <c r="AS197" s="14">
        <f t="shared" si="64"/>
        <v>0</v>
      </c>
      <c r="AU197" s="14">
        <f t="shared" si="46"/>
        <v>0</v>
      </c>
    </row>
    <row r="198" spans="1:47" x14ac:dyDescent="0.2">
      <c r="A198" s="71"/>
      <c r="B198" s="3" t="s">
        <v>199</v>
      </c>
      <c r="C198" s="14">
        <v>0</v>
      </c>
      <c r="E198" s="14">
        <v>0</v>
      </c>
      <c r="G198" s="14">
        <v>0</v>
      </c>
      <c r="I198" s="14">
        <v>0</v>
      </c>
      <c r="K198" s="14">
        <v>0</v>
      </c>
      <c r="M198" s="14">
        <v>0</v>
      </c>
      <c r="O198" s="14">
        <v>0</v>
      </c>
      <c r="Q198" s="14">
        <v>0</v>
      </c>
      <c r="S198" s="14">
        <v>0</v>
      </c>
      <c r="U198" s="14">
        <v>0</v>
      </c>
      <c r="W198" s="14">
        <v>0</v>
      </c>
      <c r="Y198" s="14">
        <v>0</v>
      </c>
      <c r="AA198" s="14">
        <v>0</v>
      </c>
      <c r="AC198" s="14">
        <v>0</v>
      </c>
      <c r="AE198" s="14">
        <v>0</v>
      </c>
      <c r="AF198" s="14">
        <v>0</v>
      </c>
      <c r="AG198" s="14">
        <v>0</v>
      </c>
      <c r="AI198" s="17">
        <f t="shared" si="65"/>
        <v>0</v>
      </c>
      <c r="AK198" s="14">
        <f t="shared" si="60"/>
        <v>0</v>
      </c>
      <c r="AM198" s="14">
        <f t="shared" si="61"/>
        <v>0</v>
      </c>
      <c r="AO198" s="14">
        <f t="shared" si="62"/>
        <v>0</v>
      </c>
      <c r="AQ198" s="14">
        <f t="shared" si="63"/>
        <v>0</v>
      </c>
      <c r="AS198" s="14">
        <f t="shared" si="64"/>
        <v>0</v>
      </c>
      <c r="AU198" s="14">
        <f t="shared" si="46"/>
        <v>0</v>
      </c>
    </row>
    <row r="199" spans="1:47" x14ac:dyDescent="0.2">
      <c r="A199" s="71"/>
      <c r="B199" s="3" t="s">
        <v>200</v>
      </c>
      <c r="C199" s="14">
        <v>0</v>
      </c>
      <c r="E199" s="14">
        <v>0</v>
      </c>
      <c r="G199" s="14">
        <v>0</v>
      </c>
      <c r="I199" s="14">
        <v>0</v>
      </c>
      <c r="K199" s="14">
        <v>0</v>
      </c>
      <c r="M199" s="14">
        <v>0</v>
      </c>
      <c r="O199" s="14">
        <v>0</v>
      </c>
      <c r="Q199" s="14">
        <v>0</v>
      </c>
      <c r="S199" s="14">
        <v>0</v>
      </c>
      <c r="U199" s="14">
        <v>0</v>
      </c>
      <c r="W199" s="14">
        <v>0</v>
      </c>
      <c r="Y199" s="14">
        <v>0</v>
      </c>
      <c r="AA199" s="14">
        <v>0</v>
      </c>
      <c r="AC199" s="14">
        <v>0</v>
      </c>
      <c r="AE199" s="14">
        <v>0</v>
      </c>
      <c r="AF199" s="14">
        <v>0</v>
      </c>
      <c r="AG199" s="14">
        <v>0</v>
      </c>
      <c r="AI199" s="17">
        <f t="shared" si="65"/>
        <v>0</v>
      </c>
      <c r="AK199" s="14">
        <f t="shared" si="60"/>
        <v>0</v>
      </c>
      <c r="AM199" s="14">
        <f t="shared" si="61"/>
        <v>0</v>
      </c>
      <c r="AO199" s="14">
        <f t="shared" si="62"/>
        <v>0</v>
      </c>
      <c r="AQ199" s="14">
        <f t="shared" si="63"/>
        <v>0</v>
      </c>
      <c r="AS199" s="14">
        <f t="shared" si="64"/>
        <v>0</v>
      </c>
      <c r="AU199" s="14">
        <f t="shared" si="46"/>
        <v>0</v>
      </c>
    </row>
    <row r="200" spans="1:47" x14ac:dyDescent="0.2">
      <c r="A200" s="71"/>
      <c r="B200" s="3" t="s">
        <v>201</v>
      </c>
      <c r="C200" s="14">
        <v>0</v>
      </c>
      <c r="E200" s="14">
        <v>0</v>
      </c>
      <c r="G200" s="14">
        <v>0</v>
      </c>
      <c r="I200" s="14">
        <v>0</v>
      </c>
      <c r="K200" s="14">
        <v>0</v>
      </c>
      <c r="M200" s="14">
        <v>0</v>
      </c>
      <c r="O200" s="14">
        <v>0</v>
      </c>
      <c r="Q200" s="14">
        <v>0</v>
      </c>
      <c r="S200" s="14">
        <v>0</v>
      </c>
      <c r="U200" s="14">
        <v>0</v>
      </c>
      <c r="W200" s="14">
        <v>0</v>
      </c>
      <c r="Y200" s="14">
        <v>0</v>
      </c>
      <c r="AA200" s="14">
        <v>0</v>
      </c>
      <c r="AC200" s="14">
        <v>0</v>
      </c>
      <c r="AE200" s="14">
        <v>0</v>
      </c>
      <c r="AF200" s="14">
        <v>0</v>
      </c>
      <c r="AG200" s="14">
        <v>0</v>
      </c>
      <c r="AI200" s="17">
        <f t="shared" si="65"/>
        <v>0</v>
      </c>
      <c r="AK200" s="14">
        <f t="shared" si="60"/>
        <v>0</v>
      </c>
      <c r="AM200" s="14">
        <f t="shared" si="61"/>
        <v>0</v>
      </c>
      <c r="AO200" s="14">
        <f t="shared" si="62"/>
        <v>0</v>
      </c>
      <c r="AQ200" s="14">
        <f t="shared" si="63"/>
        <v>0</v>
      </c>
      <c r="AS200" s="14">
        <f t="shared" si="64"/>
        <v>0</v>
      </c>
      <c r="AU200" s="14">
        <f t="shared" si="46"/>
        <v>0</v>
      </c>
    </row>
    <row r="201" spans="1:47" x14ac:dyDescent="0.2">
      <c r="A201" s="71"/>
      <c r="B201" s="3" t="s">
        <v>202</v>
      </c>
      <c r="C201" s="14">
        <v>0</v>
      </c>
      <c r="E201" s="14">
        <v>0</v>
      </c>
      <c r="G201" s="14">
        <v>0</v>
      </c>
      <c r="I201" s="14">
        <v>0</v>
      </c>
      <c r="K201" s="14">
        <v>0</v>
      </c>
      <c r="M201" s="14">
        <v>0</v>
      </c>
      <c r="O201" s="14">
        <v>0</v>
      </c>
      <c r="Q201" s="14">
        <v>0</v>
      </c>
      <c r="S201" s="14">
        <v>0</v>
      </c>
      <c r="U201" s="14">
        <v>0</v>
      </c>
      <c r="W201" s="14">
        <v>0</v>
      </c>
      <c r="Y201" s="14">
        <v>0</v>
      </c>
      <c r="AA201" s="14">
        <v>0</v>
      </c>
      <c r="AC201" s="14">
        <v>0</v>
      </c>
      <c r="AE201" s="14">
        <v>0</v>
      </c>
      <c r="AF201" s="14">
        <v>0</v>
      </c>
      <c r="AG201" s="14">
        <v>0</v>
      </c>
      <c r="AI201" s="17">
        <f t="shared" si="65"/>
        <v>0</v>
      </c>
      <c r="AK201" s="14">
        <f t="shared" si="60"/>
        <v>0</v>
      </c>
      <c r="AM201" s="14">
        <f t="shared" si="61"/>
        <v>0</v>
      </c>
      <c r="AO201" s="14">
        <f t="shared" si="62"/>
        <v>0</v>
      </c>
      <c r="AQ201" s="14">
        <f t="shared" si="63"/>
        <v>0</v>
      </c>
      <c r="AS201" s="14">
        <f t="shared" si="64"/>
        <v>0</v>
      </c>
      <c r="AU201" s="14">
        <f t="shared" si="46"/>
        <v>0</v>
      </c>
    </row>
    <row r="202" spans="1:47" x14ac:dyDescent="0.2">
      <c r="A202" s="71"/>
      <c r="B202" s="3" t="s">
        <v>203</v>
      </c>
      <c r="C202" s="14">
        <v>0</v>
      </c>
      <c r="E202" s="14">
        <v>0</v>
      </c>
      <c r="G202" s="14">
        <v>0</v>
      </c>
      <c r="I202" s="14">
        <v>0</v>
      </c>
      <c r="K202" s="14">
        <v>0</v>
      </c>
      <c r="M202" s="14">
        <v>0</v>
      </c>
      <c r="O202" s="14">
        <v>0</v>
      </c>
      <c r="Q202" s="14">
        <v>0</v>
      </c>
      <c r="S202" s="14">
        <v>0</v>
      </c>
      <c r="U202" s="14">
        <v>0</v>
      </c>
      <c r="W202" s="14">
        <v>0</v>
      </c>
      <c r="Y202" s="14">
        <v>0</v>
      </c>
      <c r="AA202" s="14">
        <v>0</v>
      </c>
      <c r="AC202" s="14">
        <v>0</v>
      </c>
      <c r="AE202" s="14">
        <v>0</v>
      </c>
      <c r="AF202" s="14">
        <v>0</v>
      </c>
      <c r="AG202" s="14">
        <v>0</v>
      </c>
      <c r="AI202" s="17">
        <f t="shared" si="65"/>
        <v>0</v>
      </c>
      <c r="AK202" s="14">
        <f t="shared" si="60"/>
        <v>0</v>
      </c>
      <c r="AM202" s="14">
        <f t="shared" si="61"/>
        <v>0</v>
      </c>
      <c r="AO202" s="14">
        <f t="shared" si="62"/>
        <v>0</v>
      </c>
      <c r="AQ202" s="14">
        <f t="shared" si="63"/>
        <v>0</v>
      </c>
      <c r="AS202" s="14">
        <f t="shared" si="64"/>
        <v>0</v>
      </c>
      <c r="AU202" s="14">
        <f t="shared" si="46"/>
        <v>0</v>
      </c>
    </row>
    <row r="203" spans="1:47" x14ac:dyDescent="0.2">
      <c r="A203" s="71"/>
      <c r="B203" s="3" t="s">
        <v>204</v>
      </c>
      <c r="C203" s="14">
        <v>0</v>
      </c>
      <c r="E203" s="14">
        <v>0</v>
      </c>
      <c r="G203" s="14">
        <v>0</v>
      </c>
      <c r="I203" s="14">
        <v>0</v>
      </c>
      <c r="K203" s="14">
        <v>0</v>
      </c>
      <c r="M203" s="14">
        <v>0</v>
      </c>
      <c r="O203" s="14">
        <v>0</v>
      </c>
      <c r="Q203" s="14">
        <v>0</v>
      </c>
      <c r="S203" s="14">
        <v>0</v>
      </c>
      <c r="U203" s="14">
        <v>0</v>
      </c>
      <c r="W203" s="14">
        <v>0</v>
      </c>
      <c r="Y203" s="14">
        <v>0</v>
      </c>
      <c r="AA203" s="14">
        <v>0</v>
      </c>
      <c r="AC203" s="14">
        <v>0</v>
      </c>
      <c r="AE203" s="14">
        <v>0</v>
      </c>
      <c r="AF203" s="14">
        <v>0</v>
      </c>
      <c r="AG203" s="14">
        <v>0</v>
      </c>
      <c r="AI203" s="17">
        <f t="shared" si="65"/>
        <v>0</v>
      </c>
      <c r="AK203" s="14">
        <f t="shared" si="60"/>
        <v>0</v>
      </c>
      <c r="AM203" s="14">
        <f t="shared" si="61"/>
        <v>0</v>
      </c>
      <c r="AO203" s="14">
        <f t="shared" si="62"/>
        <v>0</v>
      </c>
      <c r="AQ203" s="14">
        <f t="shared" si="63"/>
        <v>0</v>
      </c>
      <c r="AS203" s="14">
        <f t="shared" si="64"/>
        <v>0</v>
      </c>
      <c r="AU203" s="14">
        <f t="shared" si="46"/>
        <v>0</v>
      </c>
    </row>
    <row r="204" spans="1:47" x14ac:dyDescent="0.2">
      <c r="A204" s="71"/>
      <c r="B204" s="3" t="s">
        <v>205</v>
      </c>
      <c r="C204" s="14">
        <v>0</v>
      </c>
      <c r="E204" s="14">
        <v>0</v>
      </c>
      <c r="G204" s="14">
        <v>0</v>
      </c>
      <c r="I204" s="14">
        <v>0</v>
      </c>
      <c r="K204" s="14">
        <v>0</v>
      </c>
      <c r="M204" s="14">
        <v>0</v>
      </c>
      <c r="O204" s="14">
        <v>0</v>
      </c>
      <c r="Q204" s="14">
        <v>0</v>
      </c>
      <c r="S204" s="14">
        <v>0</v>
      </c>
      <c r="U204" s="14">
        <v>0</v>
      </c>
      <c r="W204" s="14">
        <v>0</v>
      </c>
      <c r="Y204" s="14">
        <v>0</v>
      </c>
      <c r="AA204" s="14">
        <v>0</v>
      </c>
      <c r="AC204" s="14">
        <v>0</v>
      </c>
      <c r="AE204" s="14">
        <v>0</v>
      </c>
      <c r="AF204" s="14">
        <v>0</v>
      </c>
      <c r="AG204" s="14">
        <v>0</v>
      </c>
      <c r="AI204" s="17">
        <f t="shared" si="65"/>
        <v>0</v>
      </c>
      <c r="AK204" s="14">
        <f t="shared" si="60"/>
        <v>0</v>
      </c>
      <c r="AM204" s="14">
        <f t="shared" si="61"/>
        <v>0</v>
      </c>
      <c r="AO204" s="14">
        <f t="shared" si="62"/>
        <v>0</v>
      </c>
      <c r="AQ204" s="14">
        <f t="shared" si="63"/>
        <v>0</v>
      </c>
      <c r="AS204" s="14">
        <f t="shared" si="64"/>
        <v>0</v>
      </c>
      <c r="AU204" s="14">
        <f t="shared" si="46"/>
        <v>0</v>
      </c>
    </row>
    <row r="205" spans="1:47" x14ac:dyDescent="0.2">
      <c r="A205" s="71"/>
      <c r="B205" s="3" t="s">
        <v>206</v>
      </c>
      <c r="C205" s="14">
        <v>0</v>
      </c>
      <c r="E205" s="14">
        <v>0</v>
      </c>
      <c r="G205" s="14">
        <v>0</v>
      </c>
      <c r="I205" s="14">
        <v>0</v>
      </c>
      <c r="K205" s="14">
        <v>0</v>
      </c>
      <c r="M205" s="14">
        <v>0</v>
      </c>
      <c r="O205" s="14">
        <v>0</v>
      </c>
      <c r="Q205" s="14">
        <v>0</v>
      </c>
      <c r="S205" s="14">
        <v>0</v>
      </c>
      <c r="U205" s="14">
        <v>0</v>
      </c>
      <c r="W205" s="14">
        <v>0</v>
      </c>
      <c r="Y205" s="14">
        <v>0</v>
      </c>
      <c r="AA205" s="14">
        <v>0</v>
      </c>
      <c r="AC205" s="14">
        <v>0</v>
      </c>
      <c r="AE205" s="14">
        <v>0</v>
      </c>
      <c r="AF205" s="14">
        <v>0</v>
      </c>
      <c r="AG205" s="14">
        <v>0</v>
      </c>
      <c r="AI205" s="17">
        <f t="shared" si="65"/>
        <v>0</v>
      </c>
      <c r="AK205" s="14">
        <f t="shared" si="60"/>
        <v>0</v>
      </c>
      <c r="AM205" s="14">
        <f t="shared" si="61"/>
        <v>0</v>
      </c>
      <c r="AO205" s="14">
        <f t="shared" si="62"/>
        <v>0</v>
      </c>
      <c r="AQ205" s="14">
        <f t="shared" si="63"/>
        <v>0</v>
      </c>
      <c r="AS205" s="14">
        <f t="shared" si="64"/>
        <v>0</v>
      </c>
      <c r="AU205" s="14">
        <f t="shared" si="46"/>
        <v>0</v>
      </c>
    </row>
    <row r="206" spans="1:47" x14ac:dyDescent="0.2">
      <c r="A206" s="71"/>
      <c r="B206" s="12" t="s">
        <v>242</v>
      </c>
      <c r="C206" s="18">
        <f>SUM(C195:C205)</f>
        <v>0</v>
      </c>
      <c r="E206" s="18">
        <f>SUM(E195:E205)</f>
        <v>0</v>
      </c>
      <c r="G206" s="18">
        <f>SUM(G195:G205)</f>
        <v>0</v>
      </c>
      <c r="I206" s="18">
        <f>SUM(I195:I205)</f>
        <v>0</v>
      </c>
      <c r="K206" s="18">
        <f>SUM(K195:K205)</f>
        <v>0</v>
      </c>
      <c r="M206" s="18">
        <f>SUM(M195:M205)</f>
        <v>0</v>
      </c>
      <c r="O206" s="18">
        <f>SUM(O195:O205)</f>
        <v>0</v>
      </c>
      <c r="Q206" s="18">
        <f>SUM(Q195:Q205)</f>
        <v>0</v>
      </c>
      <c r="S206" s="18">
        <f>SUM(S195:S205)</f>
        <v>0</v>
      </c>
      <c r="U206" s="18">
        <f>SUM(U195:U205)</f>
        <v>0</v>
      </c>
      <c r="W206" s="18">
        <f>SUM(W195:W205)</f>
        <v>0</v>
      </c>
      <c r="Y206" s="18">
        <f>SUM(Y195:Y205)</f>
        <v>0</v>
      </c>
      <c r="AA206" s="18">
        <f>SUM(AA195:AA205)</f>
        <v>0</v>
      </c>
      <c r="AC206" s="18">
        <f>SUM(AC195:AC205)</f>
        <v>0</v>
      </c>
      <c r="AE206" s="18">
        <f>SUM(AE195:AE205)</f>
        <v>0</v>
      </c>
      <c r="AF206" s="18">
        <f>SUM(AF195:AF205)</f>
        <v>0</v>
      </c>
      <c r="AG206" s="18">
        <f>SUM(AG195:AG205)</f>
        <v>0</v>
      </c>
      <c r="AI206" s="18">
        <f>SUM(AI195:AI205)</f>
        <v>0</v>
      </c>
      <c r="AK206" s="18">
        <f>SUM(AK195:AK205)</f>
        <v>0</v>
      </c>
      <c r="AM206" s="18">
        <f>SUM(AM195:AM205)</f>
        <v>0</v>
      </c>
      <c r="AO206" s="18">
        <f>SUM(AO195:AO205)</f>
        <v>0</v>
      </c>
      <c r="AQ206" s="18">
        <f>SUM(AQ195:AQ205)</f>
        <v>0</v>
      </c>
      <c r="AS206" s="18">
        <f>SUM(AS195:AS205)</f>
        <v>0</v>
      </c>
      <c r="AU206" s="18">
        <f t="shared" si="46"/>
        <v>0</v>
      </c>
    </row>
    <row r="207" spans="1:47" x14ac:dyDescent="0.2">
      <c r="A207" s="8"/>
      <c r="C207" s="14"/>
      <c r="E207" s="14"/>
      <c r="G207" s="14"/>
      <c r="I207" s="14"/>
      <c r="K207" s="14"/>
      <c r="M207" s="14"/>
      <c r="O207" s="14"/>
      <c r="Q207" s="14"/>
      <c r="S207" s="14"/>
      <c r="U207" s="14"/>
      <c r="W207" s="14"/>
      <c r="Y207" s="14"/>
      <c r="AA207" s="14"/>
      <c r="AC207" s="14"/>
      <c r="AE207" s="14"/>
      <c r="AF207" s="14"/>
      <c r="AG207" s="14"/>
      <c r="AI207" s="14"/>
      <c r="AK207" s="14"/>
      <c r="AM207" s="14"/>
      <c r="AO207" s="14"/>
      <c r="AQ207" s="14"/>
      <c r="AS207" s="14"/>
      <c r="AU207" s="14"/>
    </row>
    <row r="208" spans="1:47" x14ac:dyDescent="0.2">
      <c r="A208" s="8"/>
      <c r="B208" s="12" t="s">
        <v>17</v>
      </c>
      <c r="C208" s="14"/>
      <c r="E208" s="14"/>
      <c r="G208" s="14"/>
      <c r="I208" s="14"/>
      <c r="K208" s="14"/>
      <c r="M208" s="14"/>
      <c r="O208" s="14"/>
      <c r="Q208" s="14"/>
      <c r="S208" s="14"/>
      <c r="U208" s="14"/>
      <c r="W208" s="14"/>
      <c r="Y208" s="14"/>
      <c r="AA208" s="14"/>
      <c r="AC208" s="14"/>
      <c r="AE208" s="14"/>
      <c r="AF208" s="14"/>
      <c r="AG208" s="14"/>
      <c r="AI208" s="14"/>
      <c r="AK208" s="14"/>
      <c r="AM208" s="14"/>
      <c r="AO208" s="14"/>
      <c r="AQ208" s="14"/>
      <c r="AS208" s="14"/>
      <c r="AU208" s="14"/>
    </row>
    <row r="209" spans="1:47" x14ac:dyDescent="0.2">
      <c r="A209" s="8"/>
      <c r="B209" s="3" t="s">
        <v>208</v>
      </c>
      <c r="C209" s="14">
        <v>0</v>
      </c>
      <c r="E209" s="14">
        <v>0</v>
      </c>
      <c r="G209" s="14">
        <v>0</v>
      </c>
      <c r="I209" s="14">
        <v>0</v>
      </c>
      <c r="K209" s="14">
        <v>0</v>
      </c>
      <c r="M209" s="14">
        <v>0</v>
      </c>
      <c r="O209" s="14">
        <v>0</v>
      </c>
      <c r="Q209" s="14">
        <v>0</v>
      </c>
      <c r="S209" s="14">
        <v>0</v>
      </c>
      <c r="U209" s="14">
        <v>0</v>
      </c>
      <c r="W209" s="14">
        <v>0</v>
      </c>
      <c r="Y209" s="14">
        <v>0</v>
      </c>
      <c r="AA209" s="14">
        <v>0</v>
      </c>
      <c r="AC209" s="14">
        <v>0</v>
      </c>
      <c r="AE209" s="14">
        <v>0</v>
      </c>
      <c r="AF209" s="14">
        <v>0</v>
      </c>
      <c r="AI209" s="17">
        <f>SUM(C209:AG209)</f>
        <v>0</v>
      </c>
      <c r="AK209" s="14">
        <f t="shared" ref="AK209:AK219" si="66">SUMIF($C$9:$AH$9,"=Addition",$C209:$AH209)</f>
        <v>0</v>
      </c>
      <c r="AM209" s="14">
        <f t="shared" ref="AM209:AM219" si="67">SUMIF($C$9:$AH$9,"=Adjustment",$C209:$AH209)</f>
        <v>0</v>
      </c>
      <c r="AO209" s="14">
        <f t="shared" ref="AO209:AO219" si="68">SUMIF($C$9:$AH$9,"=Transfer",$C209:$AH209)</f>
        <v>0</v>
      </c>
      <c r="AQ209" s="14">
        <f t="shared" ref="AQ209:AQ219" si="69">SUMIF($C$9:$Z$9,"=N/A",$C209:$Z209)</f>
        <v>0</v>
      </c>
      <c r="AS209" s="14">
        <f t="shared" ref="AS209:AS219" si="70">SUM(AK209:AQ209)</f>
        <v>0</v>
      </c>
      <c r="AU209" s="14">
        <f t="shared" si="46"/>
        <v>0</v>
      </c>
    </row>
    <row r="210" spans="1:47" x14ac:dyDescent="0.2">
      <c r="A210" s="8"/>
      <c r="B210" s="3" t="s">
        <v>209</v>
      </c>
      <c r="C210" s="14">
        <v>0</v>
      </c>
      <c r="E210" s="14">
        <v>0</v>
      </c>
      <c r="G210" s="14">
        <v>0</v>
      </c>
      <c r="I210" s="14">
        <v>0</v>
      </c>
      <c r="K210" s="14">
        <v>0</v>
      </c>
      <c r="M210" s="14">
        <v>0</v>
      </c>
      <c r="O210" s="14">
        <v>0</v>
      </c>
      <c r="Q210" s="14">
        <v>0</v>
      </c>
      <c r="S210" s="14">
        <v>0</v>
      </c>
      <c r="U210" s="14">
        <v>0</v>
      </c>
      <c r="W210" s="14">
        <v>0</v>
      </c>
      <c r="Y210" s="14">
        <v>0</v>
      </c>
      <c r="AA210" s="14">
        <v>0</v>
      </c>
      <c r="AC210" s="14">
        <v>0</v>
      </c>
      <c r="AE210" s="14">
        <v>0</v>
      </c>
      <c r="AF210" s="14">
        <v>0</v>
      </c>
      <c r="AG210" s="14">
        <v>0</v>
      </c>
      <c r="AI210" s="17">
        <f>SUM(C210:AG210)</f>
        <v>0</v>
      </c>
      <c r="AK210" s="14">
        <f t="shared" si="66"/>
        <v>0</v>
      </c>
      <c r="AM210" s="14">
        <f t="shared" si="67"/>
        <v>0</v>
      </c>
      <c r="AO210" s="14">
        <f t="shared" si="68"/>
        <v>0</v>
      </c>
      <c r="AQ210" s="14">
        <f t="shared" si="69"/>
        <v>0</v>
      </c>
      <c r="AS210" s="14">
        <f t="shared" si="70"/>
        <v>0</v>
      </c>
      <c r="AU210" s="14">
        <f t="shared" si="46"/>
        <v>0</v>
      </c>
    </row>
    <row r="211" spans="1:47" x14ac:dyDescent="0.2">
      <c r="A211" s="8"/>
      <c r="B211" s="3" t="s">
        <v>210</v>
      </c>
      <c r="C211" s="14">
        <v>0</v>
      </c>
      <c r="E211" s="14">
        <v>0</v>
      </c>
      <c r="G211" s="14">
        <v>0</v>
      </c>
      <c r="I211" s="14">
        <v>0</v>
      </c>
      <c r="K211" s="14">
        <v>0</v>
      </c>
      <c r="M211" s="14">
        <v>0</v>
      </c>
      <c r="O211" s="14">
        <v>0</v>
      </c>
      <c r="Q211" s="14">
        <v>0</v>
      </c>
      <c r="S211" s="14">
        <v>0</v>
      </c>
      <c r="U211" s="14">
        <v>0</v>
      </c>
      <c r="W211" s="14">
        <v>0</v>
      </c>
      <c r="Y211" s="14">
        <v>0</v>
      </c>
      <c r="AA211" s="14">
        <v>0</v>
      </c>
      <c r="AC211" s="14">
        <v>0</v>
      </c>
      <c r="AE211" s="14">
        <v>0</v>
      </c>
      <c r="AF211" s="14">
        <v>0</v>
      </c>
      <c r="AG211" s="14">
        <v>0</v>
      </c>
      <c r="AI211" s="17">
        <f t="shared" ref="AI211:AI219" si="71">SUM(C211:AG211)</f>
        <v>0</v>
      </c>
      <c r="AK211" s="14">
        <f t="shared" si="66"/>
        <v>0</v>
      </c>
      <c r="AM211" s="14">
        <f t="shared" si="67"/>
        <v>0</v>
      </c>
      <c r="AO211" s="14">
        <f t="shared" si="68"/>
        <v>0</v>
      </c>
      <c r="AQ211" s="14">
        <f t="shared" si="69"/>
        <v>0</v>
      </c>
      <c r="AS211" s="14">
        <f t="shared" si="70"/>
        <v>0</v>
      </c>
      <c r="AU211" s="14">
        <f t="shared" si="46"/>
        <v>0</v>
      </c>
    </row>
    <row r="212" spans="1:47" x14ac:dyDescent="0.2">
      <c r="A212" s="8"/>
      <c r="B212" s="3" t="s">
        <v>211</v>
      </c>
      <c r="C212" s="14">
        <v>0</v>
      </c>
      <c r="E212" s="14">
        <v>0</v>
      </c>
      <c r="G212" s="14">
        <v>0</v>
      </c>
      <c r="I212" s="14">
        <v>0</v>
      </c>
      <c r="K212" s="14">
        <v>0</v>
      </c>
      <c r="M212" s="14">
        <v>0</v>
      </c>
      <c r="O212" s="14">
        <v>0</v>
      </c>
      <c r="Q212" s="14">
        <v>0</v>
      </c>
      <c r="S212" s="14">
        <v>0</v>
      </c>
      <c r="U212" s="14">
        <v>0</v>
      </c>
      <c r="W212" s="14">
        <v>0</v>
      </c>
      <c r="Y212" s="14">
        <v>0</v>
      </c>
      <c r="AA212" s="14">
        <v>0</v>
      </c>
      <c r="AC212" s="14">
        <v>0</v>
      </c>
      <c r="AE212" s="14">
        <v>0</v>
      </c>
      <c r="AF212" s="14">
        <v>0</v>
      </c>
      <c r="AG212" s="14">
        <v>0</v>
      </c>
      <c r="AI212" s="17">
        <f t="shared" si="71"/>
        <v>0</v>
      </c>
      <c r="AK212" s="14">
        <f t="shared" si="66"/>
        <v>0</v>
      </c>
      <c r="AM212" s="14">
        <f t="shared" si="67"/>
        <v>0</v>
      </c>
      <c r="AO212" s="14">
        <f t="shared" si="68"/>
        <v>0</v>
      </c>
      <c r="AQ212" s="14">
        <f t="shared" si="69"/>
        <v>0</v>
      </c>
      <c r="AS212" s="14">
        <f t="shared" si="70"/>
        <v>0</v>
      </c>
      <c r="AU212" s="14">
        <f t="shared" si="46"/>
        <v>0</v>
      </c>
    </row>
    <row r="213" spans="1:47" x14ac:dyDescent="0.2">
      <c r="A213" s="8"/>
      <c r="B213" s="3" t="s">
        <v>212</v>
      </c>
      <c r="C213" s="14">
        <v>0</v>
      </c>
      <c r="E213" s="14">
        <v>0</v>
      </c>
      <c r="G213" s="14">
        <v>0</v>
      </c>
      <c r="I213" s="14">
        <v>0</v>
      </c>
      <c r="K213" s="14">
        <v>0</v>
      </c>
      <c r="M213" s="14">
        <v>0</v>
      </c>
      <c r="O213" s="14">
        <v>0</v>
      </c>
      <c r="Q213" s="14">
        <v>0</v>
      </c>
      <c r="S213" s="14">
        <v>0</v>
      </c>
      <c r="U213" s="14">
        <v>0</v>
      </c>
      <c r="W213" s="14">
        <v>0</v>
      </c>
      <c r="Y213" s="14">
        <v>0</v>
      </c>
      <c r="AA213" s="14">
        <v>0</v>
      </c>
      <c r="AC213" s="14">
        <v>0</v>
      </c>
      <c r="AE213" s="14">
        <v>0</v>
      </c>
      <c r="AF213" s="14">
        <v>0</v>
      </c>
      <c r="AG213" s="14">
        <v>0</v>
      </c>
      <c r="AI213" s="17">
        <f t="shared" si="71"/>
        <v>0</v>
      </c>
      <c r="AK213" s="14">
        <f t="shared" si="66"/>
        <v>0</v>
      </c>
      <c r="AM213" s="14">
        <f t="shared" si="67"/>
        <v>0</v>
      </c>
      <c r="AO213" s="14">
        <f t="shared" si="68"/>
        <v>0</v>
      </c>
      <c r="AQ213" s="14">
        <f t="shared" si="69"/>
        <v>0</v>
      </c>
      <c r="AS213" s="14">
        <f t="shared" si="70"/>
        <v>0</v>
      </c>
      <c r="AU213" s="14">
        <f t="shared" si="46"/>
        <v>0</v>
      </c>
    </row>
    <row r="214" spans="1:47" x14ac:dyDescent="0.2">
      <c r="A214" s="8"/>
      <c r="B214" s="3" t="s">
        <v>213</v>
      </c>
      <c r="C214" s="14">
        <v>0</v>
      </c>
      <c r="E214" s="14">
        <v>0</v>
      </c>
      <c r="G214" s="14">
        <v>0</v>
      </c>
      <c r="I214" s="14">
        <v>0</v>
      </c>
      <c r="K214" s="14">
        <v>0</v>
      </c>
      <c r="M214" s="14">
        <v>0</v>
      </c>
      <c r="O214" s="14">
        <v>0</v>
      </c>
      <c r="Q214" s="14">
        <v>0</v>
      </c>
      <c r="S214" s="14">
        <v>0</v>
      </c>
      <c r="U214" s="14">
        <v>0</v>
      </c>
      <c r="W214" s="14">
        <v>0</v>
      </c>
      <c r="Y214" s="14">
        <v>0</v>
      </c>
      <c r="AA214" s="14">
        <v>0</v>
      </c>
      <c r="AC214" s="14">
        <v>0</v>
      </c>
      <c r="AE214" s="14">
        <v>0</v>
      </c>
      <c r="AF214" s="14">
        <v>0</v>
      </c>
      <c r="AG214" s="14">
        <v>0</v>
      </c>
      <c r="AI214" s="17">
        <f t="shared" si="71"/>
        <v>0</v>
      </c>
      <c r="AK214" s="14">
        <f t="shared" si="66"/>
        <v>0</v>
      </c>
      <c r="AM214" s="14">
        <f t="shared" si="67"/>
        <v>0</v>
      </c>
      <c r="AO214" s="14">
        <f t="shared" si="68"/>
        <v>0</v>
      </c>
      <c r="AQ214" s="14">
        <f t="shared" si="69"/>
        <v>0</v>
      </c>
      <c r="AS214" s="14">
        <f t="shared" si="70"/>
        <v>0</v>
      </c>
      <c r="AU214" s="14">
        <f t="shared" si="46"/>
        <v>0</v>
      </c>
    </row>
    <row r="215" spans="1:47" x14ac:dyDescent="0.2">
      <c r="A215" s="8"/>
      <c r="B215" s="3" t="s">
        <v>214</v>
      </c>
      <c r="C215" s="14">
        <v>0</v>
      </c>
      <c r="E215" s="14">
        <v>0</v>
      </c>
      <c r="G215" s="14">
        <v>0</v>
      </c>
      <c r="I215" s="14">
        <v>0</v>
      </c>
      <c r="K215" s="14">
        <v>0</v>
      </c>
      <c r="M215" s="14">
        <v>0</v>
      </c>
      <c r="O215" s="14">
        <v>0</v>
      </c>
      <c r="Q215" s="14">
        <v>0</v>
      </c>
      <c r="S215" s="14">
        <v>0</v>
      </c>
      <c r="U215" s="14">
        <v>0</v>
      </c>
      <c r="W215" s="14">
        <v>0</v>
      </c>
      <c r="Y215" s="14">
        <v>0</v>
      </c>
      <c r="AA215" s="14">
        <v>0</v>
      </c>
      <c r="AC215" s="14">
        <v>0</v>
      </c>
      <c r="AE215" s="14">
        <v>0</v>
      </c>
      <c r="AF215" s="14">
        <v>0</v>
      </c>
      <c r="AG215" s="14">
        <v>0</v>
      </c>
      <c r="AI215" s="17">
        <f t="shared" si="71"/>
        <v>0</v>
      </c>
      <c r="AK215" s="14">
        <f t="shared" si="66"/>
        <v>0</v>
      </c>
      <c r="AM215" s="14">
        <f t="shared" si="67"/>
        <v>0</v>
      </c>
      <c r="AO215" s="14">
        <f t="shared" si="68"/>
        <v>0</v>
      </c>
      <c r="AQ215" s="14">
        <f t="shared" si="69"/>
        <v>0</v>
      </c>
      <c r="AS215" s="14">
        <f t="shared" si="70"/>
        <v>0</v>
      </c>
      <c r="AU215" s="14">
        <f t="shared" si="46"/>
        <v>0</v>
      </c>
    </row>
    <row r="216" spans="1:47" x14ac:dyDescent="0.2">
      <c r="A216" s="8"/>
      <c r="B216" s="3" t="s">
        <v>215</v>
      </c>
      <c r="C216" s="14">
        <v>0</v>
      </c>
      <c r="E216" s="14">
        <v>0</v>
      </c>
      <c r="G216" s="14">
        <v>0</v>
      </c>
      <c r="I216" s="14">
        <v>0</v>
      </c>
      <c r="K216" s="14">
        <v>0</v>
      </c>
      <c r="M216" s="14">
        <v>0</v>
      </c>
      <c r="O216" s="14">
        <v>0</v>
      </c>
      <c r="Q216" s="14">
        <v>0</v>
      </c>
      <c r="S216" s="14">
        <v>0</v>
      </c>
      <c r="U216" s="14">
        <v>0</v>
      </c>
      <c r="W216" s="14">
        <v>0</v>
      </c>
      <c r="Y216" s="14">
        <v>0</v>
      </c>
      <c r="AA216" s="14">
        <v>0</v>
      </c>
      <c r="AC216" s="14">
        <v>0</v>
      </c>
      <c r="AE216" s="14">
        <v>0</v>
      </c>
      <c r="AF216" s="14">
        <v>0</v>
      </c>
      <c r="AG216" s="14">
        <v>0</v>
      </c>
      <c r="AI216" s="17">
        <f t="shared" si="71"/>
        <v>0</v>
      </c>
      <c r="AK216" s="14">
        <f t="shared" si="66"/>
        <v>0</v>
      </c>
      <c r="AM216" s="14">
        <f t="shared" si="67"/>
        <v>0</v>
      </c>
      <c r="AO216" s="14">
        <f t="shared" si="68"/>
        <v>0</v>
      </c>
      <c r="AQ216" s="14">
        <f t="shared" si="69"/>
        <v>0</v>
      </c>
      <c r="AS216" s="14">
        <f t="shared" si="70"/>
        <v>0</v>
      </c>
      <c r="AU216" s="14">
        <f t="shared" ref="AU216:AU255" si="72">+AI216-AS216</f>
        <v>0</v>
      </c>
    </row>
    <row r="217" spans="1:47" x14ac:dyDescent="0.2">
      <c r="A217" s="8"/>
      <c r="B217" s="3" t="s">
        <v>216</v>
      </c>
      <c r="C217" s="14">
        <v>0</v>
      </c>
      <c r="E217" s="14">
        <v>0</v>
      </c>
      <c r="G217" s="14">
        <v>0</v>
      </c>
      <c r="I217" s="14">
        <v>0</v>
      </c>
      <c r="K217" s="14">
        <v>0</v>
      </c>
      <c r="M217" s="14">
        <v>0</v>
      </c>
      <c r="O217" s="14">
        <v>0</v>
      </c>
      <c r="Q217" s="14">
        <v>0</v>
      </c>
      <c r="S217" s="14">
        <v>0</v>
      </c>
      <c r="U217" s="14">
        <v>0</v>
      </c>
      <c r="W217" s="14">
        <v>0</v>
      </c>
      <c r="Y217" s="14">
        <v>0</v>
      </c>
      <c r="AA217" s="14">
        <v>0</v>
      </c>
      <c r="AC217" s="14">
        <v>0</v>
      </c>
      <c r="AE217" s="14">
        <v>0</v>
      </c>
      <c r="AF217" s="14">
        <v>0</v>
      </c>
      <c r="AG217" s="14">
        <v>0</v>
      </c>
      <c r="AI217" s="17">
        <f t="shared" si="71"/>
        <v>0</v>
      </c>
      <c r="AK217" s="14">
        <f t="shared" si="66"/>
        <v>0</v>
      </c>
      <c r="AM217" s="14">
        <f t="shared" si="67"/>
        <v>0</v>
      </c>
      <c r="AO217" s="14">
        <f t="shared" si="68"/>
        <v>0</v>
      </c>
      <c r="AQ217" s="14">
        <f t="shared" si="69"/>
        <v>0</v>
      </c>
      <c r="AS217" s="14">
        <f t="shared" si="70"/>
        <v>0</v>
      </c>
      <c r="AU217" s="14">
        <f t="shared" si="72"/>
        <v>0</v>
      </c>
    </row>
    <row r="218" spans="1:47" x14ac:dyDescent="0.2">
      <c r="A218" s="8"/>
      <c r="B218" s="3" t="s">
        <v>217</v>
      </c>
      <c r="C218" s="14">
        <v>0</v>
      </c>
      <c r="E218" s="14">
        <v>0</v>
      </c>
      <c r="G218" s="14">
        <v>0</v>
      </c>
      <c r="I218" s="14">
        <v>0</v>
      </c>
      <c r="K218" s="14">
        <v>0</v>
      </c>
      <c r="M218" s="14">
        <v>0</v>
      </c>
      <c r="O218" s="14">
        <v>0</v>
      </c>
      <c r="Q218" s="14">
        <v>0</v>
      </c>
      <c r="S218" s="14">
        <v>0</v>
      </c>
      <c r="U218" s="14">
        <v>0</v>
      </c>
      <c r="W218" s="14">
        <v>0</v>
      </c>
      <c r="Y218" s="14">
        <v>0</v>
      </c>
      <c r="AA218" s="14">
        <v>0</v>
      </c>
      <c r="AC218" s="14">
        <v>0</v>
      </c>
      <c r="AE218" s="14">
        <v>0</v>
      </c>
      <c r="AF218" s="14">
        <v>0</v>
      </c>
      <c r="AG218" s="14">
        <v>0</v>
      </c>
      <c r="AI218" s="17">
        <f t="shared" si="71"/>
        <v>0</v>
      </c>
      <c r="AK218" s="14">
        <f t="shared" si="66"/>
        <v>0</v>
      </c>
      <c r="AM218" s="14">
        <f t="shared" si="67"/>
        <v>0</v>
      </c>
      <c r="AO218" s="14">
        <f t="shared" si="68"/>
        <v>0</v>
      </c>
      <c r="AQ218" s="14">
        <f t="shared" si="69"/>
        <v>0</v>
      </c>
      <c r="AS218" s="14">
        <f t="shared" si="70"/>
        <v>0</v>
      </c>
      <c r="AU218" s="14">
        <f t="shared" si="72"/>
        <v>0</v>
      </c>
    </row>
    <row r="219" spans="1:47" x14ac:dyDescent="0.2">
      <c r="A219" s="8"/>
      <c r="B219" s="3" t="s">
        <v>218</v>
      </c>
      <c r="C219" s="14">
        <v>0</v>
      </c>
      <c r="E219" s="14">
        <v>0</v>
      </c>
      <c r="G219" s="14">
        <v>0</v>
      </c>
      <c r="I219" s="14">
        <v>0</v>
      </c>
      <c r="K219" s="14">
        <v>0</v>
      </c>
      <c r="M219" s="14">
        <v>0</v>
      </c>
      <c r="O219" s="14">
        <v>0</v>
      </c>
      <c r="Q219" s="14">
        <v>0</v>
      </c>
      <c r="S219" s="14">
        <v>0</v>
      </c>
      <c r="U219" s="14">
        <v>0</v>
      </c>
      <c r="W219" s="14">
        <v>0</v>
      </c>
      <c r="Y219" s="14">
        <v>0</v>
      </c>
      <c r="AA219" s="14">
        <v>0</v>
      </c>
      <c r="AC219" s="14">
        <v>0</v>
      </c>
      <c r="AE219" s="14">
        <v>0</v>
      </c>
      <c r="AF219" s="14">
        <v>0</v>
      </c>
      <c r="AG219" s="14">
        <v>0</v>
      </c>
      <c r="AI219" s="17">
        <f t="shared" si="71"/>
        <v>0</v>
      </c>
      <c r="AK219" s="14">
        <f t="shared" si="66"/>
        <v>0</v>
      </c>
      <c r="AM219" s="14">
        <f t="shared" si="67"/>
        <v>0</v>
      </c>
      <c r="AO219" s="14">
        <f t="shared" si="68"/>
        <v>0</v>
      </c>
      <c r="AQ219" s="14">
        <f t="shared" si="69"/>
        <v>0</v>
      </c>
      <c r="AS219" s="14">
        <f t="shared" si="70"/>
        <v>0</v>
      </c>
      <c r="AU219" s="14">
        <f t="shared" si="72"/>
        <v>0</v>
      </c>
    </row>
    <row r="220" spans="1:47" x14ac:dyDescent="0.2">
      <c r="A220" s="8"/>
      <c r="B220" s="12" t="s">
        <v>243</v>
      </c>
      <c r="C220" s="18">
        <f>SUM(C209:C219)</f>
        <v>0</v>
      </c>
      <c r="E220" s="18">
        <f>SUM(E209:E219)</f>
        <v>0</v>
      </c>
      <c r="G220" s="18">
        <f>SUM(G209:G219)</f>
        <v>0</v>
      </c>
      <c r="I220" s="18">
        <f>SUM(I209:I219)</f>
        <v>0</v>
      </c>
      <c r="K220" s="18">
        <f>SUM(K209:K219)</f>
        <v>0</v>
      </c>
      <c r="M220" s="18">
        <f>SUM(M209:M219)</f>
        <v>0</v>
      </c>
      <c r="O220" s="18">
        <f>SUM(O209:O219)</f>
        <v>0</v>
      </c>
      <c r="Q220" s="18">
        <f>SUM(Q209:Q219)</f>
        <v>0</v>
      </c>
      <c r="S220" s="18">
        <f>SUM(S209:S219)</f>
        <v>0</v>
      </c>
      <c r="U220" s="18">
        <f>SUM(U209:U219)</f>
        <v>0</v>
      </c>
      <c r="W220" s="18">
        <f>SUM(W209:W219)</f>
        <v>0</v>
      </c>
      <c r="Y220" s="18">
        <f>SUM(Y209:Y219)</f>
        <v>0</v>
      </c>
      <c r="AA220" s="18">
        <f>SUM(AA209:AA219)</f>
        <v>0</v>
      </c>
      <c r="AC220" s="18">
        <f>SUM(AC209:AC219)</f>
        <v>0</v>
      </c>
      <c r="AE220" s="18">
        <f>SUM(AE209:AE219)</f>
        <v>0</v>
      </c>
      <c r="AF220" s="18">
        <f>SUM(AF209:AF219)</f>
        <v>0</v>
      </c>
      <c r="AG220" s="18">
        <f>SUM(AG208:AG219)</f>
        <v>0</v>
      </c>
      <c r="AI220" s="18">
        <f>SUM(AI209:AI219)</f>
        <v>0</v>
      </c>
      <c r="AK220" s="18">
        <f>SUM(AK209:AK219)</f>
        <v>0</v>
      </c>
      <c r="AM220" s="18">
        <f>SUM(AM209:AM219)</f>
        <v>0</v>
      </c>
      <c r="AO220" s="18">
        <f>SUM(AO209:AO219)</f>
        <v>0</v>
      </c>
      <c r="AQ220" s="18">
        <f>SUM(AQ209:AQ219)</f>
        <v>0</v>
      </c>
      <c r="AS220" s="18">
        <f>SUM(AS209:AS219)</f>
        <v>0</v>
      </c>
      <c r="AU220" s="18">
        <f t="shared" si="72"/>
        <v>0</v>
      </c>
    </row>
    <row r="221" spans="1:47" x14ac:dyDescent="0.2">
      <c r="A221" s="8"/>
      <c r="C221" s="14"/>
      <c r="E221" s="14"/>
      <c r="G221" s="14"/>
      <c r="I221" s="14"/>
      <c r="K221" s="14"/>
      <c r="M221" s="14"/>
      <c r="O221" s="14"/>
      <c r="Q221" s="14"/>
      <c r="S221" s="14"/>
      <c r="U221" s="14"/>
      <c r="W221" s="14"/>
      <c r="Y221" s="14"/>
      <c r="AA221" s="14"/>
      <c r="AC221" s="14"/>
      <c r="AE221" s="14"/>
      <c r="AF221" s="14"/>
      <c r="AG221" s="14"/>
      <c r="AI221" s="14"/>
      <c r="AK221" s="14"/>
      <c r="AM221" s="14"/>
      <c r="AO221" s="14"/>
      <c r="AQ221" s="14"/>
      <c r="AS221" s="14"/>
      <c r="AU221" s="14"/>
    </row>
    <row r="222" spans="1:47" x14ac:dyDescent="0.2">
      <c r="A222" s="8"/>
      <c r="B222" s="12" t="s">
        <v>18</v>
      </c>
      <c r="C222" s="14"/>
      <c r="E222" s="14"/>
      <c r="G222" s="14"/>
      <c r="I222" s="14"/>
      <c r="K222" s="14"/>
      <c r="M222" s="14"/>
      <c r="O222" s="14"/>
      <c r="Q222" s="14"/>
      <c r="S222" s="14"/>
      <c r="U222" s="14"/>
      <c r="W222" s="14"/>
      <c r="Y222" s="14"/>
      <c r="AA222" s="14"/>
      <c r="AC222" s="14"/>
      <c r="AE222" s="14"/>
      <c r="AF222" s="14"/>
      <c r="AG222" s="14"/>
      <c r="AI222" s="14"/>
      <c r="AK222" s="14"/>
      <c r="AM222" s="14"/>
      <c r="AO222" s="14"/>
      <c r="AQ222" s="14"/>
      <c r="AS222" s="14"/>
      <c r="AU222" s="14"/>
    </row>
    <row r="223" spans="1:47" x14ac:dyDescent="0.2">
      <c r="A223" s="8"/>
      <c r="B223" s="3" t="s">
        <v>221</v>
      </c>
      <c r="C223" s="14">
        <v>0</v>
      </c>
      <c r="E223" s="14">
        <v>0</v>
      </c>
      <c r="G223" s="14">
        <v>0</v>
      </c>
      <c r="I223" s="14">
        <v>0</v>
      </c>
      <c r="K223" s="14">
        <v>0</v>
      </c>
      <c r="M223" s="14">
        <v>0</v>
      </c>
      <c r="O223" s="14">
        <v>0</v>
      </c>
      <c r="Q223" s="14">
        <v>0</v>
      </c>
      <c r="S223" s="14">
        <v>0</v>
      </c>
      <c r="U223" s="14">
        <v>0</v>
      </c>
      <c r="W223" s="14">
        <v>0</v>
      </c>
      <c r="Y223" s="14">
        <v>0</v>
      </c>
      <c r="AA223" s="14">
        <v>0</v>
      </c>
      <c r="AC223" s="14">
        <v>0</v>
      </c>
      <c r="AE223" s="14">
        <v>0</v>
      </c>
      <c r="AF223" s="14">
        <v>0</v>
      </c>
      <c r="AG223" s="14">
        <v>0</v>
      </c>
      <c r="AI223" s="17">
        <f t="shared" ref="AI223:AI236" si="73">SUM(C223:AG223)</f>
        <v>0</v>
      </c>
      <c r="AK223" s="14">
        <f t="shared" ref="AK223:AK236" si="74">SUMIF($C$9:$AH$9,"=Addition",$C223:$AH223)</f>
        <v>0</v>
      </c>
      <c r="AM223" s="14">
        <f t="shared" ref="AM223:AM236" si="75">SUMIF($C$9:$AH$9,"=Adjustment",$C223:$AH223)</f>
        <v>0</v>
      </c>
      <c r="AO223" s="14">
        <f t="shared" ref="AO223:AO236" si="76">SUMIF($C$9:$AH$9,"=Transfer",$C223:$AH223)</f>
        <v>0</v>
      </c>
      <c r="AQ223" s="14">
        <f t="shared" ref="AQ223:AQ236" si="77">SUMIF($C$9:$Z$9,"=N/A",$C223:$Z223)</f>
        <v>0</v>
      </c>
      <c r="AS223" s="14">
        <f t="shared" ref="AS223:AS236" si="78">SUM(AK223:AQ223)</f>
        <v>0</v>
      </c>
      <c r="AU223" s="14">
        <f t="shared" si="72"/>
        <v>0</v>
      </c>
    </row>
    <row r="224" spans="1:47" x14ac:dyDescent="0.2">
      <c r="A224" s="8"/>
      <c r="B224" s="3" t="s">
        <v>222</v>
      </c>
      <c r="C224" s="14">
        <v>0</v>
      </c>
      <c r="E224" s="14">
        <v>0</v>
      </c>
      <c r="G224" s="14">
        <v>0</v>
      </c>
      <c r="I224" s="14">
        <v>0</v>
      </c>
      <c r="K224" s="14">
        <v>0</v>
      </c>
      <c r="M224" s="14">
        <v>0</v>
      </c>
      <c r="O224" s="14">
        <v>0</v>
      </c>
      <c r="Q224" s="14">
        <v>0</v>
      </c>
      <c r="S224" s="14">
        <v>0</v>
      </c>
      <c r="U224" s="14">
        <v>0</v>
      </c>
      <c r="W224" s="14">
        <v>0</v>
      </c>
      <c r="Y224" s="14">
        <v>0</v>
      </c>
      <c r="AA224" s="14">
        <v>0</v>
      </c>
      <c r="AC224" s="14">
        <v>0</v>
      </c>
      <c r="AE224" s="14">
        <v>0</v>
      </c>
      <c r="AF224" s="14">
        <v>0</v>
      </c>
      <c r="AG224" s="14">
        <v>0</v>
      </c>
      <c r="AI224" s="17">
        <f t="shared" si="73"/>
        <v>0</v>
      </c>
      <c r="AK224" s="14">
        <f t="shared" si="74"/>
        <v>0</v>
      </c>
      <c r="AM224" s="14">
        <f t="shared" si="75"/>
        <v>0</v>
      </c>
      <c r="AO224" s="14">
        <f t="shared" si="76"/>
        <v>0</v>
      </c>
      <c r="AQ224" s="14">
        <f t="shared" si="77"/>
        <v>0</v>
      </c>
      <c r="AS224" s="14">
        <f t="shared" si="78"/>
        <v>0</v>
      </c>
      <c r="AU224" s="14">
        <f t="shared" si="72"/>
        <v>0</v>
      </c>
    </row>
    <row r="225" spans="1:47" x14ac:dyDescent="0.2">
      <c r="A225" s="8"/>
      <c r="B225" s="3" t="s">
        <v>223</v>
      </c>
      <c r="C225" s="14">
        <v>0</v>
      </c>
      <c r="E225" s="14">
        <v>0</v>
      </c>
      <c r="G225" s="14">
        <v>0</v>
      </c>
      <c r="I225" s="14">
        <v>0</v>
      </c>
      <c r="K225" s="14">
        <v>0</v>
      </c>
      <c r="M225" s="14">
        <v>0</v>
      </c>
      <c r="O225" s="14">
        <v>0</v>
      </c>
      <c r="Q225" s="14">
        <v>0</v>
      </c>
      <c r="S225" s="14">
        <v>0</v>
      </c>
      <c r="U225" s="14">
        <v>0</v>
      </c>
      <c r="W225" s="14">
        <v>0</v>
      </c>
      <c r="Y225" s="14">
        <v>0</v>
      </c>
      <c r="AA225" s="14">
        <v>0</v>
      </c>
      <c r="AC225" s="14">
        <v>0</v>
      </c>
      <c r="AE225" s="14">
        <v>0</v>
      </c>
      <c r="AF225" s="14">
        <v>0</v>
      </c>
      <c r="AG225" s="14">
        <v>0</v>
      </c>
      <c r="AI225" s="17">
        <f t="shared" si="73"/>
        <v>0</v>
      </c>
      <c r="AK225" s="14">
        <f t="shared" si="74"/>
        <v>0</v>
      </c>
      <c r="AM225" s="14">
        <f t="shared" si="75"/>
        <v>0</v>
      </c>
      <c r="AO225" s="14">
        <f t="shared" si="76"/>
        <v>0</v>
      </c>
      <c r="AQ225" s="14">
        <f t="shared" si="77"/>
        <v>0</v>
      </c>
      <c r="AS225" s="14">
        <f t="shared" si="78"/>
        <v>0</v>
      </c>
      <c r="AU225" s="14">
        <f t="shared" si="72"/>
        <v>0</v>
      </c>
    </row>
    <row r="226" spans="1:47" x14ac:dyDescent="0.2">
      <c r="A226" s="8"/>
      <c r="B226" s="3" t="s">
        <v>224</v>
      </c>
      <c r="C226" s="14">
        <v>0</v>
      </c>
      <c r="E226" s="14">
        <v>0</v>
      </c>
      <c r="G226" s="14">
        <v>0</v>
      </c>
      <c r="I226" s="14">
        <v>0</v>
      </c>
      <c r="K226" s="14">
        <v>0</v>
      </c>
      <c r="M226" s="14">
        <v>0</v>
      </c>
      <c r="O226" s="14">
        <v>0</v>
      </c>
      <c r="Q226" s="14">
        <v>0</v>
      </c>
      <c r="S226" s="14">
        <v>0</v>
      </c>
      <c r="U226" s="14">
        <v>0</v>
      </c>
      <c r="W226" s="14">
        <v>0</v>
      </c>
      <c r="Y226" s="14">
        <v>0</v>
      </c>
      <c r="AA226" s="14">
        <v>0</v>
      </c>
      <c r="AC226" s="14">
        <v>0</v>
      </c>
      <c r="AE226" s="14">
        <v>0</v>
      </c>
      <c r="AF226" s="14">
        <v>0</v>
      </c>
      <c r="AG226" s="14">
        <v>0</v>
      </c>
      <c r="AI226" s="17">
        <f t="shared" si="73"/>
        <v>0</v>
      </c>
      <c r="AK226" s="14">
        <f t="shared" si="74"/>
        <v>0</v>
      </c>
      <c r="AM226" s="14">
        <f t="shared" si="75"/>
        <v>0</v>
      </c>
      <c r="AO226" s="14">
        <f t="shared" si="76"/>
        <v>0</v>
      </c>
      <c r="AQ226" s="14">
        <f t="shared" si="77"/>
        <v>0</v>
      </c>
      <c r="AS226" s="14">
        <f t="shared" si="78"/>
        <v>0</v>
      </c>
      <c r="AU226" s="14">
        <f t="shared" si="72"/>
        <v>0</v>
      </c>
    </row>
    <row r="227" spans="1:47" x14ac:dyDescent="0.2">
      <c r="A227" s="8"/>
      <c r="B227" s="3" t="s">
        <v>225</v>
      </c>
      <c r="C227" s="14">
        <v>0</v>
      </c>
      <c r="E227" s="14">
        <v>0</v>
      </c>
      <c r="G227" s="14">
        <v>0</v>
      </c>
      <c r="I227" s="14">
        <v>0</v>
      </c>
      <c r="K227" s="14">
        <v>0</v>
      </c>
      <c r="M227" s="14">
        <v>0</v>
      </c>
      <c r="O227" s="14">
        <v>0</v>
      </c>
      <c r="Q227" s="14">
        <v>0</v>
      </c>
      <c r="S227" s="14">
        <v>0</v>
      </c>
      <c r="U227" s="14">
        <v>0</v>
      </c>
      <c r="W227" s="14">
        <v>0</v>
      </c>
      <c r="Y227" s="14">
        <v>0</v>
      </c>
      <c r="AA227" s="14">
        <v>0</v>
      </c>
      <c r="AC227" s="14">
        <v>0</v>
      </c>
      <c r="AE227" s="14">
        <v>0</v>
      </c>
      <c r="AF227" s="14">
        <v>0</v>
      </c>
      <c r="AG227" s="14">
        <v>0</v>
      </c>
      <c r="AI227" s="17">
        <f t="shared" si="73"/>
        <v>0</v>
      </c>
      <c r="AK227" s="14">
        <f t="shared" si="74"/>
        <v>0</v>
      </c>
      <c r="AM227" s="14">
        <f t="shared" si="75"/>
        <v>0</v>
      </c>
      <c r="AO227" s="14">
        <f t="shared" si="76"/>
        <v>0</v>
      </c>
      <c r="AQ227" s="14">
        <f t="shared" si="77"/>
        <v>0</v>
      </c>
      <c r="AS227" s="14">
        <f t="shared" si="78"/>
        <v>0</v>
      </c>
      <c r="AU227" s="14">
        <f t="shared" si="72"/>
        <v>0</v>
      </c>
    </row>
    <row r="228" spans="1:47" x14ac:dyDescent="0.2">
      <c r="A228" s="8"/>
      <c r="B228" s="3" t="s">
        <v>226</v>
      </c>
      <c r="C228" s="14">
        <v>0</v>
      </c>
      <c r="E228" s="14">
        <v>0</v>
      </c>
      <c r="G228" s="14">
        <v>0</v>
      </c>
      <c r="I228" s="14">
        <v>0</v>
      </c>
      <c r="K228" s="14">
        <v>0</v>
      </c>
      <c r="M228" s="14">
        <v>0</v>
      </c>
      <c r="O228" s="14">
        <v>0</v>
      </c>
      <c r="Q228" s="14">
        <v>0</v>
      </c>
      <c r="S228" s="14">
        <v>0</v>
      </c>
      <c r="U228" s="14">
        <v>0</v>
      </c>
      <c r="W228" s="14">
        <v>0</v>
      </c>
      <c r="Y228" s="14">
        <v>0</v>
      </c>
      <c r="AA228" s="14">
        <v>0</v>
      </c>
      <c r="AC228" s="14">
        <v>0</v>
      </c>
      <c r="AE228" s="14">
        <v>0</v>
      </c>
      <c r="AF228" s="14">
        <v>0</v>
      </c>
      <c r="AG228" s="14">
        <v>0</v>
      </c>
      <c r="AI228" s="17">
        <f t="shared" si="73"/>
        <v>0</v>
      </c>
      <c r="AK228" s="14">
        <f t="shared" si="74"/>
        <v>0</v>
      </c>
      <c r="AM228" s="14">
        <f t="shared" si="75"/>
        <v>0</v>
      </c>
      <c r="AO228" s="14">
        <f t="shared" si="76"/>
        <v>0</v>
      </c>
      <c r="AQ228" s="14">
        <f t="shared" si="77"/>
        <v>0</v>
      </c>
      <c r="AS228" s="14">
        <f t="shared" si="78"/>
        <v>0</v>
      </c>
      <c r="AU228" s="14">
        <f t="shared" si="72"/>
        <v>0</v>
      </c>
    </row>
    <row r="229" spans="1:47" x14ac:dyDescent="0.2">
      <c r="A229" s="8"/>
      <c r="B229" s="3" t="s">
        <v>227</v>
      </c>
      <c r="C229" s="14">
        <v>0</v>
      </c>
      <c r="E229" s="14">
        <v>0</v>
      </c>
      <c r="G229" s="14">
        <v>0</v>
      </c>
      <c r="I229" s="14">
        <v>0</v>
      </c>
      <c r="K229" s="14">
        <v>0</v>
      </c>
      <c r="M229" s="14">
        <v>0</v>
      </c>
      <c r="O229" s="14">
        <v>0</v>
      </c>
      <c r="Q229" s="14">
        <v>0</v>
      </c>
      <c r="S229" s="14">
        <v>0</v>
      </c>
      <c r="U229" s="14">
        <v>0</v>
      </c>
      <c r="W229" s="14">
        <v>0</v>
      </c>
      <c r="Y229" s="14">
        <v>0</v>
      </c>
      <c r="AA229" s="14">
        <v>0</v>
      </c>
      <c r="AC229" s="14">
        <v>0</v>
      </c>
      <c r="AE229" s="14">
        <v>0</v>
      </c>
      <c r="AF229" s="14">
        <v>0</v>
      </c>
      <c r="AG229" s="14">
        <v>0</v>
      </c>
      <c r="AI229" s="17">
        <f t="shared" si="73"/>
        <v>0</v>
      </c>
      <c r="AK229" s="14">
        <f t="shared" si="74"/>
        <v>0</v>
      </c>
      <c r="AM229" s="14">
        <f t="shared" si="75"/>
        <v>0</v>
      </c>
      <c r="AO229" s="14">
        <f t="shared" si="76"/>
        <v>0</v>
      </c>
      <c r="AQ229" s="14">
        <f t="shared" si="77"/>
        <v>0</v>
      </c>
      <c r="AS229" s="14">
        <f t="shared" si="78"/>
        <v>0</v>
      </c>
      <c r="AU229" s="14">
        <f t="shared" si="72"/>
        <v>0</v>
      </c>
    </row>
    <row r="230" spans="1:47" x14ac:dyDescent="0.2">
      <c r="A230" s="8"/>
      <c r="B230" s="3" t="s">
        <v>228</v>
      </c>
      <c r="C230" s="14">
        <v>0</v>
      </c>
      <c r="E230" s="14">
        <v>0</v>
      </c>
      <c r="G230" s="14">
        <v>0</v>
      </c>
      <c r="I230" s="14">
        <v>0</v>
      </c>
      <c r="K230" s="14">
        <v>0</v>
      </c>
      <c r="M230" s="14">
        <v>0</v>
      </c>
      <c r="O230" s="14">
        <v>0</v>
      </c>
      <c r="Q230" s="14">
        <v>0</v>
      </c>
      <c r="S230" s="14">
        <v>0</v>
      </c>
      <c r="U230" s="14">
        <v>0</v>
      </c>
      <c r="W230" s="14">
        <v>0</v>
      </c>
      <c r="Y230" s="14">
        <v>0</v>
      </c>
      <c r="AA230" s="14">
        <v>0</v>
      </c>
      <c r="AC230" s="14">
        <v>0</v>
      </c>
      <c r="AE230" s="14">
        <v>0</v>
      </c>
      <c r="AF230" s="14">
        <v>0</v>
      </c>
      <c r="AG230" s="14">
        <v>0</v>
      </c>
      <c r="AI230" s="17">
        <f t="shared" si="73"/>
        <v>0</v>
      </c>
      <c r="AK230" s="14">
        <f t="shared" si="74"/>
        <v>0</v>
      </c>
      <c r="AM230" s="14">
        <f t="shared" si="75"/>
        <v>0</v>
      </c>
      <c r="AO230" s="14">
        <f t="shared" si="76"/>
        <v>0</v>
      </c>
      <c r="AQ230" s="14">
        <f t="shared" si="77"/>
        <v>0</v>
      </c>
      <c r="AS230" s="14">
        <f t="shared" si="78"/>
        <v>0</v>
      </c>
      <c r="AU230" s="14">
        <f t="shared" si="72"/>
        <v>0</v>
      </c>
    </row>
    <row r="231" spans="1:47" x14ac:dyDescent="0.2">
      <c r="A231" s="8"/>
      <c r="B231" s="3" t="s">
        <v>229</v>
      </c>
      <c r="C231" s="14">
        <v>0</v>
      </c>
      <c r="E231" s="14">
        <v>0</v>
      </c>
      <c r="G231" s="14">
        <v>0</v>
      </c>
      <c r="I231" s="14">
        <v>0</v>
      </c>
      <c r="K231" s="14">
        <v>0</v>
      </c>
      <c r="M231" s="14">
        <v>0</v>
      </c>
      <c r="O231" s="14">
        <v>0</v>
      </c>
      <c r="Q231" s="14">
        <v>0</v>
      </c>
      <c r="S231" s="14">
        <v>0</v>
      </c>
      <c r="U231" s="14">
        <v>0</v>
      </c>
      <c r="W231" s="14">
        <v>0</v>
      </c>
      <c r="Y231" s="14">
        <v>0</v>
      </c>
      <c r="AA231" s="14">
        <v>0</v>
      </c>
      <c r="AC231" s="14">
        <v>0</v>
      </c>
      <c r="AE231" s="14">
        <v>0</v>
      </c>
      <c r="AF231" s="14">
        <v>0</v>
      </c>
      <c r="AG231" s="14">
        <v>0</v>
      </c>
      <c r="AI231" s="17">
        <f t="shared" si="73"/>
        <v>0</v>
      </c>
      <c r="AK231" s="14">
        <f t="shared" si="74"/>
        <v>0</v>
      </c>
      <c r="AM231" s="14">
        <f t="shared" si="75"/>
        <v>0</v>
      </c>
      <c r="AO231" s="14">
        <f t="shared" si="76"/>
        <v>0</v>
      </c>
      <c r="AQ231" s="14">
        <f t="shared" si="77"/>
        <v>0</v>
      </c>
      <c r="AS231" s="14">
        <f t="shared" si="78"/>
        <v>0</v>
      </c>
      <c r="AU231" s="14">
        <f t="shared" si="72"/>
        <v>0</v>
      </c>
    </row>
    <row r="232" spans="1:47" x14ac:dyDescent="0.2">
      <c r="A232" s="8"/>
      <c r="B232" s="3" t="s">
        <v>230</v>
      </c>
      <c r="C232" s="14">
        <v>0</v>
      </c>
      <c r="E232" s="14">
        <v>0</v>
      </c>
      <c r="G232" s="14">
        <v>0</v>
      </c>
      <c r="I232" s="14">
        <v>0</v>
      </c>
      <c r="K232" s="14">
        <v>0</v>
      </c>
      <c r="M232" s="14">
        <v>0</v>
      </c>
      <c r="O232" s="14">
        <v>0</v>
      </c>
      <c r="Q232" s="14">
        <v>0</v>
      </c>
      <c r="S232" s="14">
        <v>0</v>
      </c>
      <c r="U232" s="14">
        <v>0</v>
      </c>
      <c r="W232" s="14">
        <v>0</v>
      </c>
      <c r="Y232" s="14">
        <v>0</v>
      </c>
      <c r="AA232" s="14">
        <v>0</v>
      </c>
      <c r="AC232" s="14">
        <v>0</v>
      </c>
      <c r="AE232" s="14">
        <v>0</v>
      </c>
      <c r="AF232" s="14">
        <v>0</v>
      </c>
      <c r="AG232" s="14">
        <v>0</v>
      </c>
      <c r="AI232" s="17">
        <f t="shared" si="73"/>
        <v>0</v>
      </c>
      <c r="AK232" s="14">
        <f t="shared" si="74"/>
        <v>0</v>
      </c>
      <c r="AM232" s="14">
        <f t="shared" si="75"/>
        <v>0</v>
      </c>
      <c r="AO232" s="14">
        <f t="shared" si="76"/>
        <v>0</v>
      </c>
      <c r="AQ232" s="14">
        <f t="shared" si="77"/>
        <v>0</v>
      </c>
      <c r="AS232" s="14">
        <f t="shared" si="78"/>
        <v>0</v>
      </c>
      <c r="AU232" s="14">
        <f t="shared" si="72"/>
        <v>0</v>
      </c>
    </row>
    <row r="233" spans="1:47" x14ac:dyDescent="0.2">
      <c r="A233" s="8"/>
      <c r="B233" s="3" t="s">
        <v>231</v>
      </c>
      <c r="C233" s="14">
        <v>0</v>
      </c>
      <c r="E233" s="14">
        <v>0</v>
      </c>
      <c r="G233" s="14">
        <v>0</v>
      </c>
      <c r="I233" s="14">
        <v>0</v>
      </c>
      <c r="K233" s="14">
        <v>0</v>
      </c>
      <c r="M233" s="14">
        <v>0</v>
      </c>
      <c r="O233" s="14">
        <v>0</v>
      </c>
      <c r="Q233" s="14">
        <v>0</v>
      </c>
      <c r="S233" s="14">
        <v>0</v>
      </c>
      <c r="U233" s="14">
        <v>0</v>
      </c>
      <c r="W233" s="14">
        <v>0</v>
      </c>
      <c r="Y233" s="14">
        <v>0</v>
      </c>
      <c r="AA233" s="14">
        <v>0</v>
      </c>
      <c r="AC233" s="14">
        <v>0</v>
      </c>
      <c r="AE233" s="14">
        <v>0</v>
      </c>
      <c r="AF233" s="14">
        <v>0</v>
      </c>
      <c r="AG233" s="14">
        <v>0</v>
      </c>
      <c r="AI233" s="17">
        <f t="shared" si="73"/>
        <v>0</v>
      </c>
      <c r="AK233" s="14">
        <f t="shared" si="74"/>
        <v>0</v>
      </c>
      <c r="AM233" s="14">
        <f t="shared" si="75"/>
        <v>0</v>
      </c>
      <c r="AO233" s="14">
        <f t="shared" si="76"/>
        <v>0</v>
      </c>
      <c r="AQ233" s="14">
        <f t="shared" si="77"/>
        <v>0</v>
      </c>
      <c r="AS233" s="14">
        <f t="shared" si="78"/>
        <v>0</v>
      </c>
      <c r="AU233" s="14">
        <f t="shared" si="72"/>
        <v>0</v>
      </c>
    </row>
    <row r="234" spans="1:47" x14ac:dyDescent="0.2">
      <c r="A234" s="8"/>
      <c r="B234" s="3" t="s">
        <v>232</v>
      </c>
      <c r="C234" s="14">
        <v>0</v>
      </c>
      <c r="E234" s="14">
        <v>0</v>
      </c>
      <c r="G234" s="14">
        <v>0</v>
      </c>
      <c r="I234" s="14">
        <v>0</v>
      </c>
      <c r="K234" s="14">
        <v>0</v>
      </c>
      <c r="M234" s="14">
        <v>0</v>
      </c>
      <c r="O234" s="14">
        <v>0</v>
      </c>
      <c r="Q234" s="14">
        <v>0</v>
      </c>
      <c r="S234" s="14">
        <v>0</v>
      </c>
      <c r="U234" s="14">
        <v>0</v>
      </c>
      <c r="W234" s="14">
        <v>0</v>
      </c>
      <c r="Y234" s="14">
        <v>0</v>
      </c>
      <c r="AA234" s="14">
        <v>0</v>
      </c>
      <c r="AC234" s="14">
        <v>0</v>
      </c>
      <c r="AE234" s="14">
        <v>0</v>
      </c>
      <c r="AF234" s="14">
        <v>0</v>
      </c>
      <c r="AG234" s="14">
        <v>0</v>
      </c>
      <c r="AI234" s="17">
        <f t="shared" si="73"/>
        <v>0</v>
      </c>
      <c r="AK234" s="14">
        <f t="shared" si="74"/>
        <v>0</v>
      </c>
      <c r="AM234" s="14">
        <f t="shared" si="75"/>
        <v>0</v>
      </c>
      <c r="AO234" s="14">
        <f t="shared" si="76"/>
        <v>0</v>
      </c>
      <c r="AQ234" s="14">
        <f t="shared" si="77"/>
        <v>0</v>
      </c>
      <c r="AS234" s="14">
        <f t="shared" si="78"/>
        <v>0</v>
      </c>
      <c r="AU234" s="14">
        <f t="shared" si="72"/>
        <v>0</v>
      </c>
    </row>
    <row r="235" spans="1:47" x14ac:dyDescent="0.2">
      <c r="A235" s="8"/>
      <c r="B235" s="3" t="s">
        <v>233</v>
      </c>
      <c r="C235" s="14">
        <v>0</v>
      </c>
      <c r="E235" s="14">
        <v>0</v>
      </c>
      <c r="G235" s="14">
        <v>0</v>
      </c>
      <c r="I235" s="14">
        <v>0</v>
      </c>
      <c r="K235" s="14">
        <v>0</v>
      </c>
      <c r="M235" s="14">
        <v>0</v>
      </c>
      <c r="O235" s="14">
        <v>0</v>
      </c>
      <c r="Q235" s="14">
        <v>0</v>
      </c>
      <c r="S235" s="14">
        <v>0</v>
      </c>
      <c r="U235" s="14">
        <v>0</v>
      </c>
      <c r="W235" s="14">
        <v>0</v>
      </c>
      <c r="Y235" s="14">
        <v>0</v>
      </c>
      <c r="AA235" s="14">
        <v>0</v>
      </c>
      <c r="AC235" s="14">
        <v>0</v>
      </c>
      <c r="AE235" s="14">
        <v>0</v>
      </c>
      <c r="AF235" s="14">
        <v>0</v>
      </c>
      <c r="AG235" s="14">
        <v>0</v>
      </c>
      <c r="AI235" s="17">
        <f t="shared" si="73"/>
        <v>0</v>
      </c>
      <c r="AK235" s="14">
        <f t="shared" si="74"/>
        <v>0</v>
      </c>
      <c r="AM235" s="14">
        <f t="shared" si="75"/>
        <v>0</v>
      </c>
      <c r="AO235" s="14">
        <f t="shared" si="76"/>
        <v>0</v>
      </c>
      <c r="AQ235" s="14">
        <f t="shared" si="77"/>
        <v>0</v>
      </c>
      <c r="AS235" s="14">
        <f t="shared" si="78"/>
        <v>0</v>
      </c>
      <c r="AU235" s="14">
        <f t="shared" si="72"/>
        <v>0</v>
      </c>
    </row>
    <row r="236" spans="1:47" x14ac:dyDescent="0.2">
      <c r="A236" s="8"/>
      <c r="B236" s="3" t="s">
        <v>234</v>
      </c>
      <c r="C236" s="14">
        <v>0</v>
      </c>
      <c r="E236" s="14">
        <v>0</v>
      </c>
      <c r="G236" s="14">
        <v>0</v>
      </c>
      <c r="I236" s="14">
        <v>0</v>
      </c>
      <c r="K236" s="14">
        <v>0</v>
      </c>
      <c r="M236" s="14">
        <v>0</v>
      </c>
      <c r="O236" s="14">
        <v>0</v>
      </c>
      <c r="Q236" s="14">
        <v>0</v>
      </c>
      <c r="S236" s="14">
        <v>0</v>
      </c>
      <c r="U236" s="14">
        <v>0</v>
      </c>
      <c r="W236" s="14">
        <v>0</v>
      </c>
      <c r="Y236" s="14">
        <v>0</v>
      </c>
      <c r="AA236" s="14">
        <v>0</v>
      </c>
      <c r="AC236" s="14">
        <v>0</v>
      </c>
      <c r="AE236" s="14">
        <v>0</v>
      </c>
      <c r="AF236" s="14">
        <v>0</v>
      </c>
      <c r="AG236" s="14">
        <v>0</v>
      </c>
      <c r="AI236" s="17">
        <f t="shared" si="73"/>
        <v>0</v>
      </c>
      <c r="AK236" s="14">
        <f t="shared" si="74"/>
        <v>0</v>
      </c>
      <c r="AM236" s="14">
        <f t="shared" si="75"/>
        <v>0</v>
      </c>
      <c r="AO236" s="14">
        <f t="shared" si="76"/>
        <v>0</v>
      </c>
      <c r="AQ236" s="14">
        <f t="shared" si="77"/>
        <v>0</v>
      </c>
      <c r="AS236" s="14">
        <f t="shared" si="78"/>
        <v>0</v>
      </c>
      <c r="AU236" s="14">
        <f t="shared" si="72"/>
        <v>0</v>
      </c>
    </row>
    <row r="237" spans="1:47" x14ac:dyDescent="0.2">
      <c r="A237" s="8"/>
      <c r="B237" s="12" t="s">
        <v>244</v>
      </c>
      <c r="C237" s="18">
        <f>SUM(C223:C236)</f>
        <v>0</v>
      </c>
      <c r="E237" s="18">
        <f>SUM(E223:E236)</f>
        <v>0</v>
      </c>
      <c r="G237" s="18">
        <f>SUM(G223:G236)</f>
        <v>0</v>
      </c>
      <c r="I237" s="18">
        <f>SUM(I223:I236)</f>
        <v>0</v>
      </c>
      <c r="K237" s="18">
        <f>SUM(K223:K236)</f>
        <v>0</v>
      </c>
      <c r="M237" s="18">
        <f>SUM(M223:M236)</f>
        <v>0</v>
      </c>
      <c r="O237" s="18">
        <f>SUM(O223:O236)</f>
        <v>0</v>
      </c>
      <c r="Q237" s="18">
        <f>SUM(Q223:Q236)</f>
        <v>0</v>
      </c>
      <c r="S237" s="18">
        <f>SUM(S223:S236)</f>
        <v>0</v>
      </c>
      <c r="U237" s="18">
        <f>SUM(U223:U236)</f>
        <v>0</v>
      </c>
      <c r="W237" s="18">
        <f>SUM(W223:W236)</f>
        <v>0</v>
      </c>
      <c r="Y237" s="18">
        <f>SUM(Y223:Y236)</f>
        <v>0</v>
      </c>
      <c r="AA237" s="18">
        <f>SUM(AA223:AA236)</f>
        <v>0</v>
      </c>
      <c r="AC237" s="18">
        <f>SUM(AC223:AC236)</f>
        <v>0</v>
      </c>
      <c r="AE237" s="18">
        <f>SUM(AE223:AE236)</f>
        <v>0</v>
      </c>
      <c r="AF237" s="18">
        <f>SUM(AF223:AF236)</f>
        <v>0</v>
      </c>
      <c r="AG237" s="18">
        <f>SUM(AG223:AG236)</f>
        <v>0</v>
      </c>
      <c r="AI237" s="18">
        <f>SUM(AI223:AI236)</f>
        <v>0</v>
      </c>
      <c r="AK237" s="18">
        <f>SUM(AK223:AK236)</f>
        <v>0</v>
      </c>
      <c r="AM237" s="18">
        <f>SUM(AM223:AM236)</f>
        <v>0</v>
      </c>
      <c r="AO237" s="18">
        <f>SUM(AO223:AO236)</f>
        <v>0</v>
      </c>
      <c r="AQ237" s="18">
        <f>SUM(AQ223:AQ236)</f>
        <v>0</v>
      </c>
      <c r="AS237" s="18">
        <f>SUM(AS223:AS236)</f>
        <v>0</v>
      </c>
      <c r="AU237" s="18">
        <f t="shared" si="72"/>
        <v>0</v>
      </c>
    </row>
    <row r="238" spans="1:47" x14ac:dyDescent="0.2">
      <c r="A238" s="8"/>
      <c r="B238" s="12"/>
      <c r="C238" s="16"/>
      <c r="E238" s="16"/>
      <c r="G238" s="16"/>
      <c r="I238" s="16"/>
      <c r="K238" s="16"/>
      <c r="M238" s="16"/>
      <c r="O238" s="16"/>
      <c r="Q238" s="16"/>
      <c r="S238" s="16"/>
      <c r="U238" s="16"/>
      <c r="W238" s="16"/>
      <c r="Y238" s="16"/>
      <c r="AA238" s="16"/>
      <c r="AC238" s="16"/>
      <c r="AE238" s="16"/>
      <c r="AF238" s="16"/>
      <c r="AG238" s="16"/>
      <c r="AI238" s="16"/>
      <c r="AK238" s="16"/>
      <c r="AM238" s="16"/>
      <c r="AO238" s="16"/>
      <c r="AQ238" s="16"/>
      <c r="AS238" s="16"/>
      <c r="AU238" s="16">
        <f t="shared" si="72"/>
        <v>0</v>
      </c>
    </row>
    <row r="239" spans="1:47" x14ac:dyDescent="0.2">
      <c r="A239" s="8"/>
      <c r="C239" s="17"/>
      <c r="D239" s="14"/>
      <c r="E239" s="17"/>
      <c r="F239" s="14"/>
      <c r="G239" s="17"/>
      <c r="H239" s="14"/>
      <c r="I239" s="17"/>
      <c r="J239" s="14"/>
      <c r="K239" s="17"/>
      <c r="L239" s="14"/>
      <c r="M239" s="17"/>
      <c r="N239" s="14"/>
      <c r="O239" s="17"/>
      <c r="P239" s="14"/>
      <c r="Q239" s="17"/>
      <c r="R239" s="14"/>
      <c r="S239" s="17"/>
      <c r="T239" s="14"/>
      <c r="U239" s="17"/>
      <c r="V239" s="14"/>
      <c r="W239" s="17"/>
      <c r="X239" s="14"/>
      <c r="Y239" s="17"/>
      <c r="Z239" s="14"/>
      <c r="AA239" s="17"/>
      <c r="AB239" s="14"/>
      <c r="AC239" s="17"/>
      <c r="AD239" s="14"/>
      <c r="AE239" s="17"/>
      <c r="AF239" s="17"/>
      <c r="AG239" s="17"/>
      <c r="AH239" s="14"/>
      <c r="AI239" s="17"/>
      <c r="AJ239" s="4"/>
      <c r="AK239" s="17"/>
      <c r="AL239" s="14"/>
      <c r="AM239" s="17"/>
      <c r="AN239" s="14"/>
      <c r="AO239" s="17"/>
      <c r="AP239" s="14"/>
      <c r="AQ239" s="17"/>
      <c r="AR239" s="14"/>
      <c r="AS239" s="17"/>
      <c r="AT239" s="14"/>
      <c r="AU239" s="17">
        <f t="shared" si="72"/>
        <v>0</v>
      </c>
    </row>
    <row r="240" spans="1:47" x14ac:dyDescent="0.2">
      <c r="A240" s="8"/>
      <c r="B240" s="12" t="s">
        <v>26</v>
      </c>
      <c r="C240" s="16">
        <f>+C154+C174+C185+C192+C206+C220+C237</f>
        <v>0</v>
      </c>
      <c r="D240" s="14"/>
      <c r="E240" s="16">
        <f>+E154+E174+E185+E192+E206+E220+E237</f>
        <v>0</v>
      </c>
      <c r="F240" s="14"/>
      <c r="G240" s="16">
        <f>+G154+G174+G185+G192+G206+G220+G237</f>
        <v>0</v>
      </c>
      <c r="H240" s="14"/>
      <c r="I240" s="16">
        <f>+I154+I174+I185+I192+I206+I220+I237</f>
        <v>0</v>
      </c>
      <c r="J240" s="14"/>
      <c r="K240" s="16">
        <f>+K154+K174+K185+K192+K206+K220+K237</f>
        <v>0</v>
      </c>
      <c r="L240" s="14"/>
      <c r="M240" s="16">
        <f>+M154+M174+M185+M192+M206+M220+M237</f>
        <v>0</v>
      </c>
      <c r="N240" s="14"/>
      <c r="O240" s="16">
        <f>+O154+O174+O185+O192+O206+O220+O237</f>
        <v>0</v>
      </c>
      <c r="P240" s="14"/>
      <c r="Q240" s="16">
        <f>+Q154+Q174+Q185+Q192+Q206+Q220+Q237</f>
        <v>0</v>
      </c>
      <c r="R240" s="14"/>
      <c r="S240" s="16">
        <f>+S154+S174+S185+S192+S206+S220+S237</f>
        <v>0</v>
      </c>
      <c r="T240" s="14"/>
      <c r="U240" s="16">
        <f>+U154+U174+U185+U192+U206+U220+U237</f>
        <v>0</v>
      </c>
      <c r="V240" s="14"/>
      <c r="W240" s="16">
        <f>+W154+W174+W185+W192+W206+W220+W237</f>
        <v>0</v>
      </c>
      <c r="X240" s="14"/>
      <c r="Y240" s="16">
        <f>+Y154+Y174+Y185+Y192+Y206+Y220+Y237</f>
        <v>0</v>
      </c>
      <c r="Z240" s="14"/>
      <c r="AA240" s="16">
        <f>+AA154+AA174+AA185+AA192+AA206+AA220+AA237</f>
        <v>0</v>
      </c>
      <c r="AB240" s="14"/>
      <c r="AC240" s="16">
        <f>+AC154+AC174+AC185+AC192+AC206+AC220+AC237</f>
        <v>0</v>
      </c>
      <c r="AD240" s="14"/>
      <c r="AE240" s="16">
        <f>+AE154+AE174+AE185+AE192+AE206+AE220+AE237</f>
        <v>0</v>
      </c>
      <c r="AF240" s="16">
        <f>+AF154+AF174+AF185+AF192+AF206+AF220+AF237</f>
        <v>0</v>
      </c>
      <c r="AG240" s="16">
        <f>+AG154+AG174+AG185+AG192+AG206+AG220+AG237</f>
        <v>0</v>
      </c>
      <c r="AH240" s="14"/>
      <c r="AI240" s="16">
        <f>+AI154+AI174+AI185+AI192+AI206+AI220+AI237</f>
        <v>0</v>
      </c>
      <c r="AJ240" s="4"/>
      <c r="AK240" s="16">
        <f>+AK154+AK174+AK185+AK192+AK206+AK220+AK237</f>
        <v>0</v>
      </c>
      <c r="AL240" s="14"/>
      <c r="AM240" s="16">
        <f>+AM154+AM174+AM185+AM192+AM206+AM220+AM237</f>
        <v>0</v>
      </c>
      <c r="AN240" s="14"/>
      <c r="AO240" s="16">
        <f>+AO154+AO174+AO185+AO192+AO206+AO220+AO237</f>
        <v>0</v>
      </c>
      <c r="AP240" s="14"/>
      <c r="AQ240" s="16">
        <f>+AQ154+AQ174+AQ185+AQ192+AQ206+AQ220+AQ237</f>
        <v>0</v>
      </c>
      <c r="AR240" s="14"/>
      <c r="AS240" s="16">
        <f>+AS154+AS174+AS185+AS192+AS206+AS220+AS237</f>
        <v>0</v>
      </c>
      <c r="AT240" s="14"/>
      <c r="AU240" s="16">
        <f t="shared" si="72"/>
        <v>0</v>
      </c>
    </row>
    <row r="241" spans="1:47" x14ac:dyDescent="0.2">
      <c r="A241" s="8"/>
      <c r="B241" s="12"/>
      <c r="C241" s="17"/>
      <c r="D241" s="14"/>
      <c r="E241" s="17"/>
      <c r="F241" s="14"/>
      <c r="G241" s="17"/>
      <c r="H241" s="14"/>
      <c r="I241" s="17"/>
      <c r="J241" s="14"/>
      <c r="K241" s="17"/>
      <c r="L241" s="14"/>
      <c r="M241" s="17"/>
      <c r="N241" s="14"/>
      <c r="O241" s="17"/>
      <c r="P241" s="14"/>
      <c r="Q241" s="17"/>
      <c r="R241" s="14"/>
      <c r="S241" s="17"/>
      <c r="T241" s="14"/>
      <c r="U241" s="17"/>
      <c r="V241" s="14"/>
      <c r="W241" s="17"/>
      <c r="X241" s="14"/>
      <c r="Y241" s="17"/>
      <c r="Z241" s="14"/>
      <c r="AA241" s="17"/>
      <c r="AB241" s="14"/>
      <c r="AC241" s="17"/>
      <c r="AD241" s="14"/>
      <c r="AE241" s="17"/>
      <c r="AF241" s="17"/>
      <c r="AG241" s="17"/>
      <c r="AH241" s="14"/>
      <c r="AI241" s="17"/>
      <c r="AJ241" s="4"/>
      <c r="AK241" s="17"/>
      <c r="AL241" s="14"/>
      <c r="AM241" s="17"/>
      <c r="AN241" s="14"/>
      <c r="AO241" s="17"/>
      <c r="AP241" s="14"/>
      <c r="AQ241" s="17"/>
      <c r="AR241" s="14"/>
      <c r="AS241" s="17"/>
      <c r="AT241" s="14"/>
      <c r="AU241" s="17"/>
    </row>
    <row r="242" spans="1:47" x14ac:dyDescent="0.2">
      <c r="A242" s="8">
        <v>107</v>
      </c>
      <c r="B242" s="12" t="s">
        <v>31</v>
      </c>
      <c r="D242" s="14"/>
      <c r="F242" s="14"/>
      <c r="H242" s="14"/>
      <c r="J242" s="14"/>
      <c r="L242" s="14"/>
      <c r="N242" s="14"/>
      <c r="P242" s="14"/>
      <c r="R242" s="14"/>
      <c r="T242" s="14"/>
      <c r="V242" s="14"/>
      <c r="X242" s="14"/>
      <c r="Z242" s="14"/>
      <c r="AB242" s="14"/>
      <c r="AD242" s="14"/>
      <c r="AH242" s="14"/>
      <c r="AJ242" s="14"/>
      <c r="AL242" s="14"/>
      <c r="AN242" s="14"/>
      <c r="AP242" s="14"/>
      <c r="AR242" s="14"/>
      <c r="AT242" s="14"/>
    </row>
    <row r="243" spans="1:47" x14ac:dyDescent="0.2">
      <c r="A243" s="8"/>
      <c r="B243" s="12" t="s">
        <v>11</v>
      </c>
      <c r="D243" s="14"/>
      <c r="F243" s="14"/>
      <c r="H243" s="14"/>
      <c r="J243" s="14"/>
      <c r="L243" s="14"/>
      <c r="N243" s="14"/>
      <c r="P243" s="14"/>
      <c r="R243" s="14"/>
      <c r="T243" s="14"/>
      <c r="V243" s="14"/>
      <c r="X243" s="14"/>
      <c r="Z243" s="14"/>
      <c r="AB243" s="14"/>
      <c r="AD243" s="14"/>
      <c r="AH243" s="14"/>
      <c r="AJ243" s="14"/>
      <c r="AL243" s="14"/>
      <c r="AN243" s="14"/>
      <c r="AP243" s="14"/>
      <c r="AR243" s="14"/>
      <c r="AT243" s="14"/>
    </row>
    <row r="244" spans="1:47" x14ac:dyDescent="0.2">
      <c r="A244" s="8"/>
      <c r="B244" s="43" t="s">
        <v>11</v>
      </c>
      <c r="C244" s="16">
        <v>0</v>
      </c>
      <c r="D244" s="14"/>
      <c r="E244" s="16">
        <v>0</v>
      </c>
      <c r="F244" s="14"/>
      <c r="G244" s="16">
        <v>0</v>
      </c>
      <c r="H244" s="14"/>
      <c r="I244" s="16">
        <v>0</v>
      </c>
      <c r="J244" s="14"/>
      <c r="K244" s="16">
        <v>0</v>
      </c>
      <c r="L244" s="14"/>
      <c r="M244" s="16">
        <v>0</v>
      </c>
      <c r="N244" s="14"/>
      <c r="O244" s="16">
        <v>0</v>
      </c>
      <c r="P244" s="14"/>
      <c r="Q244" s="16">
        <v>0</v>
      </c>
      <c r="R244" s="14"/>
      <c r="S244" s="16">
        <v>0</v>
      </c>
      <c r="T244" s="14"/>
      <c r="U244" s="16">
        <v>0</v>
      </c>
      <c r="V244" s="14"/>
      <c r="W244" s="16">
        <v>0</v>
      </c>
      <c r="X244" s="14"/>
      <c r="Y244" s="16">
        <v>0</v>
      </c>
      <c r="Z244" s="14"/>
      <c r="AA244" s="16">
        <v>0</v>
      </c>
      <c r="AB244" s="14"/>
      <c r="AC244" s="16">
        <v>0</v>
      </c>
      <c r="AD244" s="14"/>
      <c r="AE244" s="16">
        <v>0</v>
      </c>
      <c r="AF244" s="16">
        <v>0</v>
      </c>
      <c r="AG244" s="16">
        <v>0</v>
      </c>
      <c r="AH244" s="14"/>
      <c r="AI244" s="16">
        <v>0</v>
      </c>
      <c r="AJ244" s="14"/>
      <c r="AK244" s="14">
        <f>SUMIF($C$9:$AH$9,"=Addition",$C244:$AH244)</f>
        <v>0</v>
      </c>
      <c r="AM244" s="14">
        <f>SUMIF($C$9:$AH$9,"=Adjustment",$C244:$AH244)</f>
        <v>0</v>
      </c>
      <c r="AO244" s="14">
        <f>SUMIF($C$9:$AH$9,"=Transfer",$C244:$AH244)</f>
        <v>0</v>
      </c>
      <c r="AQ244" s="14">
        <f>SUMIF($C$9:$Z$9,"=N/A",$C244:$Z244)</f>
        <v>0</v>
      </c>
      <c r="AS244" s="16">
        <f>SUM(AK244:AQ244)</f>
        <v>0</v>
      </c>
      <c r="AT244" s="14"/>
      <c r="AU244" s="16">
        <f t="shared" si="72"/>
        <v>0</v>
      </c>
    </row>
    <row r="245" spans="1:47" x14ac:dyDescent="0.2">
      <c r="A245" s="8"/>
      <c r="D245" s="14"/>
      <c r="F245" s="14"/>
      <c r="H245" s="14"/>
      <c r="J245" s="14"/>
      <c r="L245" s="14"/>
      <c r="N245" s="14"/>
      <c r="P245" s="14"/>
      <c r="R245" s="14"/>
      <c r="T245" s="14"/>
      <c r="V245" s="14"/>
      <c r="X245" s="14"/>
      <c r="Z245" s="14"/>
      <c r="AB245" s="14"/>
      <c r="AD245" s="14"/>
      <c r="AH245" s="14"/>
      <c r="AJ245" s="14"/>
      <c r="AK245" s="77"/>
      <c r="AL245" s="14"/>
      <c r="AM245" s="77"/>
      <c r="AN245" s="14"/>
      <c r="AO245" s="77"/>
      <c r="AP245" s="14"/>
      <c r="AQ245" s="77"/>
      <c r="AR245" s="14"/>
      <c r="AT245" s="14"/>
    </row>
    <row r="246" spans="1:47" x14ac:dyDescent="0.2">
      <c r="A246" s="8"/>
      <c r="B246" s="12" t="s">
        <v>32</v>
      </c>
      <c r="C246" s="16">
        <f>C244</f>
        <v>0</v>
      </c>
      <c r="D246" s="14"/>
      <c r="E246" s="16">
        <f>E244</f>
        <v>0</v>
      </c>
      <c r="F246" s="14"/>
      <c r="G246" s="16">
        <f>G244</f>
        <v>0</v>
      </c>
      <c r="H246" s="14"/>
      <c r="I246" s="16">
        <f>I244</f>
        <v>0</v>
      </c>
      <c r="J246" s="14"/>
      <c r="K246" s="16">
        <f>K244</f>
        <v>0</v>
      </c>
      <c r="L246" s="14"/>
      <c r="M246" s="16">
        <f>M244</f>
        <v>0</v>
      </c>
      <c r="N246" s="14"/>
      <c r="O246" s="16">
        <f>O244</f>
        <v>0</v>
      </c>
      <c r="P246" s="14"/>
      <c r="Q246" s="16">
        <f>Q244</f>
        <v>0</v>
      </c>
      <c r="R246" s="14"/>
      <c r="S246" s="16">
        <f>S244</f>
        <v>0</v>
      </c>
      <c r="T246" s="14"/>
      <c r="U246" s="16">
        <f>U244</f>
        <v>0</v>
      </c>
      <c r="V246" s="14"/>
      <c r="W246" s="16">
        <f>W244</f>
        <v>0</v>
      </c>
      <c r="X246" s="14"/>
      <c r="Y246" s="16">
        <f>Y244</f>
        <v>0</v>
      </c>
      <c r="Z246" s="14"/>
      <c r="AA246" s="16">
        <f>AA244</f>
        <v>0</v>
      </c>
      <c r="AB246" s="14"/>
      <c r="AC246" s="16">
        <f>AC244</f>
        <v>0</v>
      </c>
      <c r="AD246" s="14"/>
      <c r="AE246" s="16">
        <f>AE244</f>
        <v>0</v>
      </c>
      <c r="AF246" s="16">
        <f>AF244</f>
        <v>0</v>
      </c>
      <c r="AG246" s="16">
        <f>AG244</f>
        <v>0</v>
      </c>
      <c r="AH246" s="14"/>
      <c r="AI246" s="16">
        <f>AI244</f>
        <v>0</v>
      </c>
      <c r="AJ246" s="14"/>
      <c r="AK246" s="16">
        <f>AK244</f>
        <v>0</v>
      </c>
      <c r="AL246" s="14"/>
      <c r="AM246" s="16">
        <f>AM244</f>
        <v>0</v>
      </c>
      <c r="AN246" s="14"/>
      <c r="AO246" s="16">
        <f>AO244</f>
        <v>0</v>
      </c>
      <c r="AP246" s="14"/>
      <c r="AQ246" s="16">
        <f>AQ244</f>
        <v>0</v>
      </c>
      <c r="AR246" s="14"/>
      <c r="AS246" s="16">
        <f>AS244</f>
        <v>0</v>
      </c>
      <c r="AT246" s="14"/>
      <c r="AU246" s="16">
        <f t="shared" si="72"/>
        <v>0</v>
      </c>
    </row>
    <row r="247" spans="1:47" x14ac:dyDescent="0.2">
      <c r="A247" s="8"/>
      <c r="D247" s="14"/>
      <c r="F247" s="14"/>
      <c r="H247" s="14"/>
      <c r="J247" s="14"/>
      <c r="L247" s="14"/>
      <c r="N247" s="14"/>
      <c r="P247" s="14"/>
      <c r="R247" s="14"/>
      <c r="T247" s="14"/>
      <c r="V247" s="14"/>
      <c r="X247" s="14"/>
      <c r="Z247" s="14"/>
      <c r="AB247" s="14"/>
      <c r="AD247" s="14"/>
      <c r="AH247" s="14"/>
      <c r="AJ247" s="14"/>
      <c r="AL247" s="14"/>
      <c r="AN247" s="14"/>
      <c r="AP247" s="14"/>
      <c r="AR247" s="14"/>
      <c r="AT247" s="14"/>
    </row>
    <row r="248" spans="1:47" x14ac:dyDescent="0.2">
      <c r="A248" s="8">
        <v>121</v>
      </c>
      <c r="B248" s="12" t="s">
        <v>27</v>
      </c>
      <c r="D248" s="14"/>
      <c r="F248" s="14"/>
      <c r="H248" s="14"/>
      <c r="J248" s="14"/>
      <c r="L248" s="14"/>
      <c r="N248" s="14"/>
      <c r="P248" s="14"/>
      <c r="R248" s="14"/>
      <c r="T248" s="14"/>
      <c r="V248" s="14"/>
      <c r="X248" s="14"/>
      <c r="Z248" s="14"/>
      <c r="AB248" s="14"/>
      <c r="AD248" s="14"/>
      <c r="AH248" s="14"/>
      <c r="AJ248" s="14"/>
      <c r="AL248" s="14"/>
      <c r="AN248" s="14"/>
      <c r="AP248" s="14"/>
      <c r="AR248" s="14"/>
      <c r="AT248" s="14"/>
    </row>
    <row r="249" spans="1:47" x14ac:dyDescent="0.2">
      <c r="A249" s="8"/>
      <c r="B249" s="12" t="s">
        <v>28</v>
      </c>
      <c r="D249" s="14"/>
      <c r="F249" s="14"/>
      <c r="H249" s="14"/>
      <c r="J249" s="14"/>
      <c r="L249" s="14"/>
      <c r="N249" s="14"/>
      <c r="P249" s="14"/>
      <c r="R249" s="14"/>
      <c r="T249" s="14"/>
      <c r="V249" s="14"/>
      <c r="X249" s="14"/>
      <c r="Z249" s="14"/>
      <c r="AB249" s="14"/>
      <c r="AD249" s="14"/>
      <c r="AH249" s="14"/>
      <c r="AJ249" s="14"/>
      <c r="AL249" s="14"/>
      <c r="AN249" s="14"/>
      <c r="AP249" s="14"/>
      <c r="AR249" s="14"/>
      <c r="AT249" s="14"/>
    </row>
    <row r="250" spans="1:47" x14ac:dyDescent="0.2">
      <c r="A250" s="8"/>
      <c r="B250" s="3" t="s">
        <v>29</v>
      </c>
      <c r="C250" s="16">
        <v>0</v>
      </c>
      <c r="D250" s="14"/>
      <c r="E250" s="16">
        <v>0</v>
      </c>
      <c r="F250" s="14"/>
      <c r="G250" s="16">
        <v>-792599.21</v>
      </c>
      <c r="H250" s="14"/>
      <c r="I250" s="16">
        <v>0</v>
      </c>
      <c r="J250" s="14"/>
      <c r="K250" s="16">
        <v>0</v>
      </c>
      <c r="L250" s="14"/>
      <c r="M250" s="16">
        <v>0</v>
      </c>
      <c r="N250" s="14"/>
      <c r="O250" s="16">
        <v>0</v>
      </c>
      <c r="P250" s="14"/>
      <c r="Q250" s="16">
        <v>0</v>
      </c>
      <c r="R250" s="14"/>
      <c r="S250" s="16">
        <v>0</v>
      </c>
      <c r="T250" s="14"/>
      <c r="U250" s="16">
        <v>0</v>
      </c>
      <c r="V250" s="14"/>
      <c r="W250" s="16">
        <v>0</v>
      </c>
      <c r="X250" s="14"/>
      <c r="Y250" s="16">
        <v>0</v>
      </c>
      <c r="Z250" s="14"/>
      <c r="AA250" s="16">
        <v>0</v>
      </c>
      <c r="AB250" s="14"/>
      <c r="AC250" s="16">
        <v>0</v>
      </c>
      <c r="AD250" s="14"/>
      <c r="AE250" s="16">
        <v>0</v>
      </c>
      <c r="AF250" s="16">
        <v>0</v>
      </c>
      <c r="AG250" s="16">
        <v>0</v>
      </c>
      <c r="AH250" s="14"/>
      <c r="AI250" s="16">
        <f>SUM(C250:AG250)</f>
        <v>-792599.21</v>
      </c>
      <c r="AJ250" s="4"/>
      <c r="AK250" s="14">
        <f>SUMIF($C$9:$AH$9,"=Addition",$C250:$AH250)</f>
        <v>0</v>
      </c>
      <c r="AM250" s="14">
        <f>SUMIF($C$9:$AH$9,"=Adjustment",$C250:$AH250)</f>
        <v>0</v>
      </c>
      <c r="AO250" s="14">
        <f>SUMIF($C$9:$AH$9,"=Transfer",$C250:$AH250)</f>
        <v>0</v>
      </c>
      <c r="AQ250" s="14">
        <f>SUMIF($C$9:$Z$9,"=N/A",$C250:$Z250)</f>
        <v>-792599.21</v>
      </c>
      <c r="AS250" s="16">
        <f>SUM(AK250:AQ250)</f>
        <v>-792599.21</v>
      </c>
      <c r="AT250" s="14"/>
      <c r="AU250" s="16">
        <f t="shared" si="72"/>
        <v>0</v>
      </c>
    </row>
    <row r="251" spans="1:47" x14ac:dyDescent="0.2">
      <c r="A251" s="8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4"/>
      <c r="AK251" s="18"/>
      <c r="AL251" s="14"/>
      <c r="AM251" s="18"/>
      <c r="AN251" s="14"/>
      <c r="AO251" s="18"/>
      <c r="AP251" s="14"/>
      <c r="AQ251" s="18"/>
      <c r="AR251" s="14"/>
      <c r="AS251" s="14"/>
      <c r="AT251" s="14"/>
      <c r="AU251" s="14"/>
    </row>
    <row r="252" spans="1:47" x14ac:dyDescent="0.2">
      <c r="A252" s="8"/>
      <c r="B252" s="12" t="s">
        <v>30</v>
      </c>
      <c r="C252" s="16">
        <f>SUM(C250)</f>
        <v>0</v>
      </c>
      <c r="D252" s="14"/>
      <c r="E252" s="16">
        <f>SUM(E250)</f>
        <v>0</v>
      </c>
      <c r="F252" s="14"/>
      <c r="G252" s="16">
        <f>SUM(G250)</f>
        <v>-792599.21</v>
      </c>
      <c r="H252" s="14"/>
      <c r="I252" s="16">
        <f>SUM(I250)</f>
        <v>0</v>
      </c>
      <c r="J252" s="14"/>
      <c r="K252" s="16">
        <f>SUM(K250)</f>
        <v>0</v>
      </c>
      <c r="L252" s="14"/>
      <c r="M252" s="16">
        <f>SUM(M250)</f>
        <v>0</v>
      </c>
      <c r="N252" s="14"/>
      <c r="O252" s="16">
        <f>SUM(O250)</f>
        <v>0</v>
      </c>
      <c r="P252" s="14"/>
      <c r="Q252" s="16">
        <f>SUM(Q250)</f>
        <v>0</v>
      </c>
      <c r="R252" s="14"/>
      <c r="S252" s="16">
        <f>SUM(S250)</f>
        <v>0</v>
      </c>
      <c r="T252" s="14"/>
      <c r="U252" s="16">
        <f>SUM(U250)</f>
        <v>0</v>
      </c>
      <c r="V252" s="14"/>
      <c r="W252" s="16">
        <f>SUM(W250)</f>
        <v>0</v>
      </c>
      <c r="X252" s="14"/>
      <c r="Y252" s="16">
        <f>SUM(Y250)</f>
        <v>0</v>
      </c>
      <c r="Z252" s="14"/>
      <c r="AA252" s="16">
        <f>SUM(AA250)</f>
        <v>0</v>
      </c>
      <c r="AB252" s="14"/>
      <c r="AC252" s="16">
        <f>SUM(AC250)</f>
        <v>0</v>
      </c>
      <c r="AD252" s="14"/>
      <c r="AE252" s="16">
        <f>SUM(AE250)</f>
        <v>0</v>
      </c>
      <c r="AF252" s="16">
        <f>SUM(AF250)</f>
        <v>0</v>
      </c>
      <c r="AG252" s="16">
        <f>SUM(AG250)</f>
        <v>0</v>
      </c>
      <c r="AH252" s="14"/>
      <c r="AI252" s="16">
        <f>SUM(AI250)</f>
        <v>-792599.21</v>
      </c>
      <c r="AJ252" s="4"/>
      <c r="AK252" s="16">
        <f>SUM(AK250)</f>
        <v>0</v>
      </c>
      <c r="AL252" s="14"/>
      <c r="AM252" s="16">
        <f>SUM(AM250)</f>
        <v>0</v>
      </c>
      <c r="AN252" s="14"/>
      <c r="AO252" s="16">
        <f>SUM(AO250)</f>
        <v>0</v>
      </c>
      <c r="AP252" s="14"/>
      <c r="AQ252" s="16">
        <f>SUM(AQ250)</f>
        <v>-792599.21</v>
      </c>
      <c r="AR252" s="14"/>
      <c r="AS252" s="16">
        <f>SUM(AS250)</f>
        <v>-792599.21</v>
      </c>
      <c r="AT252" s="14"/>
      <c r="AU252" s="16">
        <f t="shared" si="72"/>
        <v>0</v>
      </c>
    </row>
    <row r="253" spans="1:47" x14ac:dyDescent="0.2">
      <c r="A253" s="8"/>
      <c r="C253" s="12"/>
      <c r="D253" s="17"/>
      <c r="E253" s="12"/>
      <c r="F253" s="17"/>
      <c r="G253" s="12"/>
      <c r="H253" s="17"/>
      <c r="I253" s="12"/>
      <c r="J253" s="17"/>
      <c r="K253" s="12"/>
      <c r="L253" s="17"/>
      <c r="M253" s="12"/>
      <c r="N253" s="17"/>
      <c r="O253" s="12"/>
      <c r="P253" s="17"/>
      <c r="Q253" s="12"/>
      <c r="R253" s="17"/>
      <c r="S253" s="12"/>
      <c r="T253" s="17"/>
      <c r="U253" s="12"/>
      <c r="V253" s="17"/>
      <c r="W253" s="12"/>
      <c r="X253" s="17"/>
      <c r="Y253" s="12"/>
      <c r="Z253" s="17"/>
      <c r="AA253" s="12"/>
      <c r="AB253" s="17"/>
      <c r="AC253" s="12"/>
      <c r="AD253" s="12"/>
      <c r="AE253" s="12"/>
      <c r="AF253" s="12"/>
      <c r="AG253" s="12"/>
      <c r="AH253" s="17"/>
      <c r="AI253" s="12"/>
      <c r="AJ253" s="17"/>
      <c r="AK253" s="14"/>
      <c r="AL253" s="17"/>
      <c r="AM253" s="14"/>
      <c r="AN253" s="17"/>
      <c r="AO253" s="14"/>
      <c r="AP253" s="17"/>
      <c r="AQ253" s="14"/>
      <c r="AR253" s="17"/>
      <c r="AS253" s="14"/>
      <c r="AT253" s="17"/>
      <c r="AU253" s="14"/>
    </row>
    <row r="254" spans="1:47" x14ac:dyDescent="0.2">
      <c r="A254" s="8"/>
      <c r="B254" s="12"/>
      <c r="C254" s="17"/>
      <c r="D254" s="14"/>
      <c r="E254" s="17"/>
      <c r="F254" s="14"/>
      <c r="G254" s="17"/>
      <c r="H254" s="14"/>
      <c r="I254" s="17"/>
      <c r="J254" s="14"/>
      <c r="K254" s="17"/>
      <c r="L254" s="14"/>
      <c r="M254" s="17"/>
      <c r="N254" s="14"/>
      <c r="O254" s="17"/>
      <c r="P254" s="14"/>
      <c r="Q254" s="17"/>
      <c r="R254" s="14"/>
      <c r="S254" s="17"/>
      <c r="T254" s="14"/>
      <c r="U254" s="17"/>
      <c r="V254" s="14"/>
      <c r="W254" s="17"/>
      <c r="X254" s="14"/>
      <c r="Y254" s="17"/>
      <c r="Z254" s="14"/>
      <c r="AA254" s="17"/>
      <c r="AB254" s="14"/>
      <c r="AC254" s="17"/>
      <c r="AD254" s="14"/>
      <c r="AE254" s="17"/>
      <c r="AF254" s="17"/>
      <c r="AG254" s="17"/>
      <c r="AH254" s="14"/>
      <c r="AI254" s="17"/>
      <c r="AJ254" s="4"/>
      <c r="AK254" s="17"/>
      <c r="AL254" s="14"/>
      <c r="AM254" s="17"/>
      <c r="AN254" s="14"/>
      <c r="AO254" s="17"/>
      <c r="AP254" s="14"/>
      <c r="AQ254" s="17"/>
      <c r="AR254" s="14"/>
      <c r="AS254" s="17"/>
      <c r="AT254" s="14"/>
      <c r="AU254" s="17"/>
    </row>
    <row r="255" spans="1:47" ht="13.5" thickBot="1" x14ac:dyDescent="0.25">
      <c r="A255" s="8"/>
      <c r="B255" s="12" t="s">
        <v>245</v>
      </c>
      <c r="C255" s="78">
        <f>C119+C134+C240+C252+C125+C246</f>
        <v>0</v>
      </c>
      <c r="D255" s="14"/>
      <c r="E255" s="78">
        <f>E119+E134+E240+E252+E125+E246</f>
        <v>0</v>
      </c>
      <c r="F255" s="14"/>
      <c r="G255" s="78">
        <f>G119+G134+G240+G252+G125+G246</f>
        <v>0</v>
      </c>
      <c r="H255" s="14"/>
      <c r="I255" s="78">
        <f>I119+I134+I240+I252+I125+I246</f>
        <v>0</v>
      </c>
      <c r="J255" s="14"/>
      <c r="K255" s="78">
        <f>K119+K134+K240+K252+K125+K246</f>
        <v>0</v>
      </c>
      <c r="L255" s="14"/>
      <c r="M255" s="78">
        <f>M119+M134+M240+M252+M125+M246</f>
        <v>2778134.17</v>
      </c>
      <c r="N255" s="14"/>
      <c r="O255" s="78">
        <f>O119+O134+O240+O252+O125+O246</f>
        <v>-59277743.579999998</v>
      </c>
      <c r="P255" s="14"/>
      <c r="Q255" s="78">
        <f>Q119+Q134+Q240+Q252+Q125+Q246</f>
        <v>0</v>
      </c>
      <c r="R255" s="14"/>
      <c r="S255" s="78">
        <f>S119+S134+S240+S252+S125+S246</f>
        <v>0</v>
      </c>
      <c r="T255" s="14"/>
      <c r="U255" s="78">
        <f>U119+U134+U240+U252+U125+U246</f>
        <v>0</v>
      </c>
      <c r="V255" s="14"/>
      <c r="W255" s="78">
        <f>W119+W134+W240+W252+W125+W246</f>
        <v>5499138.3899999997</v>
      </c>
      <c r="X255" s="14"/>
      <c r="Y255" s="78">
        <f>Y119+Y134+Y240+Y252+Y125+Y246</f>
        <v>0</v>
      </c>
      <c r="Z255" s="14"/>
      <c r="AA255" s="78">
        <f>AA119+AA134+AA240+AA252+AA125+AA246</f>
        <v>0</v>
      </c>
      <c r="AB255" s="14"/>
      <c r="AC255" s="78">
        <f>AC119+AC134+AC240+AC252+AC125+AC246</f>
        <v>6880610.3200000003</v>
      </c>
      <c r="AD255" s="14"/>
      <c r="AE255" s="78">
        <f>AE119+AE134+AE240+AE252+AE125+AE246</f>
        <v>-1849845.35</v>
      </c>
      <c r="AF255" s="78">
        <f>AF119+AF134+AF240+AF252+AF125+AF246</f>
        <v>0</v>
      </c>
      <c r="AG255" s="78">
        <f>AG119+AG134+AG240+AG252+AG125+AG246</f>
        <v>0</v>
      </c>
      <c r="AH255" s="14"/>
      <c r="AI255" s="78">
        <f>AI119+AI134+AI240+AI252+AI125+AI246</f>
        <v>-45969706.049999997</v>
      </c>
      <c r="AJ255" s="4"/>
      <c r="AK255" s="78">
        <f>AK119+AK134+AK240+AK252+AK125+AK246</f>
        <v>15157882.879999999</v>
      </c>
      <c r="AL255" s="14"/>
      <c r="AM255" s="78">
        <f>AM119+AM134+AM240+AM252+AM125+AM246</f>
        <v>-61127588.93</v>
      </c>
      <c r="AN255" s="14"/>
      <c r="AO255" s="78">
        <f>AO119+AO134+AO240+AO252+AO125+AO246</f>
        <v>6.9849193096160889E-10</v>
      </c>
      <c r="AP255" s="14"/>
      <c r="AQ255" s="78">
        <f>AQ119+AQ134+AQ240+AQ252+AQ125+AQ246</f>
        <v>0</v>
      </c>
      <c r="AR255" s="14"/>
      <c r="AS255" s="78">
        <f>AS119+AS134+AS240+AS252+AS125+AS246</f>
        <v>-45969706.049999997</v>
      </c>
      <c r="AT255" s="14"/>
      <c r="AU255" s="78">
        <f t="shared" si="72"/>
        <v>0</v>
      </c>
    </row>
    <row r="256" spans="1:47" ht="13.5" thickTop="1" x14ac:dyDescent="0.2">
      <c r="A256" s="8"/>
      <c r="B256" s="12"/>
      <c r="C256" s="17"/>
      <c r="D256" s="14"/>
      <c r="E256" s="17"/>
      <c r="F256" s="14"/>
      <c r="G256" s="17"/>
      <c r="H256" s="14"/>
      <c r="I256" s="17"/>
      <c r="J256" s="14"/>
      <c r="K256" s="17"/>
      <c r="L256" s="14"/>
      <c r="M256" s="17"/>
      <c r="N256" s="14"/>
      <c r="O256" s="17"/>
      <c r="P256" s="14"/>
      <c r="Q256" s="17"/>
      <c r="R256" s="14"/>
      <c r="S256" s="17"/>
      <c r="T256" s="14"/>
      <c r="U256" s="17"/>
      <c r="V256" s="14"/>
      <c r="W256" s="17"/>
      <c r="X256" s="14"/>
      <c r="Y256" s="17"/>
      <c r="Z256" s="14"/>
      <c r="AA256" s="17"/>
      <c r="AB256" s="14"/>
      <c r="AC256" s="17"/>
      <c r="AD256" s="14"/>
      <c r="AE256" s="17"/>
      <c r="AF256" s="17"/>
      <c r="AG256" s="17"/>
      <c r="AH256" s="14"/>
      <c r="AI256" s="17"/>
      <c r="AJ256" s="4"/>
      <c r="AK256" s="17"/>
      <c r="AL256" s="14"/>
      <c r="AM256" s="17"/>
      <c r="AN256" s="14"/>
      <c r="AO256" s="17"/>
      <c r="AP256" s="14"/>
      <c r="AQ256" s="17"/>
      <c r="AR256" s="14"/>
      <c r="AS256" s="17"/>
      <c r="AT256" s="14"/>
      <c r="AU256" s="17"/>
    </row>
    <row r="257" spans="1:47" x14ac:dyDescent="0.2">
      <c r="C257" s="25" t="s">
        <v>3</v>
      </c>
      <c r="E257" s="25" t="s">
        <v>3</v>
      </c>
      <c r="G257" s="25" t="s">
        <v>3</v>
      </c>
      <c r="I257" s="25" t="s">
        <v>3</v>
      </c>
      <c r="K257" s="25" t="s">
        <v>3</v>
      </c>
      <c r="M257" s="25" t="s">
        <v>3</v>
      </c>
      <c r="O257" s="25" t="s">
        <v>3</v>
      </c>
      <c r="Q257" s="25" t="s">
        <v>3</v>
      </c>
      <c r="S257" s="25" t="s">
        <v>3</v>
      </c>
      <c r="U257" s="25" t="s">
        <v>3</v>
      </c>
      <c r="W257" s="25" t="s">
        <v>3</v>
      </c>
      <c r="Y257" s="25" t="s">
        <v>3</v>
      </c>
      <c r="AA257" s="25" t="s">
        <v>3</v>
      </c>
      <c r="AC257" s="25" t="s">
        <v>3</v>
      </c>
      <c r="AE257" s="25" t="s">
        <v>3</v>
      </c>
      <c r="AF257" s="25" t="s">
        <v>3</v>
      </c>
      <c r="AG257" s="25" t="s">
        <v>3</v>
      </c>
      <c r="AI257" s="25" t="s">
        <v>4</v>
      </c>
      <c r="AK257" s="25"/>
      <c r="AM257" s="25"/>
      <c r="AO257" s="25"/>
      <c r="AQ257" s="25"/>
      <c r="AS257" s="25"/>
      <c r="AU257" s="25"/>
    </row>
    <row r="258" spans="1:47" x14ac:dyDescent="0.2">
      <c r="C258" s="10" t="s">
        <v>8</v>
      </c>
      <c r="E258" s="10" t="s">
        <v>8</v>
      </c>
      <c r="G258" s="10" t="s">
        <v>8</v>
      </c>
      <c r="I258" s="10" t="s">
        <v>8</v>
      </c>
      <c r="K258" s="10" t="s">
        <v>8</v>
      </c>
      <c r="M258" s="10" t="s">
        <v>8</v>
      </c>
      <c r="O258" s="10" t="s">
        <v>8</v>
      </c>
      <c r="Q258" s="10" t="s">
        <v>8</v>
      </c>
      <c r="S258" s="10" t="s">
        <v>8</v>
      </c>
      <c r="U258" s="10" t="s">
        <v>8</v>
      </c>
      <c r="W258" s="10" t="s">
        <v>8</v>
      </c>
      <c r="Y258" s="10" t="s">
        <v>8</v>
      </c>
      <c r="AA258" s="10" t="s">
        <v>8</v>
      </c>
      <c r="AC258" s="10" t="s">
        <v>8</v>
      </c>
      <c r="AE258" s="10" t="s">
        <v>8</v>
      </c>
      <c r="AF258" s="10" t="s">
        <v>8</v>
      </c>
      <c r="AG258" s="10" t="s">
        <v>8</v>
      </c>
      <c r="AI258" s="10" t="s">
        <v>5</v>
      </c>
      <c r="AK258" s="25"/>
      <c r="AM258" s="25"/>
      <c r="AO258" s="25"/>
      <c r="AQ258" s="25"/>
      <c r="AS258" s="25"/>
      <c r="AU258" s="25"/>
    </row>
    <row r="259" spans="1:47" x14ac:dyDescent="0.2">
      <c r="C259" s="11"/>
      <c r="E259" s="11"/>
      <c r="G259" s="11"/>
      <c r="I259" s="11"/>
      <c r="K259" s="11"/>
      <c r="M259" s="11"/>
      <c r="O259" s="11"/>
      <c r="Q259" s="11"/>
      <c r="S259" s="11"/>
      <c r="U259" s="11"/>
      <c r="W259" s="11"/>
      <c r="Y259" s="11"/>
      <c r="AA259" s="11"/>
      <c r="AC259" s="11"/>
      <c r="AE259" s="11"/>
      <c r="AF259" s="11"/>
      <c r="AG259" s="11"/>
      <c r="AI259" s="11"/>
      <c r="AK259" s="25"/>
      <c r="AM259" s="25"/>
      <c r="AO259" s="25"/>
      <c r="AQ259" s="25"/>
      <c r="AS259" s="25"/>
      <c r="AU259" s="25"/>
    </row>
    <row r="260" spans="1:47" x14ac:dyDescent="0.2">
      <c r="A260" s="12" t="s">
        <v>45</v>
      </c>
      <c r="C260" s="11"/>
      <c r="E260" s="11"/>
      <c r="G260" s="11"/>
      <c r="I260" s="11"/>
      <c r="K260" s="11"/>
      <c r="M260" s="11"/>
      <c r="O260" s="11"/>
      <c r="Q260" s="11"/>
      <c r="S260" s="11"/>
      <c r="U260" s="11"/>
      <c r="W260" s="11"/>
      <c r="Y260" s="11"/>
      <c r="AA260" s="11"/>
      <c r="AC260" s="11"/>
      <c r="AE260" s="11"/>
      <c r="AF260" s="11"/>
      <c r="AG260" s="11"/>
      <c r="AI260" s="11"/>
      <c r="AK260" s="25"/>
      <c r="AM260" s="25"/>
      <c r="AO260" s="25"/>
      <c r="AQ260" s="25"/>
      <c r="AS260" s="25"/>
      <c r="AU260" s="25"/>
    </row>
    <row r="261" spans="1:47" x14ac:dyDescent="0.2">
      <c r="B261" s="3" t="s">
        <v>12</v>
      </c>
      <c r="C261" s="14">
        <v>0</v>
      </c>
      <c r="D261" s="14"/>
      <c r="E261" s="14">
        <f>12568.85</f>
        <v>12568.85</v>
      </c>
      <c r="F261" s="14"/>
      <c r="G261" s="14">
        <v>0</v>
      </c>
      <c r="H261" s="14"/>
      <c r="I261" s="14">
        <v>0</v>
      </c>
      <c r="J261" s="14"/>
      <c r="K261" s="14">
        <v>-14378.77</v>
      </c>
      <c r="L261" s="14"/>
      <c r="M261" s="14">
        <v>0</v>
      </c>
      <c r="N261" s="14"/>
      <c r="O261" s="14">
        <v>0</v>
      </c>
      <c r="P261" s="14"/>
      <c r="Q261" s="14">
        <v>0</v>
      </c>
      <c r="R261" s="19"/>
      <c r="S261" s="14">
        <v>0</v>
      </c>
      <c r="T261" s="19"/>
      <c r="U261" s="14">
        <v>-2411.48</v>
      </c>
      <c r="V261" s="19"/>
      <c r="W261" s="14">
        <v>0</v>
      </c>
      <c r="X261" s="19"/>
      <c r="Y261" s="14">
        <v>110805.49</v>
      </c>
      <c r="Z261" s="19"/>
      <c r="AA261" s="14">
        <v>2484.41</v>
      </c>
      <c r="AB261" s="19"/>
      <c r="AC261" s="14">
        <v>0</v>
      </c>
      <c r="AD261" s="19"/>
      <c r="AE261" s="14">
        <v>0</v>
      </c>
      <c r="AF261" s="14">
        <v>0</v>
      </c>
      <c r="AG261" s="14">
        <v>0</v>
      </c>
      <c r="AH261" s="19"/>
      <c r="AI261" s="17">
        <f>SUM(C261:AF261)</f>
        <v>109068.50000000001</v>
      </c>
      <c r="AK261" s="25"/>
      <c r="AM261" s="25"/>
      <c r="AO261" s="25"/>
      <c r="AQ261" s="25"/>
      <c r="AS261" s="25"/>
      <c r="AT261" s="19"/>
      <c r="AU261" s="25"/>
    </row>
    <row r="262" spans="1:47" x14ac:dyDescent="0.2">
      <c r="B262" s="3" t="s">
        <v>46</v>
      </c>
      <c r="C262" s="14">
        <v>0</v>
      </c>
      <c r="D262" s="14"/>
      <c r="E262" s="14">
        <v>0</v>
      </c>
      <c r="F262" s="14"/>
      <c r="G262" s="14">
        <v>0</v>
      </c>
      <c r="H262" s="14"/>
      <c r="I262" s="14">
        <v>0</v>
      </c>
      <c r="J262" s="14"/>
      <c r="K262" s="14">
        <v>0</v>
      </c>
      <c r="L262" s="14"/>
      <c r="M262" s="14">
        <v>0</v>
      </c>
      <c r="N262" s="14"/>
      <c r="O262" s="14">
        <v>0</v>
      </c>
      <c r="P262" s="14"/>
      <c r="Q262" s="14">
        <v>0</v>
      </c>
      <c r="R262" s="19"/>
      <c r="S262" s="14">
        <v>0</v>
      </c>
      <c r="T262" s="19"/>
      <c r="U262" s="14">
        <v>0</v>
      </c>
      <c r="V262" s="19"/>
      <c r="W262" s="14">
        <v>0</v>
      </c>
      <c r="X262" s="19"/>
      <c r="Y262" s="14">
        <v>0</v>
      </c>
      <c r="Z262" s="19"/>
      <c r="AA262" s="14">
        <v>0</v>
      </c>
      <c r="AB262" s="19"/>
      <c r="AC262" s="14">
        <v>0</v>
      </c>
      <c r="AD262" s="19"/>
      <c r="AE262" s="14">
        <v>0</v>
      </c>
      <c r="AF262" s="14">
        <v>0</v>
      </c>
      <c r="AG262" s="14">
        <v>0</v>
      </c>
      <c r="AH262" s="19"/>
      <c r="AI262" s="17">
        <f t="shared" ref="AI262:AI272" si="79">SUM(C262:AF262)</f>
        <v>0</v>
      </c>
      <c r="AK262" s="25"/>
      <c r="AM262" s="25"/>
      <c r="AO262" s="25"/>
      <c r="AQ262" s="25"/>
      <c r="AS262" s="25"/>
      <c r="AT262" s="19"/>
      <c r="AU262" s="25"/>
    </row>
    <row r="263" spans="1:47" x14ac:dyDescent="0.2">
      <c r="B263" s="3" t="s">
        <v>13</v>
      </c>
      <c r="C263" s="14">
        <v>0</v>
      </c>
      <c r="D263" s="14"/>
      <c r="E263" s="14">
        <v>0</v>
      </c>
      <c r="F263" s="14"/>
      <c r="G263" s="14">
        <v>0</v>
      </c>
      <c r="H263" s="14"/>
      <c r="I263" s="14">
        <f>-20450+729.87+6461.04</f>
        <v>-13259.09</v>
      </c>
      <c r="J263" s="14"/>
      <c r="K263" s="14">
        <v>0</v>
      </c>
      <c r="L263" s="14"/>
      <c r="M263" s="14">
        <v>0</v>
      </c>
      <c r="N263" s="14"/>
      <c r="O263" s="14">
        <v>0</v>
      </c>
      <c r="P263" s="14"/>
      <c r="Q263" s="14">
        <v>0</v>
      </c>
      <c r="R263" s="19"/>
      <c r="S263" s="14">
        <v>0</v>
      </c>
      <c r="T263" s="19"/>
      <c r="U263" s="14">
        <v>0</v>
      </c>
      <c r="V263" s="19"/>
      <c r="W263" s="14">
        <v>0</v>
      </c>
      <c r="X263" s="19"/>
      <c r="Y263" s="14">
        <v>0</v>
      </c>
      <c r="Z263" s="19"/>
      <c r="AA263" s="14">
        <v>0</v>
      </c>
      <c r="AB263" s="19"/>
      <c r="AC263" s="14">
        <v>0</v>
      </c>
      <c r="AD263" s="19"/>
      <c r="AE263" s="14">
        <v>0</v>
      </c>
      <c r="AF263" s="14">
        <v>0</v>
      </c>
      <c r="AG263" s="14">
        <v>0</v>
      </c>
      <c r="AH263" s="19"/>
      <c r="AI263" s="17">
        <f>SUM(C263:AG263)</f>
        <v>-13259.09</v>
      </c>
      <c r="AK263" s="25"/>
      <c r="AM263" s="25"/>
      <c r="AO263" s="25"/>
      <c r="AQ263" s="25"/>
      <c r="AS263" s="25"/>
      <c r="AT263" s="19"/>
      <c r="AU263" s="25"/>
    </row>
    <row r="264" spans="1:47" x14ac:dyDescent="0.2">
      <c r="B264" s="3" t="s">
        <v>14</v>
      </c>
      <c r="C264" s="14">
        <v>0</v>
      </c>
      <c r="D264" s="14"/>
      <c r="E264" s="14">
        <v>0</v>
      </c>
      <c r="F264" s="14"/>
      <c r="G264" s="14">
        <v>0</v>
      </c>
      <c r="H264" s="14"/>
      <c r="I264" s="14">
        <v>0</v>
      </c>
      <c r="J264" s="14"/>
      <c r="K264" s="14">
        <v>0</v>
      </c>
      <c r="L264" s="14"/>
      <c r="M264" s="14">
        <v>0</v>
      </c>
      <c r="N264" s="14"/>
      <c r="O264" s="14">
        <v>0</v>
      </c>
      <c r="P264" s="14"/>
      <c r="Q264" s="14">
        <v>0</v>
      </c>
      <c r="R264" s="19"/>
      <c r="S264" s="14">
        <v>0</v>
      </c>
      <c r="T264" s="19"/>
      <c r="U264" s="14">
        <v>0</v>
      </c>
      <c r="V264" s="19"/>
      <c r="W264" s="14">
        <v>0</v>
      </c>
      <c r="X264" s="19"/>
      <c r="Y264" s="14">
        <v>0</v>
      </c>
      <c r="Z264" s="19"/>
      <c r="AA264" s="14">
        <v>0</v>
      </c>
      <c r="AB264" s="19"/>
      <c r="AC264" s="14">
        <v>0</v>
      </c>
      <c r="AD264" s="19"/>
      <c r="AE264" s="14">
        <v>0</v>
      </c>
      <c r="AF264" s="14">
        <v>0</v>
      </c>
      <c r="AG264" s="14">
        <v>0</v>
      </c>
      <c r="AH264" s="19"/>
      <c r="AI264" s="17">
        <f t="shared" si="79"/>
        <v>0</v>
      </c>
      <c r="AK264" s="25"/>
      <c r="AM264" s="25"/>
      <c r="AO264" s="25"/>
      <c r="AQ264" s="25"/>
      <c r="AS264" s="25"/>
      <c r="AT264" s="19"/>
      <c r="AU264" s="25"/>
    </row>
    <row r="265" spans="1:47" x14ac:dyDescent="0.2">
      <c r="B265" s="3" t="s">
        <v>47</v>
      </c>
      <c r="C265" s="14">
        <v>0</v>
      </c>
      <c r="D265" s="14"/>
      <c r="E265" s="14">
        <v>0</v>
      </c>
      <c r="F265" s="14"/>
      <c r="G265" s="14">
        <v>0</v>
      </c>
      <c r="H265" s="14"/>
      <c r="I265" s="14">
        <v>0</v>
      </c>
      <c r="J265" s="14"/>
      <c r="K265" s="14">
        <v>0</v>
      </c>
      <c r="L265" s="14"/>
      <c r="M265" s="14">
        <v>0</v>
      </c>
      <c r="N265" s="14"/>
      <c r="O265" s="14">
        <v>0</v>
      </c>
      <c r="P265" s="14"/>
      <c r="Q265" s="14">
        <v>0</v>
      </c>
      <c r="R265" s="19"/>
      <c r="S265" s="14">
        <v>0</v>
      </c>
      <c r="T265" s="19"/>
      <c r="U265" s="14">
        <v>0</v>
      </c>
      <c r="V265" s="19"/>
      <c r="W265" s="14">
        <v>0</v>
      </c>
      <c r="X265" s="19"/>
      <c r="Y265" s="14">
        <v>0</v>
      </c>
      <c r="Z265" s="19"/>
      <c r="AA265" s="14">
        <v>0</v>
      </c>
      <c r="AB265" s="19"/>
      <c r="AC265" s="14">
        <v>0</v>
      </c>
      <c r="AD265" s="19"/>
      <c r="AE265" s="14">
        <v>0</v>
      </c>
      <c r="AF265" s="14">
        <v>0</v>
      </c>
      <c r="AG265" s="14">
        <v>0</v>
      </c>
      <c r="AH265" s="19"/>
      <c r="AI265" s="17">
        <f t="shared" si="79"/>
        <v>0</v>
      </c>
      <c r="AK265" s="25"/>
      <c r="AM265" s="25"/>
      <c r="AO265" s="25"/>
      <c r="AQ265" s="25"/>
      <c r="AS265" s="25"/>
      <c r="AT265" s="19"/>
      <c r="AU265" s="25"/>
    </row>
    <row r="266" spans="1:47" x14ac:dyDescent="0.2">
      <c r="B266" s="3" t="s">
        <v>16</v>
      </c>
      <c r="C266" s="14">
        <v>0</v>
      </c>
      <c r="D266" s="14"/>
      <c r="E266" s="14">
        <v>0</v>
      </c>
      <c r="F266" s="14"/>
      <c r="G266" s="14">
        <v>0</v>
      </c>
      <c r="H266" s="14"/>
      <c r="I266" s="14">
        <v>0</v>
      </c>
      <c r="J266" s="14"/>
      <c r="K266" s="14">
        <v>0</v>
      </c>
      <c r="L266" s="14"/>
      <c r="M266" s="14">
        <v>0</v>
      </c>
      <c r="N266" s="14"/>
      <c r="O266" s="14">
        <v>0</v>
      </c>
      <c r="P266" s="14"/>
      <c r="Q266" s="14">
        <v>0</v>
      </c>
      <c r="R266" s="19"/>
      <c r="S266" s="14">
        <v>0</v>
      </c>
      <c r="T266" s="19"/>
      <c r="U266" s="14">
        <v>0</v>
      </c>
      <c r="V266" s="19"/>
      <c r="W266" s="14">
        <v>0</v>
      </c>
      <c r="X266" s="19"/>
      <c r="Y266" s="14">
        <v>0</v>
      </c>
      <c r="Z266" s="19"/>
      <c r="AA266" s="14">
        <v>0</v>
      </c>
      <c r="AB266" s="19"/>
      <c r="AC266" s="14">
        <v>0</v>
      </c>
      <c r="AD266" s="19"/>
      <c r="AE266" s="14">
        <v>0</v>
      </c>
      <c r="AF266" s="19">
        <v>0</v>
      </c>
      <c r="AG266" s="14">
        <v>0</v>
      </c>
      <c r="AH266" s="19"/>
      <c r="AI266" s="17">
        <f t="shared" si="79"/>
        <v>0</v>
      </c>
      <c r="AK266" s="25"/>
      <c r="AM266" s="25"/>
      <c r="AO266" s="25"/>
      <c r="AQ266" s="25"/>
      <c r="AS266" s="25"/>
      <c r="AT266" s="19"/>
      <c r="AU266" s="25"/>
    </row>
    <row r="267" spans="1:47" x14ac:dyDescent="0.2">
      <c r="B267" s="3" t="s">
        <v>48</v>
      </c>
      <c r="C267" s="14">
        <v>0</v>
      </c>
      <c r="D267" s="14"/>
      <c r="E267" s="14">
        <v>0</v>
      </c>
      <c r="F267" s="14"/>
      <c r="G267" s="14">
        <v>0</v>
      </c>
      <c r="H267" s="14"/>
      <c r="I267" s="14">
        <v>0</v>
      </c>
      <c r="J267" s="14"/>
      <c r="K267" s="14">
        <v>0</v>
      </c>
      <c r="L267" s="14"/>
      <c r="M267" s="14">
        <v>0</v>
      </c>
      <c r="N267" s="14"/>
      <c r="O267" s="14">
        <v>0</v>
      </c>
      <c r="P267" s="14"/>
      <c r="Q267" s="14">
        <v>0</v>
      </c>
      <c r="R267" s="19"/>
      <c r="S267" s="14">
        <v>0</v>
      </c>
      <c r="T267" s="19"/>
      <c r="U267" s="14">
        <v>0</v>
      </c>
      <c r="V267" s="19"/>
      <c r="W267" s="14">
        <v>0</v>
      </c>
      <c r="X267" s="19"/>
      <c r="Y267" s="14">
        <v>0</v>
      </c>
      <c r="Z267" s="19"/>
      <c r="AA267" s="14">
        <v>0</v>
      </c>
      <c r="AB267" s="19"/>
      <c r="AC267" s="14">
        <v>0</v>
      </c>
      <c r="AD267" s="19"/>
      <c r="AE267" s="14">
        <v>0</v>
      </c>
      <c r="AF267" s="19">
        <v>0</v>
      </c>
      <c r="AG267" s="14">
        <v>0</v>
      </c>
      <c r="AH267" s="19"/>
      <c r="AI267" s="17">
        <f t="shared" si="79"/>
        <v>0</v>
      </c>
      <c r="AK267" s="25"/>
      <c r="AM267" s="25"/>
      <c r="AO267" s="25"/>
      <c r="AQ267" s="25"/>
      <c r="AS267" s="25"/>
      <c r="AT267" s="19"/>
      <c r="AU267" s="25"/>
    </row>
    <row r="268" spans="1:47" x14ac:dyDescent="0.2">
      <c r="B268" s="3" t="s">
        <v>17</v>
      </c>
      <c r="C268" s="14">
        <v>0</v>
      </c>
      <c r="D268" s="14"/>
      <c r="E268" s="14">
        <v>0</v>
      </c>
      <c r="F268" s="14"/>
      <c r="G268" s="14">
        <v>0</v>
      </c>
      <c r="H268" s="14"/>
      <c r="I268" s="14">
        <v>0</v>
      </c>
      <c r="J268" s="14"/>
      <c r="K268" s="14">
        <v>0</v>
      </c>
      <c r="L268" s="14"/>
      <c r="M268" s="14">
        <v>0</v>
      </c>
      <c r="N268" s="14"/>
      <c r="O268" s="14">
        <v>0</v>
      </c>
      <c r="P268" s="14"/>
      <c r="Q268" s="14">
        <v>0</v>
      </c>
      <c r="R268" s="19"/>
      <c r="S268" s="14">
        <v>0</v>
      </c>
      <c r="T268" s="19"/>
      <c r="U268" s="14">
        <v>0</v>
      </c>
      <c r="V268" s="19"/>
      <c r="W268" s="14">
        <v>0</v>
      </c>
      <c r="X268" s="19"/>
      <c r="Y268" s="14">
        <v>0</v>
      </c>
      <c r="Z268" s="19"/>
      <c r="AA268" s="14">
        <v>0</v>
      </c>
      <c r="AB268" s="19"/>
      <c r="AC268" s="14">
        <v>0</v>
      </c>
      <c r="AD268" s="19"/>
      <c r="AE268" s="14">
        <v>0</v>
      </c>
      <c r="AF268" s="19">
        <v>0</v>
      </c>
      <c r="AG268" s="14">
        <v>0</v>
      </c>
      <c r="AH268" s="19"/>
      <c r="AI268" s="17">
        <f>SUM(C268:AG268)</f>
        <v>0</v>
      </c>
      <c r="AK268" s="25"/>
      <c r="AM268" s="25"/>
      <c r="AO268" s="25"/>
      <c r="AQ268" s="25"/>
      <c r="AS268" s="25"/>
      <c r="AT268" s="19"/>
      <c r="AU268" s="25"/>
    </row>
    <row r="269" spans="1:47" x14ac:dyDescent="0.2">
      <c r="B269" s="3" t="s">
        <v>49</v>
      </c>
      <c r="C269" s="14">
        <v>0</v>
      </c>
      <c r="D269" s="14"/>
      <c r="E269" s="14">
        <v>0</v>
      </c>
      <c r="F269" s="14"/>
      <c r="G269" s="14">
        <v>0</v>
      </c>
      <c r="H269" s="14"/>
      <c r="I269" s="14">
        <v>0</v>
      </c>
      <c r="J269" s="14"/>
      <c r="K269" s="14">
        <v>0</v>
      </c>
      <c r="L269" s="14"/>
      <c r="M269" s="14">
        <v>0</v>
      </c>
      <c r="N269" s="14"/>
      <c r="O269" s="14">
        <v>0</v>
      </c>
      <c r="P269" s="14"/>
      <c r="Q269" s="14">
        <v>0</v>
      </c>
      <c r="R269" s="19"/>
      <c r="S269" s="14">
        <v>0</v>
      </c>
      <c r="T269" s="19"/>
      <c r="U269" s="14">
        <v>0</v>
      </c>
      <c r="V269" s="19"/>
      <c r="W269" s="14">
        <v>0</v>
      </c>
      <c r="X269" s="19"/>
      <c r="Y269" s="14">
        <v>0</v>
      </c>
      <c r="Z269" s="19"/>
      <c r="AA269" s="14">
        <v>0</v>
      </c>
      <c r="AB269" s="19"/>
      <c r="AC269" s="14">
        <v>0</v>
      </c>
      <c r="AD269" s="19"/>
      <c r="AE269" s="14">
        <v>0</v>
      </c>
      <c r="AF269" s="14">
        <v>0</v>
      </c>
      <c r="AG269" s="14">
        <v>0</v>
      </c>
      <c r="AH269" s="19"/>
      <c r="AI269" s="17">
        <f t="shared" si="79"/>
        <v>0</v>
      </c>
      <c r="AK269" s="25"/>
      <c r="AM269" s="25"/>
      <c r="AO269" s="25"/>
      <c r="AQ269" s="25"/>
      <c r="AS269" s="25"/>
      <c r="AT269" s="19"/>
      <c r="AU269" s="25"/>
    </row>
    <row r="270" spans="1:47" x14ac:dyDescent="0.2">
      <c r="B270" s="3" t="s">
        <v>18</v>
      </c>
      <c r="C270" s="14">
        <v>0</v>
      </c>
      <c r="D270" s="14"/>
      <c r="E270" s="14">
        <v>-12568.85</v>
      </c>
      <c r="F270" s="14"/>
      <c r="G270" s="14">
        <v>0</v>
      </c>
      <c r="H270" s="14"/>
      <c r="I270" s="14">
        <v>0</v>
      </c>
      <c r="J270" s="14"/>
      <c r="K270" s="14">
        <v>0</v>
      </c>
      <c r="L270" s="14"/>
      <c r="M270" s="14">
        <v>0</v>
      </c>
      <c r="N270" s="14"/>
      <c r="O270" s="14">
        <v>0</v>
      </c>
      <c r="P270" s="14"/>
      <c r="Q270" s="14">
        <v>0</v>
      </c>
      <c r="R270" s="19"/>
      <c r="S270" s="14">
        <v>0</v>
      </c>
      <c r="T270" s="19"/>
      <c r="U270" s="14">
        <v>2411.48</v>
      </c>
      <c r="V270" s="19"/>
      <c r="W270" s="14">
        <v>0</v>
      </c>
      <c r="X270" s="19"/>
      <c r="Y270" s="14">
        <v>-110805.49</v>
      </c>
      <c r="Z270" s="19"/>
      <c r="AA270" s="14">
        <v>-2484.41</v>
      </c>
      <c r="AB270" s="19"/>
      <c r="AC270" s="14">
        <v>0</v>
      </c>
      <c r="AD270" s="19"/>
      <c r="AE270" s="14">
        <v>0</v>
      </c>
      <c r="AF270" s="14">
        <v>0</v>
      </c>
      <c r="AG270" s="14">
        <v>0</v>
      </c>
      <c r="AH270" s="19"/>
      <c r="AI270" s="17">
        <f>SUM(C270:AF270)</f>
        <v>-123447.27</v>
      </c>
      <c r="AK270" s="25"/>
      <c r="AM270" s="25"/>
      <c r="AO270" s="25"/>
      <c r="AQ270" s="25"/>
      <c r="AS270" s="25"/>
      <c r="AT270" s="19"/>
      <c r="AU270" s="25"/>
    </row>
    <row r="271" spans="1:47" x14ac:dyDescent="0.2">
      <c r="B271" s="3" t="s">
        <v>50</v>
      </c>
      <c r="C271" s="14">
        <v>0</v>
      </c>
      <c r="D271" s="14"/>
      <c r="E271" s="14">
        <v>0</v>
      </c>
      <c r="F271" s="14"/>
      <c r="G271" s="14">
        <v>0</v>
      </c>
      <c r="H271" s="14"/>
      <c r="I271" s="14">
        <v>0</v>
      </c>
      <c r="J271" s="14"/>
      <c r="K271" s="14">
        <v>0</v>
      </c>
      <c r="L271" s="14"/>
      <c r="M271" s="14">
        <v>0</v>
      </c>
      <c r="N271" s="14"/>
      <c r="O271" s="14">
        <v>0</v>
      </c>
      <c r="P271" s="14"/>
      <c r="Q271" s="14">
        <v>0</v>
      </c>
      <c r="R271" s="19"/>
      <c r="S271" s="14">
        <v>0</v>
      </c>
      <c r="T271" s="19"/>
      <c r="U271" s="14">
        <v>0</v>
      </c>
      <c r="V271" s="19"/>
      <c r="W271" s="14">
        <v>0</v>
      </c>
      <c r="X271" s="19"/>
      <c r="Y271" s="14">
        <v>0</v>
      </c>
      <c r="Z271" s="19"/>
      <c r="AA271" s="14">
        <v>0</v>
      </c>
      <c r="AB271" s="19"/>
      <c r="AC271" s="14">
        <v>0</v>
      </c>
      <c r="AD271" s="19"/>
      <c r="AE271" s="14">
        <v>0</v>
      </c>
      <c r="AF271" s="14">
        <v>0</v>
      </c>
      <c r="AG271" s="14">
        <v>0</v>
      </c>
      <c r="AH271" s="19"/>
      <c r="AI271" s="17">
        <f t="shared" si="79"/>
        <v>0</v>
      </c>
      <c r="AK271" s="25"/>
      <c r="AM271" s="25"/>
      <c r="AO271" s="25"/>
      <c r="AQ271" s="25"/>
      <c r="AS271" s="25"/>
      <c r="AT271" s="19"/>
      <c r="AU271" s="25"/>
    </row>
    <row r="272" spans="1:47" x14ac:dyDescent="0.2">
      <c r="B272" s="3" t="s">
        <v>29</v>
      </c>
      <c r="C272" s="16">
        <v>0</v>
      </c>
      <c r="D272" s="17"/>
      <c r="E272" s="16">
        <v>0</v>
      </c>
      <c r="F272" s="17"/>
      <c r="G272" s="16">
        <v>0</v>
      </c>
      <c r="H272" s="17"/>
      <c r="I272" s="16">
        <v>0</v>
      </c>
      <c r="J272" s="17"/>
      <c r="K272" s="16">
        <v>0</v>
      </c>
      <c r="L272" s="17"/>
      <c r="M272" s="16">
        <v>0</v>
      </c>
      <c r="N272" s="17"/>
      <c r="O272" s="16">
        <v>0</v>
      </c>
      <c r="P272" s="17"/>
      <c r="Q272" s="16">
        <v>0</v>
      </c>
      <c r="R272" s="26"/>
      <c r="S272" s="16">
        <v>0</v>
      </c>
      <c r="T272" s="26"/>
      <c r="U272" s="16">
        <v>0</v>
      </c>
      <c r="V272" s="26"/>
      <c r="W272" s="16">
        <v>0</v>
      </c>
      <c r="X272" s="26"/>
      <c r="Y272" s="16">
        <v>0</v>
      </c>
      <c r="Z272" s="26"/>
      <c r="AA272" s="16">
        <v>0</v>
      </c>
      <c r="AB272" s="26"/>
      <c r="AC272" s="16">
        <v>0</v>
      </c>
      <c r="AD272" s="26"/>
      <c r="AE272" s="16">
        <v>0</v>
      </c>
      <c r="AF272" s="16">
        <v>0</v>
      </c>
      <c r="AG272" s="16">
        <v>0</v>
      </c>
      <c r="AH272" s="26"/>
      <c r="AI272" s="17">
        <f t="shared" si="79"/>
        <v>0</v>
      </c>
      <c r="AJ272" s="59"/>
      <c r="AK272" s="25"/>
      <c r="AM272" s="25"/>
      <c r="AO272" s="25"/>
      <c r="AQ272" s="25"/>
      <c r="AS272" s="25"/>
      <c r="AT272" s="26"/>
      <c r="AU272" s="25"/>
    </row>
    <row r="273" spans="1:47" x14ac:dyDescent="0.2">
      <c r="B273" s="20"/>
      <c r="C273" s="17">
        <f>SUM(C261:C272)</f>
        <v>0</v>
      </c>
      <c r="D273" s="17"/>
      <c r="E273" s="17">
        <f>SUM(E261:E272)</f>
        <v>0</v>
      </c>
      <c r="F273" s="17"/>
      <c r="G273" s="17">
        <f>SUM(G261:G272)</f>
        <v>0</v>
      </c>
      <c r="H273" s="17"/>
      <c r="I273" s="17">
        <f>SUM(I261:I272)</f>
        <v>-13259.09</v>
      </c>
      <c r="J273" s="17"/>
      <c r="K273" s="17">
        <f>SUM(K261:K272)</f>
        <v>-14378.77</v>
      </c>
      <c r="L273" s="17"/>
      <c r="M273" s="17">
        <f>SUM(M261:M272)</f>
        <v>0</v>
      </c>
      <c r="N273" s="17"/>
      <c r="O273" s="17">
        <f>SUM(O261:O272)</f>
        <v>0</v>
      </c>
      <c r="P273" s="17"/>
      <c r="Q273" s="17">
        <f>SUM(Q261:Q272)</f>
        <v>0</v>
      </c>
      <c r="R273" s="26"/>
      <c r="S273" s="17">
        <f>SUM(S261:S272)</f>
        <v>0</v>
      </c>
      <c r="T273" s="26"/>
      <c r="U273" s="17">
        <f>SUM(U261:U272)</f>
        <v>0</v>
      </c>
      <c r="V273" s="26"/>
      <c r="W273" s="17">
        <f>SUM(W261:W272)</f>
        <v>0</v>
      </c>
      <c r="X273" s="26"/>
      <c r="Y273" s="17">
        <f>SUM(Y261:Y272)</f>
        <v>0</v>
      </c>
      <c r="Z273" s="26"/>
      <c r="AA273" s="17">
        <f>SUM(AA261:AA272)</f>
        <v>0</v>
      </c>
      <c r="AB273" s="26"/>
      <c r="AC273" s="17">
        <f>SUM(AC261:AC272)</f>
        <v>0</v>
      </c>
      <c r="AD273" s="26"/>
      <c r="AE273" s="17">
        <f>SUM(AE261:AE272)</f>
        <v>0</v>
      </c>
      <c r="AF273" s="17">
        <f>SUM(AF261:AF272)</f>
        <v>0</v>
      </c>
      <c r="AG273" s="17">
        <f>SUM(AG261:AG272)</f>
        <v>0</v>
      </c>
      <c r="AH273" s="26"/>
      <c r="AI273" s="18">
        <f>SUM(AI261:AI272)</f>
        <v>-27637.859999999986</v>
      </c>
      <c r="AJ273" s="59"/>
      <c r="AK273" s="25"/>
      <c r="AM273" s="25"/>
      <c r="AO273" s="25"/>
      <c r="AQ273" s="25"/>
      <c r="AS273" s="25"/>
      <c r="AT273" s="26"/>
      <c r="AU273" s="25"/>
    </row>
    <row r="274" spans="1:47" x14ac:dyDescent="0.2"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26"/>
      <c r="S274" s="17"/>
      <c r="T274" s="26"/>
      <c r="U274" s="17"/>
      <c r="V274" s="26"/>
      <c r="W274" s="17"/>
      <c r="X274" s="26"/>
      <c r="Y274" s="17"/>
      <c r="Z274" s="26"/>
      <c r="AA274" s="17"/>
      <c r="AB274" s="26"/>
      <c r="AC274" s="17"/>
      <c r="AD274" s="26"/>
      <c r="AE274" s="17"/>
      <c r="AF274" s="17"/>
      <c r="AG274" s="17"/>
      <c r="AH274" s="26"/>
      <c r="AI274" s="17"/>
      <c r="AJ274" s="59"/>
      <c r="AK274" s="25"/>
      <c r="AM274" s="25"/>
      <c r="AO274" s="25"/>
      <c r="AQ274" s="25"/>
      <c r="AS274" s="25"/>
      <c r="AT274" s="26"/>
      <c r="AU274" s="25"/>
    </row>
    <row r="275" spans="1:47" x14ac:dyDescent="0.2">
      <c r="A275" s="12" t="s">
        <v>51</v>
      </c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59"/>
      <c r="AK275" s="25"/>
      <c r="AM275" s="25"/>
      <c r="AO275" s="25"/>
      <c r="AQ275" s="25"/>
      <c r="AS275" s="25"/>
      <c r="AT275" s="26"/>
      <c r="AU275" s="25"/>
    </row>
    <row r="276" spans="1:47" x14ac:dyDescent="0.2">
      <c r="B276" s="3" t="s">
        <v>12</v>
      </c>
      <c r="C276" s="17">
        <v>0</v>
      </c>
      <c r="D276" s="17"/>
      <c r="E276" s="14">
        <v>3283.38</v>
      </c>
      <c r="F276" s="17"/>
      <c r="G276" s="17">
        <v>0</v>
      </c>
      <c r="H276" s="17"/>
      <c r="I276" s="17">
        <v>0</v>
      </c>
      <c r="J276" s="17"/>
      <c r="K276" s="17">
        <v>0</v>
      </c>
      <c r="L276" s="17"/>
      <c r="M276" s="17">
        <v>0</v>
      </c>
      <c r="N276" s="17"/>
      <c r="O276" s="17">
        <v>0</v>
      </c>
      <c r="P276" s="17"/>
      <c r="Q276" s="17">
        <v>0</v>
      </c>
      <c r="R276" s="26"/>
      <c r="S276" s="17">
        <v>0</v>
      </c>
      <c r="T276" s="26"/>
      <c r="U276" s="17">
        <v>-727.38</v>
      </c>
      <c r="V276" s="26"/>
      <c r="W276" s="17">
        <v>0</v>
      </c>
      <c r="X276" s="26"/>
      <c r="Y276" s="17">
        <v>41398.69</v>
      </c>
      <c r="Z276" s="26"/>
      <c r="AA276" s="17">
        <v>190.14</v>
      </c>
      <c r="AB276" s="26"/>
      <c r="AC276" s="17">
        <v>0</v>
      </c>
      <c r="AD276" s="26"/>
      <c r="AE276" s="17">
        <v>0</v>
      </c>
      <c r="AF276" s="17">
        <v>0</v>
      </c>
      <c r="AG276" s="17">
        <v>0</v>
      </c>
      <c r="AH276" s="26"/>
      <c r="AI276" s="14">
        <f>SUM(C276:AG276)</f>
        <v>44144.83</v>
      </c>
      <c r="AJ276" s="59"/>
      <c r="AK276" s="25"/>
      <c r="AM276" s="25"/>
      <c r="AO276" s="25"/>
      <c r="AQ276" s="25"/>
      <c r="AS276" s="25"/>
      <c r="AT276" s="26"/>
      <c r="AU276" s="25"/>
    </row>
    <row r="277" spans="1:47" x14ac:dyDescent="0.2">
      <c r="B277" s="3" t="s">
        <v>13</v>
      </c>
      <c r="C277" s="17">
        <v>0</v>
      </c>
      <c r="D277" s="17"/>
      <c r="E277" s="17">
        <v>0</v>
      </c>
      <c r="F277" s="17"/>
      <c r="G277" s="17">
        <v>0</v>
      </c>
      <c r="H277" s="17"/>
      <c r="I277" s="17">
        <v>0</v>
      </c>
      <c r="J277" s="17"/>
      <c r="K277" s="17">
        <v>0</v>
      </c>
      <c r="L277" s="17"/>
      <c r="M277" s="17">
        <v>0</v>
      </c>
      <c r="N277" s="17"/>
      <c r="O277" s="17">
        <v>0</v>
      </c>
      <c r="P277" s="17"/>
      <c r="Q277" s="17">
        <v>0</v>
      </c>
      <c r="R277" s="26"/>
      <c r="S277" s="17">
        <v>0</v>
      </c>
      <c r="T277" s="26"/>
      <c r="U277" s="17">
        <v>0</v>
      </c>
      <c r="V277" s="26"/>
      <c r="W277" s="17">
        <v>0</v>
      </c>
      <c r="X277" s="26"/>
      <c r="Y277" s="17">
        <v>0</v>
      </c>
      <c r="Z277" s="26"/>
      <c r="AA277" s="17">
        <v>0</v>
      </c>
      <c r="AB277" s="26"/>
      <c r="AC277" s="17">
        <v>0</v>
      </c>
      <c r="AD277" s="26"/>
      <c r="AE277" s="17">
        <v>0</v>
      </c>
      <c r="AF277" s="17">
        <v>0</v>
      </c>
      <c r="AG277" s="17">
        <v>0</v>
      </c>
      <c r="AH277" s="26"/>
      <c r="AI277" s="14">
        <f t="shared" ref="AI277:AI282" si="80">SUM(C277:AE277)</f>
        <v>0</v>
      </c>
      <c r="AJ277" s="59"/>
      <c r="AK277" s="25"/>
      <c r="AM277" s="25"/>
      <c r="AO277" s="25"/>
      <c r="AQ277" s="25"/>
      <c r="AS277" s="25"/>
      <c r="AT277" s="26"/>
      <c r="AU277" s="25"/>
    </row>
    <row r="278" spans="1:47" x14ac:dyDescent="0.2">
      <c r="B278" s="3" t="s">
        <v>14</v>
      </c>
      <c r="C278" s="17">
        <v>0</v>
      </c>
      <c r="D278" s="17"/>
      <c r="E278" s="17">
        <v>0</v>
      </c>
      <c r="F278" s="17"/>
      <c r="G278" s="17">
        <v>0</v>
      </c>
      <c r="H278" s="17"/>
      <c r="I278" s="17">
        <v>0</v>
      </c>
      <c r="J278" s="17"/>
      <c r="K278" s="17">
        <v>0</v>
      </c>
      <c r="L278" s="17"/>
      <c r="M278" s="17">
        <v>0</v>
      </c>
      <c r="N278" s="17"/>
      <c r="O278" s="17">
        <v>0</v>
      </c>
      <c r="P278" s="17"/>
      <c r="Q278" s="17">
        <v>0</v>
      </c>
      <c r="R278" s="26"/>
      <c r="S278" s="17">
        <v>0</v>
      </c>
      <c r="T278" s="26"/>
      <c r="U278" s="17">
        <v>0</v>
      </c>
      <c r="V278" s="26"/>
      <c r="W278" s="17">
        <v>0</v>
      </c>
      <c r="X278" s="26"/>
      <c r="Y278" s="17">
        <v>0</v>
      </c>
      <c r="Z278" s="26"/>
      <c r="AA278" s="17">
        <v>0</v>
      </c>
      <c r="AB278" s="26"/>
      <c r="AC278" s="17">
        <v>0</v>
      </c>
      <c r="AD278" s="26"/>
      <c r="AE278" s="17">
        <v>0</v>
      </c>
      <c r="AF278" s="17">
        <v>0</v>
      </c>
      <c r="AG278" s="17">
        <v>0</v>
      </c>
      <c r="AH278" s="26"/>
      <c r="AI278" s="14">
        <f t="shared" si="80"/>
        <v>0</v>
      </c>
      <c r="AJ278" s="59"/>
      <c r="AK278" s="25"/>
      <c r="AM278" s="25"/>
      <c r="AO278" s="25"/>
      <c r="AQ278" s="25"/>
      <c r="AS278" s="25"/>
      <c r="AT278" s="26"/>
      <c r="AU278" s="25"/>
    </row>
    <row r="279" spans="1:47" x14ac:dyDescent="0.2">
      <c r="B279" s="3" t="s">
        <v>16</v>
      </c>
      <c r="C279" s="17">
        <v>0</v>
      </c>
      <c r="D279" s="17"/>
      <c r="E279" s="17">
        <v>0</v>
      </c>
      <c r="F279" s="17"/>
      <c r="G279" s="17">
        <v>0</v>
      </c>
      <c r="H279" s="17"/>
      <c r="I279" s="17">
        <v>0</v>
      </c>
      <c r="J279" s="17"/>
      <c r="K279" s="17">
        <v>0</v>
      </c>
      <c r="L279" s="17"/>
      <c r="M279" s="17">
        <v>0</v>
      </c>
      <c r="N279" s="17"/>
      <c r="O279" s="17">
        <v>0</v>
      </c>
      <c r="P279" s="17"/>
      <c r="Q279" s="17">
        <v>0</v>
      </c>
      <c r="R279" s="26"/>
      <c r="S279" s="17">
        <v>0</v>
      </c>
      <c r="T279" s="26"/>
      <c r="U279" s="17">
        <v>0</v>
      </c>
      <c r="V279" s="26"/>
      <c r="W279" s="17">
        <v>0</v>
      </c>
      <c r="X279" s="26"/>
      <c r="Y279" s="17">
        <v>0</v>
      </c>
      <c r="Z279" s="26"/>
      <c r="AA279" s="17">
        <v>0</v>
      </c>
      <c r="AB279" s="26"/>
      <c r="AC279" s="17">
        <v>0</v>
      </c>
      <c r="AD279" s="26"/>
      <c r="AE279" s="17">
        <v>0</v>
      </c>
      <c r="AF279" s="17">
        <v>0</v>
      </c>
      <c r="AG279" s="17">
        <v>0</v>
      </c>
      <c r="AH279" s="26"/>
      <c r="AI279" s="14">
        <f t="shared" si="80"/>
        <v>0</v>
      </c>
      <c r="AJ279" s="59"/>
      <c r="AK279" s="25"/>
      <c r="AM279" s="25"/>
      <c r="AO279" s="25"/>
      <c r="AQ279" s="25"/>
      <c r="AS279" s="25"/>
      <c r="AT279" s="26"/>
      <c r="AU279" s="25"/>
    </row>
    <row r="280" spans="1:47" x14ac:dyDescent="0.2">
      <c r="B280" s="3" t="s">
        <v>17</v>
      </c>
      <c r="C280" s="17">
        <v>0</v>
      </c>
      <c r="D280" s="17"/>
      <c r="E280" s="17">
        <v>0</v>
      </c>
      <c r="F280" s="17"/>
      <c r="G280" s="17">
        <v>0</v>
      </c>
      <c r="H280" s="17"/>
      <c r="I280" s="17">
        <v>0</v>
      </c>
      <c r="J280" s="17"/>
      <c r="K280" s="17">
        <v>0</v>
      </c>
      <c r="L280" s="17"/>
      <c r="M280" s="17">
        <v>0</v>
      </c>
      <c r="N280" s="17"/>
      <c r="O280" s="17">
        <v>0</v>
      </c>
      <c r="P280" s="17"/>
      <c r="Q280" s="17">
        <v>0</v>
      </c>
      <c r="R280" s="26"/>
      <c r="S280" s="17">
        <v>0</v>
      </c>
      <c r="T280" s="26"/>
      <c r="U280" s="17">
        <v>0</v>
      </c>
      <c r="V280" s="26"/>
      <c r="W280" s="17">
        <v>0</v>
      </c>
      <c r="X280" s="26"/>
      <c r="Y280" s="17">
        <v>0</v>
      </c>
      <c r="Z280" s="26"/>
      <c r="AA280" s="17">
        <v>0</v>
      </c>
      <c r="AB280" s="26"/>
      <c r="AC280" s="17">
        <v>0</v>
      </c>
      <c r="AD280" s="26"/>
      <c r="AE280" s="17">
        <v>0</v>
      </c>
      <c r="AF280" s="17">
        <v>0</v>
      </c>
      <c r="AG280" s="17">
        <v>0</v>
      </c>
      <c r="AH280" s="26"/>
      <c r="AI280" s="14">
        <f t="shared" si="80"/>
        <v>0</v>
      </c>
      <c r="AJ280" s="59"/>
      <c r="AK280" s="25"/>
      <c r="AM280" s="25"/>
      <c r="AO280" s="25"/>
      <c r="AQ280" s="25"/>
      <c r="AS280" s="25"/>
      <c r="AT280" s="26"/>
      <c r="AU280" s="25"/>
    </row>
    <row r="281" spans="1:47" x14ac:dyDescent="0.2">
      <c r="B281" s="3" t="s">
        <v>18</v>
      </c>
      <c r="C281" s="17">
        <v>0</v>
      </c>
      <c r="D281" s="17"/>
      <c r="E281" s="17">
        <v>-3283.38</v>
      </c>
      <c r="F281" s="17"/>
      <c r="G281" s="17">
        <v>0</v>
      </c>
      <c r="H281" s="17"/>
      <c r="I281" s="17">
        <v>0</v>
      </c>
      <c r="J281" s="17"/>
      <c r="K281" s="17">
        <v>0</v>
      </c>
      <c r="L281" s="17"/>
      <c r="M281" s="17">
        <v>0</v>
      </c>
      <c r="N281" s="17"/>
      <c r="O281" s="17">
        <v>0</v>
      </c>
      <c r="P281" s="17"/>
      <c r="Q281" s="17">
        <v>0</v>
      </c>
      <c r="R281" s="26"/>
      <c r="S281" s="17">
        <v>0</v>
      </c>
      <c r="T281" s="26"/>
      <c r="U281" s="17">
        <v>727.38</v>
      </c>
      <c r="V281" s="26"/>
      <c r="W281" s="17">
        <v>0</v>
      </c>
      <c r="X281" s="26"/>
      <c r="Y281" s="17">
        <v>-41398.69</v>
      </c>
      <c r="Z281" s="26"/>
      <c r="AA281" s="17">
        <v>-190.14</v>
      </c>
      <c r="AB281" s="26"/>
      <c r="AC281" s="17">
        <v>0</v>
      </c>
      <c r="AD281" s="26"/>
      <c r="AE281" s="17">
        <v>0</v>
      </c>
      <c r="AF281" s="17">
        <v>0</v>
      </c>
      <c r="AG281" s="17">
        <v>0</v>
      </c>
      <c r="AH281" s="26"/>
      <c r="AI281" s="14">
        <f>SUM(C281:AG281)</f>
        <v>-44144.83</v>
      </c>
      <c r="AJ281" s="59"/>
      <c r="AK281" s="25"/>
      <c r="AM281" s="25"/>
      <c r="AO281" s="25"/>
      <c r="AQ281" s="25"/>
      <c r="AS281" s="25"/>
      <c r="AT281" s="26"/>
      <c r="AU281" s="25"/>
    </row>
    <row r="282" spans="1:47" x14ac:dyDescent="0.2">
      <c r="B282" s="3" t="s">
        <v>29</v>
      </c>
      <c r="C282" s="16">
        <v>0</v>
      </c>
      <c r="D282" s="17"/>
      <c r="E282" s="16">
        <v>0</v>
      </c>
      <c r="F282" s="17"/>
      <c r="G282" s="16">
        <v>0</v>
      </c>
      <c r="H282" s="17"/>
      <c r="I282" s="16">
        <v>0</v>
      </c>
      <c r="J282" s="17"/>
      <c r="K282" s="16">
        <v>0</v>
      </c>
      <c r="L282" s="17"/>
      <c r="M282" s="16">
        <v>0</v>
      </c>
      <c r="N282" s="17"/>
      <c r="O282" s="16">
        <v>0</v>
      </c>
      <c r="P282" s="17"/>
      <c r="Q282" s="16">
        <v>0</v>
      </c>
      <c r="R282" s="26"/>
      <c r="S282" s="16">
        <v>0</v>
      </c>
      <c r="T282" s="26"/>
      <c r="U282" s="16">
        <v>0</v>
      </c>
      <c r="V282" s="26"/>
      <c r="W282" s="16">
        <v>0</v>
      </c>
      <c r="X282" s="26"/>
      <c r="Y282" s="16">
        <v>0</v>
      </c>
      <c r="Z282" s="26"/>
      <c r="AA282" s="16">
        <v>0</v>
      </c>
      <c r="AB282" s="26"/>
      <c r="AC282" s="16">
        <v>0</v>
      </c>
      <c r="AD282" s="26"/>
      <c r="AE282" s="16">
        <v>0</v>
      </c>
      <c r="AF282" s="16">
        <v>0</v>
      </c>
      <c r="AG282" s="16">
        <v>0</v>
      </c>
      <c r="AH282" s="26"/>
      <c r="AI282" s="16">
        <f t="shared" si="80"/>
        <v>0</v>
      </c>
      <c r="AJ282" s="59"/>
      <c r="AK282" s="25"/>
      <c r="AM282" s="25"/>
      <c r="AO282" s="25"/>
      <c r="AQ282" s="25"/>
      <c r="AS282" s="25"/>
      <c r="AT282" s="26"/>
      <c r="AU282" s="25"/>
    </row>
    <row r="283" spans="1:47" x14ac:dyDescent="0.2">
      <c r="B283" s="20"/>
      <c r="C283" s="17">
        <f>SUM(C276:C282)</f>
        <v>0</v>
      </c>
      <c r="D283" s="17"/>
      <c r="E283" s="17">
        <f>SUM(E276:E282)</f>
        <v>0</v>
      </c>
      <c r="F283" s="17"/>
      <c r="G283" s="17">
        <f>SUM(G276:G282)</f>
        <v>0</v>
      </c>
      <c r="H283" s="17"/>
      <c r="I283" s="17">
        <f>SUM(I276:I282)</f>
        <v>0</v>
      </c>
      <c r="J283" s="17"/>
      <c r="K283" s="17">
        <f>SUM(K276:K282)</f>
        <v>0</v>
      </c>
      <c r="L283" s="17"/>
      <c r="M283" s="17">
        <f>SUM(M276:M282)</f>
        <v>0</v>
      </c>
      <c r="N283" s="17"/>
      <c r="O283" s="17">
        <f>SUM(O276:O282)</f>
        <v>0</v>
      </c>
      <c r="P283" s="17"/>
      <c r="Q283" s="17">
        <f>SUM(Q276:Q282)</f>
        <v>0</v>
      </c>
      <c r="R283" s="26"/>
      <c r="S283" s="17">
        <f>SUM(S276:S282)</f>
        <v>0</v>
      </c>
      <c r="T283" s="26"/>
      <c r="U283" s="17">
        <f>SUM(U276:U282)</f>
        <v>0</v>
      </c>
      <c r="V283" s="26"/>
      <c r="W283" s="17">
        <f>SUM(W276:W282)</f>
        <v>0</v>
      </c>
      <c r="X283" s="26"/>
      <c r="Y283" s="17">
        <f>SUM(Y276:Y282)</f>
        <v>0</v>
      </c>
      <c r="Z283" s="26"/>
      <c r="AA283" s="17">
        <f>SUM(AA276:AA282)</f>
        <v>0</v>
      </c>
      <c r="AB283" s="26"/>
      <c r="AC283" s="17">
        <f>SUM(AC276:AC282)</f>
        <v>0</v>
      </c>
      <c r="AD283" s="26"/>
      <c r="AE283" s="17">
        <f>SUM(AE276:AE282)</f>
        <v>0</v>
      </c>
      <c r="AF283" s="17">
        <f>SUM(AF276:AF282)</f>
        <v>0</v>
      </c>
      <c r="AG283" s="17">
        <f>SUM(AG276:AG282)</f>
        <v>0</v>
      </c>
      <c r="AH283" s="26"/>
      <c r="AI283" s="17">
        <f>SUM(AI276:AI282)</f>
        <v>0</v>
      </c>
      <c r="AJ283" s="59"/>
      <c r="AK283" s="25"/>
      <c r="AM283" s="25"/>
      <c r="AO283" s="25"/>
      <c r="AQ283" s="25"/>
      <c r="AS283" s="25"/>
      <c r="AT283" s="26"/>
      <c r="AU283" s="25"/>
    </row>
    <row r="284" spans="1:47" x14ac:dyDescent="0.2"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59"/>
      <c r="AK284" s="25"/>
      <c r="AM284" s="25"/>
      <c r="AO284" s="25"/>
      <c r="AQ284" s="25"/>
      <c r="AS284" s="25"/>
      <c r="AT284" s="26"/>
      <c r="AU284" s="25"/>
    </row>
    <row r="285" spans="1:47" x14ac:dyDescent="0.2">
      <c r="A285" s="12" t="s">
        <v>52</v>
      </c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59"/>
      <c r="AK285" s="25"/>
      <c r="AM285" s="25"/>
      <c r="AO285" s="25"/>
      <c r="AQ285" s="25"/>
      <c r="AS285" s="25"/>
      <c r="AT285" s="26"/>
      <c r="AU285" s="25"/>
    </row>
    <row r="286" spans="1:47" x14ac:dyDescent="0.2">
      <c r="B286" s="3" t="s">
        <v>12</v>
      </c>
      <c r="C286" s="17">
        <v>0</v>
      </c>
      <c r="D286" s="17"/>
      <c r="E286" s="17">
        <v>0</v>
      </c>
      <c r="F286" s="17"/>
      <c r="G286" s="17">
        <v>0</v>
      </c>
      <c r="H286" s="17"/>
      <c r="I286" s="17">
        <v>0</v>
      </c>
      <c r="J286" s="17"/>
      <c r="K286" s="17"/>
      <c r="L286" s="17"/>
      <c r="M286" s="17">
        <v>0</v>
      </c>
      <c r="N286" s="17"/>
      <c r="O286" s="17">
        <v>0</v>
      </c>
      <c r="P286" s="17"/>
      <c r="Q286" s="17">
        <v>0</v>
      </c>
      <c r="R286" s="26"/>
      <c r="S286" s="17">
        <v>0</v>
      </c>
      <c r="T286" s="26"/>
      <c r="U286" s="17">
        <v>0</v>
      </c>
      <c r="V286" s="26"/>
      <c r="W286" s="17">
        <v>0</v>
      </c>
      <c r="X286" s="26"/>
      <c r="Y286" s="17">
        <v>0</v>
      </c>
      <c r="Z286" s="26"/>
      <c r="AA286" s="17">
        <v>0</v>
      </c>
      <c r="AB286" s="26"/>
      <c r="AC286" s="17">
        <v>0</v>
      </c>
      <c r="AD286" s="26"/>
      <c r="AE286" s="17">
        <v>0</v>
      </c>
      <c r="AF286" s="17">
        <v>0</v>
      </c>
      <c r="AG286" s="17">
        <v>0</v>
      </c>
      <c r="AH286" s="26"/>
      <c r="AI286" s="14">
        <f t="shared" ref="AI286:AI292" si="81">SUM(C286:AE286)</f>
        <v>0</v>
      </c>
      <c r="AJ286" s="59"/>
      <c r="AK286" s="25"/>
      <c r="AM286" s="25"/>
      <c r="AO286" s="25"/>
      <c r="AQ286" s="25"/>
      <c r="AS286" s="25"/>
      <c r="AT286" s="26"/>
      <c r="AU286" s="25"/>
    </row>
    <row r="287" spans="1:47" x14ac:dyDescent="0.2">
      <c r="B287" s="3" t="s">
        <v>13</v>
      </c>
      <c r="C287" s="17">
        <v>0</v>
      </c>
      <c r="D287" s="17"/>
      <c r="E287" s="17">
        <v>0</v>
      </c>
      <c r="F287" s="17"/>
      <c r="G287" s="17">
        <v>0</v>
      </c>
      <c r="H287" s="17"/>
      <c r="I287" s="17">
        <v>0</v>
      </c>
      <c r="J287" s="17"/>
      <c r="K287" s="17">
        <v>0</v>
      </c>
      <c r="L287" s="17"/>
      <c r="M287" s="17">
        <v>0</v>
      </c>
      <c r="N287" s="17"/>
      <c r="O287" s="17">
        <v>0</v>
      </c>
      <c r="P287" s="17"/>
      <c r="Q287" s="17">
        <v>0</v>
      </c>
      <c r="R287" s="26"/>
      <c r="S287" s="17">
        <v>0</v>
      </c>
      <c r="T287" s="26"/>
      <c r="U287" s="17">
        <v>0</v>
      </c>
      <c r="V287" s="26"/>
      <c r="W287" s="17">
        <v>0</v>
      </c>
      <c r="X287" s="26"/>
      <c r="Y287" s="17">
        <v>0</v>
      </c>
      <c r="Z287" s="26"/>
      <c r="AA287" s="17">
        <v>0</v>
      </c>
      <c r="AB287" s="26"/>
      <c r="AC287" s="17">
        <v>0</v>
      </c>
      <c r="AD287" s="26"/>
      <c r="AE287" s="17">
        <v>0</v>
      </c>
      <c r="AF287" s="17">
        <v>0</v>
      </c>
      <c r="AG287" s="17">
        <v>0</v>
      </c>
      <c r="AH287" s="26"/>
      <c r="AI287" s="14">
        <f t="shared" si="81"/>
        <v>0</v>
      </c>
      <c r="AJ287" s="59"/>
      <c r="AK287" s="25"/>
      <c r="AM287" s="25"/>
      <c r="AO287" s="25"/>
      <c r="AQ287" s="25"/>
      <c r="AS287" s="25"/>
      <c r="AT287" s="26"/>
      <c r="AU287" s="25"/>
    </row>
    <row r="288" spans="1:47" x14ac:dyDescent="0.2">
      <c r="B288" s="3" t="s">
        <v>14</v>
      </c>
      <c r="C288" s="17">
        <v>0</v>
      </c>
      <c r="D288" s="17"/>
      <c r="E288" s="17">
        <v>0</v>
      </c>
      <c r="F288" s="17"/>
      <c r="G288" s="17">
        <v>0</v>
      </c>
      <c r="H288" s="17"/>
      <c r="I288" s="17">
        <v>0</v>
      </c>
      <c r="J288" s="17"/>
      <c r="K288" s="17"/>
      <c r="L288" s="17"/>
      <c r="M288" s="17">
        <v>0</v>
      </c>
      <c r="N288" s="17"/>
      <c r="O288" s="17">
        <v>0</v>
      </c>
      <c r="P288" s="17"/>
      <c r="Q288" s="17">
        <v>0</v>
      </c>
      <c r="R288" s="26"/>
      <c r="S288" s="17">
        <v>0</v>
      </c>
      <c r="T288" s="26"/>
      <c r="U288" s="17">
        <v>0</v>
      </c>
      <c r="V288" s="26"/>
      <c r="W288" s="17">
        <v>0</v>
      </c>
      <c r="X288" s="26"/>
      <c r="Y288" s="17">
        <v>0</v>
      </c>
      <c r="Z288" s="26"/>
      <c r="AA288" s="17">
        <v>0</v>
      </c>
      <c r="AB288" s="26"/>
      <c r="AC288" s="17">
        <v>0</v>
      </c>
      <c r="AD288" s="26"/>
      <c r="AE288" s="17">
        <v>0</v>
      </c>
      <c r="AF288" s="17">
        <v>0</v>
      </c>
      <c r="AG288" s="17">
        <v>0</v>
      </c>
      <c r="AH288" s="26"/>
      <c r="AI288" s="14">
        <f t="shared" si="81"/>
        <v>0</v>
      </c>
      <c r="AJ288" s="59"/>
      <c r="AK288" s="25"/>
      <c r="AM288" s="25"/>
      <c r="AO288" s="25"/>
      <c r="AQ288" s="25"/>
      <c r="AS288" s="25"/>
      <c r="AT288" s="26"/>
      <c r="AU288" s="25"/>
    </row>
    <row r="289" spans="1:47" x14ac:dyDescent="0.2">
      <c r="B289" s="3" t="s">
        <v>16</v>
      </c>
      <c r="C289" s="17">
        <v>0</v>
      </c>
      <c r="D289" s="17"/>
      <c r="E289" s="17">
        <v>0</v>
      </c>
      <c r="F289" s="17"/>
      <c r="G289" s="17">
        <v>0</v>
      </c>
      <c r="H289" s="17"/>
      <c r="I289" s="17">
        <v>0</v>
      </c>
      <c r="J289" s="17"/>
      <c r="K289" s="17">
        <v>0</v>
      </c>
      <c r="L289" s="17"/>
      <c r="M289" s="17">
        <v>0</v>
      </c>
      <c r="N289" s="17"/>
      <c r="O289" s="17">
        <v>0</v>
      </c>
      <c r="P289" s="17"/>
      <c r="Q289" s="17">
        <v>0</v>
      </c>
      <c r="R289" s="26"/>
      <c r="S289" s="17">
        <v>0</v>
      </c>
      <c r="T289" s="26"/>
      <c r="U289" s="17">
        <v>0</v>
      </c>
      <c r="V289" s="26"/>
      <c r="W289" s="17">
        <v>0</v>
      </c>
      <c r="X289" s="26"/>
      <c r="Y289" s="17">
        <v>0</v>
      </c>
      <c r="Z289" s="26"/>
      <c r="AA289" s="17">
        <v>0</v>
      </c>
      <c r="AB289" s="26"/>
      <c r="AC289" s="17">
        <v>0</v>
      </c>
      <c r="AD289" s="26"/>
      <c r="AE289" s="17">
        <v>0</v>
      </c>
      <c r="AF289" s="17">
        <v>0</v>
      </c>
      <c r="AG289" s="17">
        <v>0</v>
      </c>
      <c r="AH289" s="26"/>
      <c r="AI289" s="14">
        <f t="shared" si="81"/>
        <v>0</v>
      </c>
      <c r="AJ289" s="59"/>
      <c r="AK289" s="25"/>
      <c r="AM289" s="25"/>
      <c r="AO289" s="25"/>
      <c r="AQ289" s="25"/>
      <c r="AS289" s="25"/>
      <c r="AT289" s="26"/>
      <c r="AU289" s="25"/>
    </row>
    <row r="290" spans="1:47" x14ac:dyDescent="0.2">
      <c r="B290" s="3" t="s">
        <v>17</v>
      </c>
      <c r="C290" s="17">
        <v>0</v>
      </c>
      <c r="D290" s="17"/>
      <c r="E290" s="17">
        <v>0</v>
      </c>
      <c r="F290" s="17"/>
      <c r="G290" s="17">
        <v>0</v>
      </c>
      <c r="H290" s="17"/>
      <c r="I290" s="17">
        <v>0</v>
      </c>
      <c r="J290" s="17"/>
      <c r="K290" s="17">
        <v>0</v>
      </c>
      <c r="L290" s="17"/>
      <c r="M290" s="17">
        <v>0</v>
      </c>
      <c r="N290" s="17"/>
      <c r="O290" s="17">
        <v>0</v>
      </c>
      <c r="P290" s="17"/>
      <c r="Q290" s="17">
        <v>0</v>
      </c>
      <c r="R290" s="26"/>
      <c r="S290" s="17">
        <v>0</v>
      </c>
      <c r="T290" s="26"/>
      <c r="U290" s="17">
        <v>0</v>
      </c>
      <c r="V290" s="26"/>
      <c r="W290" s="17">
        <v>0</v>
      </c>
      <c r="X290" s="26"/>
      <c r="Y290" s="17">
        <v>0</v>
      </c>
      <c r="Z290" s="26"/>
      <c r="AA290" s="17">
        <v>0</v>
      </c>
      <c r="AB290" s="26"/>
      <c r="AC290" s="17">
        <v>0</v>
      </c>
      <c r="AD290" s="26"/>
      <c r="AE290" s="17">
        <v>0</v>
      </c>
      <c r="AF290" s="17">
        <v>0</v>
      </c>
      <c r="AG290" s="17">
        <v>0</v>
      </c>
      <c r="AH290" s="26"/>
      <c r="AI290" s="14">
        <f t="shared" si="81"/>
        <v>0</v>
      </c>
      <c r="AJ290" s="59"/>
      <c r="AK290" s="25"/>
      <c r="AM290" s="25"/>
      <c r="AO290" s="25"/>
      <c r="AQ290" s="25"/>
      <c r="AS290" s="25"/>
      <c r="AT290" s="26"/>
      <c r="AU290" s="25"/>
    </row>
    <row r="291" spans="1:47" x14ac:dyDescent="0.2">
      <c r="B291" s="3" t="s">
        <v>18</v>
      </c>
      <c r="C291" s="17">
        <v>0</v>
      </c>
      <c r="D291" s="17"/>
      <c r="E291" s="17">
        <v>0</v>
      </c>
      <c r="F291" s="17"/>
      <c r="G291" s="17">
        <v>0</v>
      </c>
      <c r="H291" s="17"/>
      <c r="I291" s="17">
        <v>0</v>
      </c>
      <c r="J291" s="17"/>
      <c r="K291" s="17">
        <v>0</v>
      </c>
      <c r="L291" s="17"/>
      <c r="M291" s="17">
        <v>0</v>
      </c>
      <c r="N291" s="17"/>
      <c r="O291" s="17">
        <v>0</v>
      </c>
      <c r="P291" s="17"/>
      <c r="Q291" s="17">
        <v>0</v>
      </c>
      <c r="R291" s="26"/>
      <c r="S291" s="17">
        <v>0</v>
      </c>
      <c r="T291" s="26"/>
      <c r="U291" s="17">
        <v>0</v>
      </c>
      <c r="V291" s="26"/>
      <c r="W291" s="17">
        <v>0</v>
      </c>
      <c r="X291" s="26"/>
      <c r="Y291" s="17">
        <v>0</v>
      </c>
      <c r="Z291" s="26"/>
      <c r="AA291" s="17">
        <v>0</v>
      </c>
      <c r="AB291" s="26"/>
      <c r="AC291" s="17">
        <v>0</v>
      </c>
      <c r="AD291" s="26"/>
      <c r="AE291" s="17">
        <v>0</v>
      </c>
      <c r="AF291" s="17">
        <v>0</v>
      </c>
      <c r="AG291" s="17">
        <v>0</v>
      </c>
      <c r="AH291" s="26"/>
      <c r="AI291" s="14">
        <f t="shared" si="81"/>
        <v>0</v>
      </c>
      <c r="AJ291" s="59"/>
      <c r="AK291" s="25"/>
      <c r="AM291" s="25"/>
      <c r="AO291" s="25"/>
      <c r="AQ291" s="25"/>
      <c r="AS291" s="25"/>
      <c r="AT291" s="26"/>
      <c r="AU291" s="25"/>
    </row>
    <row r="292" spans="1:47" x14ac:dyDescent="0.2">
      <c r="B292" s="3" t="s">
        <v>29</v>
      </c>
      <c r="C292" s="16">
        <v>0</v>
      </c>
      <c r="D292" s="17"/>
      <c r="E292" s="16">
        <v>0</v>
      </c>
      <c r="F292" s="17"/>
      <c r="G292" s="16">
        <v>0</v>
      </c>
      <c r="H292" s="17"/>
      <c r="I292" s="16">
        <v>0</v>
      </c>
      <c r="J292" s="17"/>
      <c r="K292" s="16">
        <v>0</v>
      </c>
      <c r="L292" s="17"/>
      <c r="M292" s="16">
        <v>0</v>
      </c>
      <c r="N292" s="17"/>
      <c r="O292" s="16">
        <v>0</v>
      </c>
      <c r="P292" s="17"/>
      <c r="Q292" s="16">
        <v>0</v>
      </c>
      <c r="R292" s="26"/>
      <c r="S292" s="16">
        <v>0</v>
      </c>
      <c r="T292" s="26"/>
      <c r="U292" s="16">
        <v>0</v>
      </c>
      <c r="V292" s="26"/>
      <c r="W292" s="16">
        <v>0</v>
      </c>
      <c r="X292" s="26"/>
      <c r="Y292" s="16">
        <v>0</v>
      </c>
      <c r="Z292" s="26"/>
      <c r="AA292" s="16">
        <v>0</v>
      </c>
      <c r="AB292" s="26"/>
      <c r="AC292" s="16">
        <v>0</v>
      </c>
      <c r="AD292" s="26"/>
      <c r="AE292" s="16">
        <v>0</v>
      </c>
      <c r="AF292" s="16">
        <v>0</v>
      </c>
      <c r="AG292" s="16">
        <v>0</v>
      </c>
      <c r="AH292" s="26"/>
      <c r="AI292" s="16">
        <f t="shared" si="81"/>
        <v>0</v>
      </c>
      <c r="AJ292" s="59"/>
      <c r="AK292" s="25"/>
      <c r="AM292" s="25"/>
      <c r="AO292" s="25"/>
      <c r="AQ292" s="25"/>
      <c r="AS292" s="25"/>
      <c r="AT292" s="26"/>
      <c r="AU292" s="25"/>
    </row>
    <row r="293" spans="1:47" x14ac:dyDescent="0.2">
      <c r="B293" s="20"/>
      <c r="C293" s="17">
        <f>SUM(C286:C292)</f>
        <v>0</v>
      </c>
      <c r="D293" s="17"/>
      <c r="E293" s="17">
        <f>SUM(E286:E292)</f>
        <v>0</v>
      </c>
      <c r="F293" s="17"/>
      <c r="G293" s="17">
        <f>SUM(G286:G292)</f>
        <v>0</v>
      </c>
      <c r="H293" s="17"/>
      <c r="I293" s="17">
        <f>SUM(I286:I292)</f>
        <v>0</v>
      </c>
      <c r="J293" s="17"/>
      <c r="K293" s="17">
        <f>SUM(K286:K292)</f>
        <v>0</v>
      </c>
      <c r="L293" s="17"/>
      <c r="M293" s="17">
        <f>SUM(M286:M292)</f>
        <v>0</v>
      </c>
      <c r="N293" s="17"/>
      <c r="O293" s="17">
        <f>SUM(O286:O292)</f>
        <v>0</v>
      </c>
      <c r="P293" s="17"/>
      <c r="Q293" s="17">
        <f>SUM(Q286:Q292)</f>
        <v>0</v>
      </c>
      <c r="R293" s="26"/>
      <c r="S293" s="17">
        <f>SUM(S286:S292)</f>
        <v>0</v>
      </c>
      <c r="T293" s="26"/>
      <c r="U293" s="17">
        <f>SUM(U286:U292)</f>
        <v>0</v>
      </c>
      <c r="V293" s="26"/>
      <c r="W293" s="17">
        <f>SUM(W286:W292)</f>
        <v>0</v>
      </c>
      <c r="X293" s="26"/>
      <c r="Y293" s="17">
        <f>SUM(Y286:Y292)</f>
        <v>0</v>
      </c>
      <c r="Z293" s="26"/>
      <c r="AA293" s="17">
        <f>SUM(AA286:AA292)</f>
        <v>0</v>
      </c>
      <c r="AB293" s="26"/>
      <c r="AC293" s="17">
        <f>SUM(AC286:AC292)</f>
        <v>0</v>
      </c>
      <c r="AD293" s="26"/>
      <c r="AE293" s="17">
        <f>SUM(AE286:AE292)</f>
        <v>0</v>
      </c>
      <c r="AF293" s="17">
        <f>SUM(AF286:AF292)</f>
        <v>0</v>
      </c>
      <c r="AG293" s="17">
        <f>SUM(AG286:AG292)</f>
        <v>0</v>
      </c>
      <c r="AH293" s="26"/>
      <c r="AI293" s="17">
        <f>SUM(AI286:AI292)</f>
        <v>0</v>
      </c>
      <c r="AJ293" s="59"/>
      <c r="AK293" s="25"/>
      <c r="AM293" s="25"/>
      <c r="AO293" s="25"/>
      <c r="AQ293" s="25"/>
      <c r="AS293" s="25"/>
      <c r="AT293" s="26"/>
      <c r="AU293" s="25"/>
    </row>
    <row r="294" spans="1:47" x14ac:dyDescent="0.2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K294" s="25"/>
      <c r="AM294" s="25"/>
      <c r="AO294" s="25"/>
      <c r="AQ294" s="25"/>
      <c r="AS294" s="25"/>
      <c r="AT294" s="19"/>
      <c r="AU294" s="25"/>
    </row>
    <row r="295" spans="1:47" x14ac:dyDescent="0.2">
      <c r="A295" s="12" t="s">
        <v>53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K295" s="25"/>
      <c r="AM295" s="25"/>
      <c r="AO295" s="25"/>
      <c r="AQ295" s="25"/>
      <c r="AS295" s="25"/>
      <c r="AT295" s="19"/>
      <c r="AU295" s="25"/>
    </row>
    <row r="296" spans="1:47" x14ac:dyDescent="0.2">
      <c r="A296" s="12"/>
      <c r="B296" s="3" t="s">
        <v>12</v>
      </c>
      <c r="C296" s="19">
        <f>C261+C276+C286</f>
        <v>0</v>
      </c>
      <c r="D296" s="19"/>
      <c r="E296" s="19">
        <f>E261+E276+E286</f>
        <v>15852.23</v>
      </c>
      <c r="F296" s="19"/>
      <c r="G296" s="19">
        <f>G261+G276+G286</f>
        <v>0</v>
      </c>
      <c r="H296" s="19"/>
      <c r="I296" s="19">
        <f>I261+I276+I286</f>
        <v>0</v>
      </c>
      <c r="J296" s="19"/>
      <c r="K296" s="19">
        <f>K261+K276+K286</f>
        <v>-14378.77</v>
      </c>
      <c r="L296" s="19"/>
      <c r="M296" s="19">
        <f>M261+M276+M286</f>
        <v>0</v>
      </c>
      <c r="N296" s="19"/>
      <c r="O296" s="19">
        <f>O261+O276+O286</f>
        <v>0</v>
      </c>
      <c r="P296" s="19"/>
      <c r="Q296" s="19">
        <f>Q261+Q276+Q286</f>
        <v>0</v>
      </c>
      <c r="R296" s="19"/>
      <c r="S296" s="19">
        <f>S261+S276+S286</f>
        <v>0</v>
      </c>
      <c r="T296" s="19"/>
      <c r="U296" s="19">
        <f>U261+U276+U286</f>
        <v>-3138.86</v>
      </c>
      <c r="V296" s="19"/>
      <c r="W296" s="19">
        <f>W261+W276+W286</f>
        <v>0</v>
      </c>
      <c r="X296" s="19"/>
      <c r="Y296" s="19">
        <f>Y261+Y276+Y286</f>
        <v>152204.18</v>
      </c>
      <c r="Z296" s="19"/>
      <c r="AA296" s="19">
        <f>AA261+AA276+AA286</f>
        <v>2674.5499999999997</v>
      </c>
      <c r="AB296" s="19"/>
      <c r="AC296" s="19">
        <f>AC261+AC276+AC286</f>
        <v>0</v>
      </c>
      <c r="AD296" s="19"/>
      <c r="AE296" s="19">
        <f>AE261+AE276+AE286</f>
        <v>0</v>
      </c>
      <c r="AF296" s="19">
        <f>AF261+AF276+AF286</f>
        <v>0</v>
      </c>
      <c r="AG296" s="19">
        <f>AG261+AG276+AG286</f>
        <v>0</v>
      </c>
      <c r="AH296" s="19"/>
      <c r="AI296" s="14">
        <f>SUM(C296:AG296)</f>
        <v>153213.32999999999</v>
      </c>
      <c r="AK296" s="25"/>
      <c r="AM296" s="25"/>
      <c r="AO296" s="25"/>
      <c r="AQ296" s="25"/>
      <c r="AS296" s="25"/>
      <c r="AT296" s="19"/>
      <c r="AU296" s="25"/>
    </row>
    <row r="297" spans="1:47" x14ac:dyDescent="0.2">
      <c r="A297" s="12"/>
      <c r="B297" s="3" t="s">
        <v>46</v>
      </c>
      <c r="C297" s="19">
        <f>C262</f>
        <v>0</v>
      </c>
      <c r="D297" s="19"/>
      <c r="E297" s="19">
        <f>E262</f>
        <v>0</v>
      </c>
      <c r="F297" s="19"/>
      <c r="G297" s="19">
        <f>G262</f>
        <v>0</v>
      </c>
      <c r="H297" s="19"/>
      <c r="I297" s="19">
        <f>I262</f>
        <v>0</v>
      </c>
      <c r="J297" s="19"/>
      <c r="K297" s="19">
        <f>K262</f>
        <v>0</v>
      </c>
      <c r="L297" s="19"/>
      <c r="M297" s="19">
        <f>M262</f>
        <v>0</v>
      </c>
      <c r="N297" s="19"/>
      <c r="O297" s="19">
        <f>O262</f>
        <v>0</v>
      </c>
      <c r="P297" s="19"/>
      <c r="Q297" s="19">
        <f>Q262</f>
        <v>0</v>
      </c>
      <c r="R297" s="19"/>
      <c r="S297" s="19">
        <f>S262</f>
        <v>0</v>
      </c>
      <c r="T297" s="19"/>
      <c r="U297" s="19">
        <f>U262</f>
        <v>0</v>
      </c>
      <c r="V297" s="19"/>
      <c r="W297" s="19">
        <f>W262</f>
        <v>0</v>
      </c>
      <c r="X297" s="19"/>
      <c r="Y297" s="19">
        <f>Y262</f>
        <v>0</v>
      </c>
      <c r="Z297" s="19"/>
      <c r="AA297" s="19">
        <f>AA262</f>
        <v>0</v>
      </c>
      <c r="AB297" s="19"/>
      <c r="AC297" s="19">
        <f>AC262</f>
        <v>0</v>
      </c>
      <c r="AD297" s="19"/>
      <c r="AE297" s="19">
        <f>AE262</f>
        <v>0</v>
      </c>
      <c r="AF297" s="19">
        <f>AF262</f>
        <v>0</v>
      </c>
      <c r="AG297" s="19">
        <f>AG262</f>
        <v>0</v>
      </c>
      <c r="AH297" s="19"/>
      <c r="AI297" s="14">
        <f t="shared" ref="AI297:AI307" si="82">SUM(C297:AG297)</f>
        <v>0</v>
      </c>
      <c r="AK297" s="25"/>
      <c r="AM297" s="25"/>
      <c r="AO297" s="25"/>
      <c r="AQ297" s="25"/>
      <c r="AS297" s="25"/>
      <c r="AT297" s="19"/>
      <c r="AU297" s="25"/>
    </row>
    <row r="298" spans="1:47" x14ac:dyDescent="0.2">
      <c r="A298" s="12"/>
      <c r="B298" s="3" t="s">
        <v>13</v>
      </c>
      <c r="C298" s="19">
        <f>C263+C277+C287</f>
        <v>0</v>
      </c>
      <c r="D298" s="19"/>
      <c r="E298" s="19">
        <f>E263+E277+E287</f>
        <v>0</v>
      </c>
      <c r="F298" s="19"/>
      <c r="G298" s="19">
        <f>G263+G277+G287</f>
        <v>0</v>
      </c>
      <c r="H298" s="19"/>
      <c r="I298" s="19">
        <f>I263+I277+I287</f>
        <v>-13259.09</v>
      </c>
      <c r="J298" s="19"/>
      <c r="K298" s="19">
        <f>K263+K277+K287</f>
        <v>0</v>
      </c>
      <c r="L298" s="19"/>
      <c r="M298" s="19">
        <f>M263+M277+M287</f>
        <v>0</v>
      </c>
      <c r="N298" s="19"/>
      <c r="O298" s="19">
        <f>O263+O277+O287</f>
        <v>0</v>
      </c>
      <c r="P298" s="19"/>
      <c r="Q298" s="19">
        <f>Q263+Q277+Q287</f>
        <v>0</v>
      </c>
      <c r="R298" s="19"/>
      <c r="S298" s="19">
        <f>S263+S277+S287</f>
        <v>0</v>
      </c>
      <c r="T298" s="19"/>
      <c r="U298" s="19">
        <f>U263+U277+U287</f>
        <v>0</v>
      </c>
      <c r="V298" s="19"/>
      <c r="W298" s="19">
        <f>W263+W277+W287</f>
        <v>0</v>
      </c>
      <c r="X298" s="19"/>
      <c r="Y298" s="19">
        <f>Y263+Y277+Y287</f>
        <v>0</v>
      </c>
      <c r="Z298" s="19"/>
      <c r="AA298" s="19">
        <f>AA263+AA277+AA287</f>
        <v>0</v>
      </c>
      <c r="AB298" s="19"/>
      <c r="AC298" s="19">
        <f>AC263+AC277+AC287</f>
        <v>0</v>
      </c>
      <c r="AD298" s="19"/>
      <c r="AE298" s="19">
        <f t="shared" ref="AE298:AG299" si="83">AE263+AE277+AE287</f>
        <v>0</v>
      </c>
      <c r="AF298" s="19">
        <f t="shared" si="83"/>
        <v>0</v>
      </c>
      <c r="AG298" s="19">
        <f>AG263+AG277+AG287</f>
        <v>0</v>
      </c>
      <c r="AH298" s="19"/>
      <c r="AI298" s="14">
        <f t="shared" si="82"/>
        <v>-13259.09</v>
      </c>
      <c r="AK298" s="25"/>
      <c r="AM298" s="25"/>
      <c r="AO298" s="25"/>
      <c r="AQ298" s="25"/>
      <c r="AS298" s="25"/>
      <c r="AT298" s="19"/>
      <c r="AU298" s="25"/>
    </row>
    <row r="299" spans="1:47" x14ac:dyDescent="0.2">
      <c r="A299" s="12"/>
      <c r="B299" s="3" t="s">
        <v>14</v>
      </c>
      <c r="C299" s="19">
        <f>C264+C278+C288</f>
        <v>0</v>
      </c>
      <c r="D299" s="19"/>
      <c r="E299" s="19">
        <f>E264+E278+E288</f>
        <v>0</v>
      </c>
      <c r="F299" s="19"/>
      <c r="G299" s="19">
        <f>G264+G278+G288</f>
        <v>0</v>
      </c>
      <c r="H299" s="19"/>
      <c r="I299" s="19">
        <f>I264+I278+I288</f>
        <v>0</v>
      </c>
      <c r="J299" s="19"/>
      <c r="K299" s="19">
        <f>K264+K278+K288</f>
        <v>0</v>
      </c>
      <c r="L299" s="19"/>
      <c r="M299" s="19">
        <f>M264+M278+M288</f>
        <v>0</v>
      </c>
      <c r="N299" s="19"/>
      <c r="O299" s="19">
        <f>O264+O278+O288</f>
        <v>0</v>
      </c>
      <c r="P299" s="19"/>
      <c r="Q299" s="19">
        <f>Q264+Q278+Q288</f>
        <v>0</v>
      </c>
      <c r="R299" s="19"/>
      <c r="S299" s="19">
        <f>S264+S278+S288</f>
        <v>0</v>
      </c>
      <c r="T299" s="19"/>
      <c r="U299" s="19">
        <f>U264+U278+U288</f>
        <v>0</v>
      </c>
      <c r="V299" s="19"/>
      <c r="W299" s="19">
        <f>W264+W278+W288</f>
        <v>0</v>
      </c>
      <c r="X299" s="19"/>
      <c r="Y299" s="19">
        <f>Y264+Y278+Y288</f>
        <v>0</v>
      </c>
      <c r="Z299" s="19"/>
      <c r="AA299" s="19">
        <f>AA264+AA278+AA288</f>
        <v>0</v>
      </c>
      <c r="AB299" s="19"/>
      <c r="AC299" s="19">
        <f>AC264+AC278+AC288</f>
        <v>0</v>
      </c>
      <c r="AD299" s="19"/>
      <c r="AE299" s="19">
        <f t="shared" si="83"/>
        <v>0</v>
      </c>
      <c r="AF299" s="19">
        <f>AF264+AF278+AF288</f>
        <v>0</v>
      </c>
      <c r="AG299" s="19">
        <f t="shared" si="83"/>
        <v>0</v>
      </c>
      <c r="AH299" s="19"/>
      <c r="AI299" s="14">
        <f t="shared" si="82"/>
        <v>0</v>
      </c>
      <c r="AK299" s="25"/>
      <c r="AM299" s="25"/>
      <c r="AO299" s="25"/>
      <c r="AQ299" s="25"/>
      <c r="AS299" s="25"/>
      <c r="AT299" s="19"/>
      <c r="AU299" s="25"/>
    </row>
    <row r="300" spans="1:47" x14ac:dyDescent="0.2">
      <c r="A300" s="12"/>
      <c r="B300" s="3" t="s">
        <v>47</v>
      </c>
      <c r="C300" s="19">
        <f>C265</f>
        <v>0</v>
      </c>
      <c r="D300" s="19"/>
      <c r="E300" s="19">
        <f>E265</f>
        <v>0</v>
      </c>
      <c r="F300" s="19"/>
      <c r="G300" s="19">
        <f>G265</f>
        <v>0</v>
      </c>
      <c r="H300" s="19"/>
      <c r="I300" s="19">
        <f>I265</f>
        <v>0</v>
      </c>
      <c r="J300" s="19"/>
      <c r="K300" s="19">
        <f>K265</f>
        <v>0</v>
      </c>
      <c r="L300" s="19"/>
      <c r="M300" s="19">
        <f>M265</f>
        <v>0</v>
      </c>
      <c r="N300" s="19"/>
      <c r="O300" s="19">
        <f>O265</f>
        <v>0</v>
      </c>
      <c r="P300" s="19"/>
      <c r="Q300" s="19">
        <f>Q265</f>
        <v>0</v>
      </c>
      <c r="R300" s="19"/>
      <c r="S300" s="19">
        <f>S265</f>
        <v>0</v>
      </c>
      <c r="T300" s="19"/>
      <c r="U300" s="19">
        <f>U265</f>
        <v>0</v>
      </c>
      <c r="V300" s="19"/>
      <c r="W300" s="19">
        <f>W265</f>
        <v>0</v>
      </c>
      <c r="X300" s="19"/>
      <c r="Y300" s="19">
        <f>Y265</f>
        <v>0</v>
      </c>
      <c r="Z300" s="19"/>
      <c r="AA300" s="19">
        <f>AA265</f>
        <v>0</v>
      </c>
      <c r="AB300" s="19"/>
      <c r="AC300" s="19">
        <f>AC265</f>
        <v>0</v>
      </c>
      <c r="AD300" s="19"/>
      <c r="AE300" s="19">
        <f>AE265</f>
        <v>0</v>
      </c>
      <c r="AF300" s="19">
        <f>AF265</f>
        <v>0</v>
      </c>
      <c r="AG300" s="19">
        <f>AG265</f>
        <v>0</v>
      </c>
      <c r="AH300" s="19"/>
      <c r="AI300" s="14">
        <f t="shared" si="82"/>
        <v>0</v>
      </c>
      <c r="AK300" s="25"/>
      <c r="AM300" s="25"/>
      <c r="AO300" s="25"/>
      <c r="AQ300" s="25"/>
      <c r="AS300" s="25"/>
      <c r="AT300" s="19"/>
      <c r="AU300" s="25"/>
    </row>
    <row r="301" spans="1:47" x14ac:dyDescent="0.2">
      <c r="A301" s="12"/>
      <c r="B301" s="3" t="s">
        <v>16</v>
      </c>
      <c r="C301" s="19">
        <f>C266+C279+C289</f>
        <v>0</v>
      </c>
      <c r="D301" s="19"/>
      <c r="E301" s="19">
        <f>E266+E279+E289</f>
        <v>0</v>
      </c>
      <c r="F301" s="19"/>
      <c r="G301" s="19">
        <f>G266+G279+G289</f>
        <v>0</v>
      </c>
      <c r="H301" s="19"/>
      <c r="I301" s="19">
        <f>I266+I279+I289</f>
        <v>0</v>
      </c>
      <c r="J301" s="19"/>
      <c r="K301" s="19">
        <f>K266+K279+K289</f>
        <v>0</v>
      </c>
      <c r="L301" s="19"/>
      <c r="M301" s="19">
        <f>M266+M279+M289</f>
        <v>0</v>
      </c>
      <c r="N301" s="19"/>
      <c r="O301" s="19">
        <f>O266+O279+O289</f>
        <v>0</v>
      </c>
      <c r="P301" s="19"/>
      <c r="Q301" s="19">
        <f>Q266+Q279+Q289</f>
        <v>0</v>
      </c>
      <c r="R301" s="19"/>
      <c r="S301" s="19">
        <f>S266+S279+S289</f>
        <v>0</v>
      </c>
      <c r="T301" s="19"/>
      <c r="U301" s="19">
        <f>U266+U279+U289</f>
        <v>0</v>
      </c>
      <c r="V301" s="19"/>
      <c r="W301" s="19">
        <f>W266+W279+W289</f>
        <v>0</v>
      </c>
      <c r="X301" s="19"/>
      <c r="Y301" s="19">
        <f>Y266+Y279+Y289</f>
        <v>0</v>
      </c>
      <c r="Z301" s="19"/>
      <c r="AA301" s="19">
        <f>AA266+AA279+AA289</f>
        <v>0</v>
      </c>
      <c r="AB301" s="19"/>
      <c r="AC301" s="19">
        <f>AC266+AC279+AC289</f>
        <v>0</v>
      </c>
      <c r="AD301" s="19"/>
      <c r="AE301" s="19">
        <f>AE266+AE279+AE289</f>
        <v>0</v>
      </c>
      <c r="AF301" s="19">
        <f>AF266+AF279+AF289</f>
        <v>0</v>
      </c>
      <c r="AG301" s="19">
        <f>AG266+AG279+AG289</f>
        <v>0</v>
      </c>
      <c r="AH301" s="19"/>
      <c r="AI301" s="14">
        <f t="shared" si="82"/>
        <v>0</v>
      </c>
      <c r="AK301" s="25"/>
      <c r="AM301" s="25"/>
      <c r="AO301" s="25"/>
      <c r="AQ301" s="25"/>
      <c r="AS301" s="25"/>
      <c r="AT301" s="19"/>
      <c r="AU301" s="25"/>
    </row>
    <row r="302" spans="1:47" x14ac:dyDescent="0.2">
      <c r="A302" s="12"/>
      <c r="B302" s="3" t="s">
        <v>48</v>
      </c>
      <c r="C302" s="19">
        <f>C267</f>
        <v>0</v>
      </c>
      <c r="D302" s="19"/>
      <c r="E302" s="19">
        <f>E267</f>
        <v>0</v>
      </c>
      <c r="F302" s="19"/>
      <c r="G302" s="19">
        <f>G267</f>
        <v>0</v>
      </c>
      <c r="H302" s="19"/>
      <c r="I302" s="19">
        <f>I267</f>
        <v>0</v>
      </c>
      <c r="J302" s="19"/>
      <c r="K302" s="19">
        <f>K267</f>
        <v>0</v>
      </c>
      <c r="L302" s="19"/>
      <c r="M302" s="19">
        <f>M267</f>
        <v>0</v>
      </c>
      <c r="N302" s="19"/>
      <c r="O302" s="19">
        <f>O267</f>
        <v>0</v>
      </c>
      <c r="P302" s="19"/>
      <c r="Q302" s="19">
        <f>Q267</f>
        <v>0</v>
      </c>
      <c r="R302" s="19"/>
      <c r="S302" s="19">
        <f>S267</f>
        <v>0</v>
      </c>
      <c r="T302" s="19"/>
      <c r="U302" s="19">
        <f>U267</f>
        <v>0</v>
      </c>
      <c r="V302" s="19"/>
      <c r="W302" s="19">
        <f>W267</f>
        <v>0</v>
      </c>
      <c r="X302" s="19"/>
      <c r="Y302" s="19">
        <f>Y267</f>
        <v>0</v>
      </c>
      <c r="Z302" s="19"/>
      <c r="AA302" s="19">
        <f>AA267</f>
        <v>0</v>
      </c>
      <c r="AB302" s="19"/>
      <c r="AC302" s="19">
        <f>AC267</f>
        <v>0</v>
      </c>
      <c r="AD302" s="19"/>
      <c r="AE302" s="19">
        <f>AE267</f>
        <v>0</v>
      </c>
      <c r="AF302" s="19">
        <f>AF267+AF279+AF289</f>
        <v>0</v>
      </c>
      <c r="AG302" s="19">
        <f>AG267</f>
        <v>0</v>
      </c>
      <c r="AH302" s="19"/>
      <c r="AI302" s="14">
        <f t="shared" si="82"/>
        <v>0</v>
      </c>
      <c r="AK302" s="25"/>
      <c r="AM302" s="25"/>
      <c r="AO302" s="25"/>
      <c r="AQ302" s="25"/>
      <c r="AS302" s="25"/>
      <c r="AT302" s="19"/>
      <c r="AU302" s="25"/>
    </row>
    <row r="303" spans="1:47" x14ac:dyDescent="0.2">
      <c r="A303" s="12"/>
      <c r="B303" s="3" t="s">
        <v>17</v>
      </c>
      <c r="C303" s="19">
        <f>C268+C280+C290</f>
        <v>0</v>
      </c>
      <c r="D303" s="19"/>
      <c r="E303" s="19">
        <f>E268+E280+E290</f>
        <v>0</v>
      </c>
      <c r="F303" s="19"/>
      <c r="G303" s="19">
        <f>G268+G280+G290</f>
        <v>0</v>
      </c>
      <c r="H303" s="19"/>
      <c r="I303" s="19">
        <f>I268+I280+I290</f>
        <v>0</v>
      </c>
      <c r="J303" s="19"/>
      <c r="K303" s="19">
        <f>K268</f>
        <v>0</v>
      </c>
      <c r="L303" s="19"/>
      <c r="M303" s="19">
        <f>M268+M280+M290</f>
        <v>0</v>
      </c>
      <c r="N303" s="19"/>
      <c r="O303" s="19">
        <f>O268+O280+O290</f>
        <v>0</v>
      </c>
      <c r="P303" s="19"/>
      <c r="Q303" s="19">
        <f>Q268+Q280+Q290</f>
        <v>0</v>
      </c>
      <c r="R303" s="19"/>
      <c r="S303" s="19">
        <f>S268+S280+S290</f>
        <v>0</v>
      </c>
      <c r="T303" s="19"/>
      <c r="U303" s="19">
        <f>U268+U280+U290</f>
        <v>0</v>
      </c>
      <c r="V303" s="19"/>
      <c r="W303" s="19">
        <f>W268+W280+W290</f>
        <v>0</v>
      </c>
      <c r="X303" s="19"/>
      <c r="Y303" s="19">
        <f>Y268+Y280+Y290</f>
        <v>0</v>
      </c>
      <c r="Z303" s="19"/>
      <c r="AA303" s="19">
        <f>AA268+AA280+AA290</f>
        <v>0</v>
      </c>
      <c r="AB303" s="19"/>
      <c r="AC303" s="19">
        <f>AC268+AC280+AC290</f>
        <v>0</v>
      </c>
      <c r="AD303" s="19"/>
      <c r="AE303" s="19">
        <f>AE268+AE280+AE290</f>
        <v>0</v>
      </c>
      <c r="AF303" s="19">
        <f>AF268+AF282+AF292</f>
        <v>0</v>
      </c>
      <c r="AG303" s="19">
        <f>AG268+AG280+AG290</f>
        <v>0</v>
      </c>
      <c r="AH303" s="19"/>
      <c r="AI303" s="14">
        <f t="shared" si="82"/>
        <v>0</v>
      </c>
      <c r="AK303" s="25"/>
      <c r="AM303" s="25"/>
      <c r="AO303" s="25"/>
      <c r="AQ303" s="25"/>
      <c r="AS303" s="25"/>
      <c r="AT303" s="19"/>
      <c r="AU303" s="25"/>
    </row>
    <row r="304" spans="1:47" x14ac:dyDescent="0.2">
      <c r="A304" s="12"/>
      <c r="B304" s="3" t="s">
        <v>49</v>
      </c>
      <c r="C304" s="19">
        <f>C269</f>
        <v>0</v>
      </c>
      <c r="D304" s="19"/>
      <c r="E304" s="19">
        <f>E269</f>
        <v>0</v>
      </c>
      <c r="F304" s="19"/>
      <c r="G304" s="19">
        <f>G269</f>
        <v>0</v>
      </c>
      <c r="H304" s="19"/>
      <c r="I304" s="19">
        <f>I269</f>
        <v>0</v>
      </c>
      <c r="J304" s="19"/>
      <c r="K304" s="19">
        <f>K269</f>
        <v>0</v>
      </c>
      <c r="L304" s="19"/>
      <c r="M304" s="19">
        <f>M269</f>
        <v>0</v>
      </c>
      <c r="N304" s="19"/>
      <c r="O304" s="19">
        <f>O269</f>
        <v>0</v>
      </c>
      <c r="P304" s="19"/>
      <c r="Q304" s="19">
        <f>Q269</f>
        <v>0</v>
      </c>
      <c r="R304" s="19"/>
      <c r="S304" s="19">
        <f>S269</f>
        <v>0</v>
      </c>
      <c r="T304" s="19"/>
      <c r="U304" s="19">
        <f>U269</f>
        <v>0</v>
      </c>
      <c r="V304" s="19"/>
      <c r="W304" s="19">
        <f>W269</f>
        <v>0</v>
      </c>
      <c r="X304" s="19"/>
      <c r="Y304" s="19">
        <f>Y269</f>
        <v>0</v>
      </c>
      <c r="Z304" s="19"/>
      <c r="AA304" s="19">
        <f>AA269</f>
        <v>0</v>
      </c>
      <c r="AB304" s="19"/>
      <c r="AC304" s="19">
        <f>AC269</f>
        <v>0</v>
      </c>
      <c r="AD304" s="19"/>
      <c r="AE304" s="19">
        <f>AE269</f>
        <v>0</v>
      </c>
      <c r="AF304" s="19">
        <f>AF269+AF283+AF293</f>
        <v>0</v>
      </c>
      <c r="AG304" s="19">
        <f>AG269</f>
        <v>0</v>
      </c>
      <c r="AH304" s="19"/>
      <c r="AI304" s="14">
        <f t="shared" si="82"/>
        <v>0</v>
      </c>
      <c r="AK304" s="25"/>
      <c r="AM304" s="25"/>
      <c r="AO304" s="25"/>
      <c r="AQ304" s="25"/>
      <c r="AS304" s="25"/>
      <c r="AT304" s="19"/>
      <c r="AU304" s="25"/>
    </row>
    <row r="305" spans="1:47" x14ac:dyDescent="0.2">
      <c r="A305" s="12"/>
      <c r="B305" s="3" t="s">
        <v>18</v>
      </c>
      <c r="C305" s="19">
        <f>C270+C281+C291</f>
        <v>0</v>
      </c>
      <c r="D305" s="19"/>
      <c r="E305" s="19">
        <f>E270+E281+E291</f>
        <v>-15852.23</v>
      </c>
      <c r="F305" s="19"/>
      <c r="G305" s="19">
        <f>G270+G281+G291</f>
        <v>0</v>
      </c>
      <c r="H305" s="19"/>
      <c r="I305" s="19">
        <f>I270+I281+I291</f>
        <v>0</v>
      </c>
      <c r="J305" s="19"/>
      <c r="K305" s="19">
        <f>K270+K281+K291</f>
        <v>0</v>
      </c>
      <c r="L305" s="19"/>
      <c r="M305" s="19">
        <f>M270+M281+M291</f>
        <v>0</v>
      </c>
      <c r="N305" s="19"/>
      <c r="O305" s="19">
        <f>O270+O281+O291</f>
        <v>0</v>
      </c>
      <c r="P305" s="19"/>
      <c r="Q305" s="19">
        <f>Q270+Q281+Q291</f>
        <v>0</v>
      </c>
      <c r="R305" s="19"/>
      <c r="S305" s="19">
        <f>S270+S281+S291</f>
        <v>0</v>
      </c>
      <c r="T305" s="19"/>
      <c r="U305" s="19">
        <f>U270+U281+U291</f>
        <v>3138.86</v>
      </c>
      <c r="V305" s="19"/>
      <c r="W305" s="19">
        <f>W270+W281+W291</f>
        <v>0</v>
      </c>
      <c r="X305" s="19"/>
      <c r="Y305" s="19">
        <f>Y270+Y281+Y291</f>
        <v>-152204.18</v>
      </c>
      <c r="Z305" s="19"/>
      <c r="AA305" s="19">
        <f>AA270+AA281+AA291</f>
        <v>-2674.5499999999997</v>
      </c>
      <c r="AB305" s="19"/>
      <c r="AC305" s="19">
        <f>AC270+AC281+AC291</f>
        <v>0</v>
      </c>
      <c r="AD305" s="19"/>
      <c r="AE305" s="19">
        <f>AE270+AE281+AE291</f>
        <v>0</v>
      </c>
      <c r="AF305" s="19">
        <f>AF270+AF281+AF291</f>
        <v>0</v>
      </c>
      <c r="AG305" s="19">
        <f>AG270+AG281+AG291</f>
        <v>0</v>
      </c>
      <c r="AH305" s="19"/>
      <c r="AI305" s="14">
        <f t="shared" si="82"/>
        <v>-167592.09999999998</v>
      </c>
      <c r="AK305" s="25"/>
      <c r="AM305" s="25"/>
      <c r="AO305" s="25"/>
      <c r="AQ305" s="25"/>
      <c r="AS305" s="25"/>
      <c r="AT305" s="19"/>
      <c r="AU305" s="25"/>
    </row>
    <row r="306" spans="1:47" x14ac:dyDescent="0.2">
      <c r="A306" s="12"/>
      <c r="B306" s="3" t="s">
        <v>50</v>
      </c>
      <c r="C306" s="19">
        <f>C271</f>
        <v>0</v>
      </c>
      <c r="D306" s="19"/>
      <c r="E306" s="19">
        <f>E271</f>
        <v>0</v>
      </c>
      <c r="F306" s="19"/>
      <c r="G306" s="19">
        <f>G271</f>
        <v>0</v>
      </c>
      <c r="H306" s="19"/>
      <c r="I306" s="19">
        <f>I271</f>
        <v>0</v>
      </c>
      <c r="J306" s="19"/>
      <c r="K306" s="19">
        <f>K271</f>
        <v>0</v>
      </c>
      <c r="L306" s="19"/>
      <c r="M306" s="19">
        <f>M271</f>
        <v>0</v>
      </c>
      <c r="N306" s="19"/>
      <c r="O306" s="19">
        <f>O271</f>
        <v>0</v>
      </c>
      <c r="P306" s="19"/>
      <c r="Q306" s="19">
        <f>Q271</f>
        <v>0</v>
      </c>
      <c r="R306" s="19"/>
      <c r="S306" s="19">
        <f>S271</f>
        <v>0</v>
      </c>
      <c r="T306" s="19"/>
      <c r="U306" s="19">
        <f>U271</f>
        <v>0</v>
      </c>
      <c r="V306" s="19"/>
      <c r="W306" s="19">
        <f>W271</f>
        <v>0</v>
      </c>
      <c r="X306" s="19"/>
      <c r="Y306" s="19">
        <f>Y271</f>
        <v>0</v>
      </c>
      <c r="Z306" s="19"/>
      <c r="AA306" s="19">
        <f>AA271</f>
        <v>0</v>
      </c>
      <c r="AB306" s="19"/>
      <c r="AC306" s="19">
        <f>AC271</f>
        <v>0</v>
      </c>
      <c r="AD306" s="19"/>
      <c r="AE306" s="19">
        <f>AE271</f>
        <v>0</v>
      </c>
      <c r="AF306" s="19">
        <f>AF271</f>
        <v>0</v>
      </c>
      <c r="AG306" s="19">
        <f>AG271</f>
        <v>0</v>
      </c>
      <c r="AH306" s="19"/>
      <c r="AI306" s="14">
        <f t="shared" si="82"/>
        <v>0</v>
      </c>
      <c r="AK306" s="25"/>
      <c r="AM306" s="25"/>
      <c r="AO306" s="25"/>
      <c r="AQ306" s="25"/>
      <c r="AS306" s="25"/>
      <c r="AT306" s="19"/>
      <c r="AU306" s="25"/>
    </row>
    <row r="307" spans="1:47" x14ac:dyDescent="0.2">
      <c r="A307" s="12"/>
      <c r="B307" s="3" t="s">
        <v>29</v>
      </c>
      <c r="C307" s="27">
        <v>0</v>
      </c>
      <c r="D307" s="19"/>
      <c r="E307" s="27">
        <v>0</v>
      </c>
      <c r="F307" s="19"/>
      <c r="G307" s="27">
        <v>0</v>
      </c>
      <c r="H307" s="19"/>
      <c r="I307" s="27">
        <v>0</v>
      </c>
      <c r="J307" s="19"/>
      <c r="K307" s="27">
        <v>0</v>
      </c>
      <c r="L307" s="19"/>
      <c r="M307" s="27">
        <v>0</v>
      </c>
      <c r="N307" s="19"/>
      <c r="O307" s="27">
        <v>0</v>
      </c>
      <c r="P307" s="19"/>
      <c r="Q307" s="27">
        <v>0</v>
      </c>
      <c r="R307" s="19"/>
      <c r="S307" s="27">
        <v>0</v>
      </c>
      <c r="T307" s="19"/>
      <c r="U307" s="27">
        <v>0</v>
      </c>
      <c r="V307" s="19"/>
      <c r="W307" s="27">
        <v>0</v>
      </c>
      <c r="X307" s="19"/>
      <c r="Y307" s="27">
        <v>0</v>
      </c>
      <c r="Z307" s="19"/>
      <c r="AA307" s="27">
        <v>0</v>
      </c>
      <c r="AB307" s="19"/>
      <c r="AC307" s="27">
        <v>0</v>
      </c>
      <c r="AD307" s="19"/>
      <c r="AE307" s="27">
        <v>0</v>
      </c>
      <c r="AF307" s="27">
        <v>0</v>
      </c>
      <c r="AG307" s="27">
        <v>0</v>
      </c>
      <c r="AH307" s="19"/>
      <c r="AI307" s="14">
        <f t="shared" si="82"/>
        <v>0</v>
      </c>
      <c r="AK307" s="25"/>
      <c r="AM307" s="25"/>
      <c r="AO307" s="25"/>
      <c r="AQ307" s="25"/>
      <c r="AS307" s="25"/>
      <c r="AT307" s="19"/>
      <c r="AU307" s="25"/>
    </row>
    <row r="308" spans="1:47" x14ac:dyDescent="0.2">
      <c r="B308" s="20"/>
      <c r="C308" s="26">
        <f>SUM(C296:C307)</f>
        <v>0</v>
      </c>
      <c r="D308" s="26"/>
      <c r="E308" s="26">
        <f>SUM(E296:E307)</f>
        <v>0</v>
      </c>
      <c r="F308" s="26"/>
      <c r="G308" s="26">
        <f>SUM(G296:G307)</f>
        <v>0</v>
      </c>
      <c r="H308" s="26"/>
      <c r="I308" s="26">
        <f>SUM(I296:I307)</f>
        <v>-13259.09</v>
      </c>
      <c r="J308" s="26"/>
      <c r="K308" s="26">
        <f>SUM(K296:K307)</f>
        <v>-14378.77</v>
      </c>
      <c r="L308" s="26"/>
      <c r="M308" s="26">
        <f>SUM(M296:M307)</f>
        <v>0</v>
      </c>
      <c r="N308" s="26"/>
      <c r="O308" s="26">
        <f>SUM(O296:O307)</f>
        <v>0</v>
      </c>
      <c r="P308" s="26"/>
      <c r="Q308" s="26">
        <f>SUM(Q296:Q307)</f>
        <v>0</v>
      </c>
      <c r="R308" s="26"/>
      <c r="S308" s="26">
        <f>SUM(S296:S307)</f>
        <v>0</v>
      </c>
      <c r="T308" s="26"/>
      <c r="U308" s="26">
        <f>SUM(U296:U307)</f>
        <v>0</v>
      </c>
      <c r="V308" s="26"/>
      <c r="W308" s="26">
        <f>SUM(W296:W307)</f>
        <v>0</v>
      </c>
      <c r="X308" s="26"/>
      <c r="Y308" s="26">
        <f>SUM(Y296:Y307)</f>
        <v>0</v>
      </c>
      <c r="Z308" s="26"/>
      <c r="AA308" s="26">
        <f>SUM(AA296:AA307)</f>
        <v>0</v>
      </c>
      <c r="AB308" s="26"/>
      <c r="AC308" s="26">
        <f>SUM(AC296:AC307)</f>
        <v>0</v>
      </c>
      <c r="AD308" s="26"/>
      <c r="AE308" s="26">
        <f>SUM(AE296:AE307)</f>
        <v>0</v>
      </c>
      <c r="AF308" s="26">
        <f>SUM(AF296:AF307)</f>
        <v>0</v>
      </c>
      <c r="AG308" s="26">
        <f>SUM(AG296:AG307)</f>
        <v>0</v>
      </c>
      <c r="AH308" s="26"/>
      <c r="AI308" s="26">
        <f>SUM(AI296:AI307)</f>
        <v>-27637.859999999986</v>
      </c>
      <c r="AJ308" s="59"/>
      <c r="AK308" s="25"/>
      <c r="AM308" s="25"/>
      <c r="AO308" s="25"/>
      <c r="AQ308" s="25"/>
      <c r="AS308" s="25"/>
      <c r="AT308" s="26"/>
      <c r="AU308" s="25"/>
    </row>
    <row r="309" spans="1:47" x14ac:dyDescent="0.2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K309" s="25"/>
      <c r="AM309" s="25"/>
      <c r="AO309" s="25"/>
      <c r="AQ309" s="25"/>
      <c r="AS309" s="25"/>
      <c r="AT309" s="19"/>
      <c r="AU309" s="25"/>
    </row>
    <row r="310" spans="1:47" ht="13.5" customHeight="1" x14ac:dyDescent="0.2">
      <c r="A310" s="12" t="s">
        <v>54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K310" s="25"/>
      <c r="AM310" s="25"/>
      <c r="AO310" s="25"/>
      <c r="AQ310" s="25"/>
      <c r="AS310" s="25"/>
      <c r="AT310" s="19"/>
      <c r="AU310" s="25"/>
    </row>
    <row r="311" spans="1:47" x14ac:dyDescent="0.2">
      <c r="B311" s="3" t="s">
        <v>11</v>
      </c>
      <c r="C311" s="19">
        <v>0</v>
      </c>
      <c r="D311" s="19"/>
      <c r="E311" s="19">
        <v>0</v>
      </c>
      <c r="F311" s="19"/>
      <c r="G311" s="19">
        <v>0</v>
      </c>
      <c r="H311" s="19"/>
      <c r="I311" s="19">
        <v>19720.13</v>
      </c>
      <c r="J311" s="19"/>
      <c r="K311" s="19">
        <v>0</v>
      </c>
      <c r="L311" s="19"/>
      <c r="M311" s="19">
        <v>0</v>
      </c>
      <c r="N311" s="19"/>
      <c r="O311" s="19">
        <v>0</v>
      </c>
      <c r="P311" s="19"/>
      <c r="Q311" s="19">
        <v>0</v>
      </c>
      <c r="R311" s="19"/>
      <c r="S311" s="19">
        <v>0</v>
      </c>
      <c r="T311" s="19"/>
      <c r="U311" s="19">
        <v>0</v>
      </c>
      <c r="V311" s="19"/>
      <c r="W311" s="19">
        <v>0</v>
      </c>
      <c r="X311" s="19"/>
      <c r="Y311" s="19">
        <v>0</v>
      </c>
      <c r="Z311" s="19"/>
      <c r="AA311" s="19">
        <v>0</v>
      </c>
      <c r="AB311" s="19"/>
      <c r="AC311" s="19">
        <v>0</v>
      </c>
      <c r="AD311" s="19"/>
      <c r="AE311" s="19">
        <v>0</v>
      </c>
      <c r="AF311" s="19">
        <v>0</v>
      </c>
      <c r="AG311" s="19">
        <v>0</v>
      </c>
      <c r="AH311" s="19"/>
      <c r="AI311" s="16">
        <f>SUM(C311:AG311)</f>
        <v>19720.13</v>
      </c>
      <c r="AJ311" s="34"/>
      <c r="AK311" s="25"/>
      <c r="AM311" s="25"/>
      <c r="AO311" s="25"/>
      <c r="AQ311" s="25"/>
      <c r="AS311" s="25"/>
      <c r="AT311" s="19"/>
      <c r="AU311" s="25"/>
    </row>
    <row r="312" spans="1:47" x14ac:dyDescent="0.2">
      <c r="B312" s="20"/>
      <c r="C312" s="31">
        <f>SUM(C311:C311)</f>
        <v>0</v>
      </c>
      <c r="D312" s="19"/>
      <c r="E312" s="31">
        <f>SUM(E311:E311)</f>
        <v>0</v>
      </c>
      <c r="F312" s="19"/>
      <c r="G312" s="31">
        <f>SUM(G311:G311)</f>
        <v>0</v>
      </c>
      <c r="H312" s="19"/>
      <c r="I312" s="31">
        <f>SUM(I311:I311)</f>
        <v>19720.13</v>
      </c>
      <c r="J312" s="19"/>
      <c r="K312" s="31">
        <f>SUM(K311:K311)</f>
        <v>0</v>
      </c>
      <c r="L312" s="19"/>
      <c r="M312" s="31">
        <f>SUM(M311:M311)</f>
        <v>0</v>
      </c>
      <c r="N312" s="19"/>
      <c r="O312" s="31">
        <f>SUM(O311:O311)</f>
        <v>0</v>
      </c>
      <c r="P312" s="19"/>
      <c r="Q312" s="31">
        <f>SUM(Q311:Q311)</f>
        <v>0</v>
      </c>
      <c r="R312" s="19"/>
      <c r="S312" s="31">
        <f>SUM(S311:S311)</f>
        <v>0</v>
      </c>
      <c r="T312" s="19"/>
      <c r="U312" s="31">
        <f>SUM(U311:U311)</f>
        <v>0</v>
      </c>
      <c r="V312" s="19"/>
      <c r="W312" s="31">
        <f>SUM(W311:W311)</f>
        <v>0</v>
      </c>
      <c r="X312" s="19"/>
      <c r="Y312" s="31">
        <f>SUM(Y311:Y311)</f>
        <v>0</v>
      </c>
      <c r="Z312" s="19"/>
      <c r="AA312" s="31">
        <f>SUM(AA311:AA311)</f>
        <v>0</v>
      </c>
      <c r="AB312" s="19"/>
      <c r="AC312" s="31">
        <f>SUM(AC311:AC311)</f>
        <v>0</v>
      </c>
      <c r="AD312" s="19"/>
      <c r="AE312" s="31">
        <f>SUM(AE311:AE311)</f>
        <v>0</v>
      </c>
      <c r="AF312" s="31">
        <f>SUM(AF311:AF311)</f>
        <v>0</v>
      </c>
      <c r="AG312" s="31">
        <f>SUM(AG311:AG311)</f>
        <v>0</v>
      </c>
      <c r="AH312" s="19"/>
      <c r="AI312" s="31">
        <f>SUM(AI311:AI311)</f>
        <v>19720.13</v>
      </c>
      <c r="AJ312" s="34"/>
      <c r="AK312" s="25"/>
      <c r="AM312" s="25"/>
      <c r="AO312" s="25"/>
      <c r="AQ312" s="25"/>
      <c r="AS312" s="25"/>
      <c r="AT312" s="19"/>
      <c r="AU312" s="25"/>
    </row>
    <row r="313" spans="1:47" x14ac:dyDescent="0.2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34"/>
      <c r="AK313" s="25"/>
      <c r="AM313" s="25"/>
      <c r="AO313" s="25"/>
      <c r="AQ313" s="25"/>
      <c r="AS313" s="25"/>
      <c r="AT313" s="19"/>
      <c r="AU313" s="25"/>
    </row>
    <row r="314" spans="1:47" x14ac:dyDescent="0.2">
      <c r="B314" s="20" t="s">
        <v>55</v>
      </c>
      <c r="C314" s="27">
        <f>C308+C312</f>
        <v>0</v>
      </c>
      <c r="D314" s="19"/>
      <c r="E314" s="27">
        <f>E308+E312</f>
        <v>0</v>
      </c>
      <c r="F314" s="19"/>
      <c r="G314" s="27">
        <f>G308+G312</f>
        <v>0</v>
      </c>
      <c r="H314" s="19"/>
      <c r="I314" s="27">
        <f>I308+I312</f>
        <v>6461.0400000000009</v>
      </c>
      <c r="J314" s="19"/>
      <c r="K314" s="27">
        <f>K308+K312</f>
        <v>-14378.77</v>
      </c>
      <c r="L314" s="19"/>
      <c r="M314" s="27">
        <f>M308+M312</f>
        <v>0</v>
      </c>
      <c r="N314" s="19"/>
      <c r="O314" s="27">
        <f>O308+O312</f>
        <v>0</v>
      </c>
      <c r="P314" s="19"/>
      <c r="Q314" s="27">
        <f>Q308+Q312</f>
        <v>0</v>
      </c>
      <c r="R314" s="19"/>
      <c r="S314" s="27">
        <f>S308+S312</f>
        <v>0</v>
      </c>
      <c r="T314" s="19"/>
      <c r="U314" s="27">
        <f>U308+U312</f>
        <v>0</v>
      </c>
      <c r="V314" s="19"/>
      <c r="W314" s="27">
        <f>W308+W312</f>
        <v>0</v>
      </c>
      <c r="X314" s="19"/>
      <c r="Y314" s="27">
        <f>Y308+Y312</f>
        <v>0</v>
      </c>
      <c r="Z314" s="19"/>
      <c r="AA314" s="27">
        <f>AA308+AA312</f>
        <v>0</v>
      </c>
      <c r="AB314" s="19"/>
      <c r="AC314" s="27">
        <f>AC308+AC312</f>
        <v>0</v>
      </c>
      <c r="AD314" s="19"/>
      <c r="AE314" s="27">
        <f>AE308+AE312</f>
        <v>0</v>
      </c>
      <c r="AF314" s="27">
        <f>AF308+AF312</f>
        <v>0</v>
      </c>
      <c r="AG314" s="27">
        <f>AG308+AG312</f>
        <v>0</v>
      </c>
      <c r="AH314" s="19"/>
      <c r="AI314" s="27">
        <f>AI308+AI312</f>
        <v>-7917.729999999985</v>
      </c>
      <c r="AJ314" s="34"/>
      <c r="AK314" s="25"/>
      <c r="AM314" s="25"/>
      <c r="AO314" s="25"/>
      <c r="AQ314" s="25"/>
      <c r="AS314" s="25"/>
      <c r="AT314" s="19"/>
      <c r="AU314" s="25"/>
    </row>
    <row r="315" spans="1:47" x14ac:dyDescent="0.2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34"/>
      <c r="AK315" s="25"/>
      <c r="AM315" s="25"/>
      <c r="AO315" s="25"/>
      <c r="AQ315" s="25"/>
      <c r="AS315" s="25"/>
      <c r="AT315" s="19"/>
      <c r="AU315" s="25"/>
    </row>
    <row r="316" spans="1:47" x14ac:dyDescent="0.2">
      <c r="A316" s="12" t="s">
        <v>56</v>
      </c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34"/>
      <c r="AK316" s="25"/>
      <c r="AM316" s="25"/>
      <c r="AO316" s="25"/>
      <c r="AQ316" s="25"/>
      <c r="AS316" s="25"/>
      <c r="AT316" s="19"/>
      <c r="AU316" s="25"/>
    </row>
    <row r="317" spans="1:47" x14ac:dyDescent="0.2">
      <c r="B317" s="3" t="s">
        <v>11</v>
      </c>
      <c r="C317" s="27">
        <v>0</v>
      </c>
      <c r="D317" s="26"/>
      <c r="E317" s="27">
        <v>0</v>
      </c>
      <c r="F317" s="26"/>
      <c r="G317" s="27">
        <v>0</v>
      </c>
      <c r="H317" s="26"/>
      <c r="I317" s="27">
        <v>0</v>
      </c>
      <c r="J317" s="26"/>
      <c r="K317" s="27">
        <v>0</v>
      </c>
      <c r="L317" s="26"/>
      <c r="M317" s="27">
        <v>0</v>
      </c>
      <c r="N317" s="26"/>
      <c r="O317" s="27">
        <v>0</v>
      </c>
      <c r="P317" s="26"/>
      <c r="Q317" s="27">
        <v>0</v>
      </c>
      <c r="R317" s="26"/>
      <c r="S317" s="27">
        <v>0</v>
      </c>
      <c r="T317" s="26"/>
      <c r="U317" s="27">
        <v>0</v>
      </c>
      <c r="V317" s="26"/>
      <c r="W317" s="27">
        <v>0</v>
      </c>
      <c r="X317" s="26"/>
      <c r="Y317" s="27">
        <v>0</v>
      </c>
      <c r="Z317" s="26"/>
      <c r="AA317" s="27">
        <v>0</v>
      </c>
      <c r="AB317" s="26"/>
      <c r="AC317" s="27">
        <v>0</v>
      </c>
      <c r="AD317" s="26"/>
      <c r="AE317" s="27">
        <v>0</v>
      </c>
      <c r="AF317" s="27">
        <v>0</v>
      </c>
      <c r="AG317" s="27">
        <v>0</v>
      </c>
      <c r="AH317" s="26"/>
      <c r="AI317" s="16">
        <f>SUM(C317:AG317)</f>
        <v>0</v>
      </c>
      <c r="AJ317" s="147"/>
      <c r="AK317" s="25"/>
      <c r="AM317" s="25"/>
      <c r="AO317" s="25"/>
      <c r="AQ317" s="25"/>
      <c r="AS317" s="25"/>
      <c r="AT317" s="26"/>
      <c r="AU317" s="25"/>
    </row>
    <row r="318" spans="1:47" x14ac:dyDescent="0.2">
      <c r="B318" s="20"/>
      <c r="C318" s="26">
        <f>SUM(C317:C317)</f>
        <v>0</v>
      </c>
      <c r="D318" s="26"/>
      <c r="E318" s="26">
        <f>SUM(E317:E317)</f>
        <v>0</v>
      </c>
      <c r="F318" s="26"/>
      <c r="G318" s="26">
        <f>SUM(G317:G317)</f>
        <v>0</v>
      </c>
      <c r="H318" s="26"/>
      <c r="I318" s="26">
        <f>SUM(I317:I317)</f>
        <v>0</v>
      </c>
      <c r="J318" s="26"/>
      <c r="K318" s="26">
        <f>SUM(K317:K317)</f>
        <v>0</v>
      </c>
      <c r="L318" s="26"/>
      <c r="M318" s="26">
        <f>SUM(M317:M317)</f>
        <v>0</v>
      </c>
      <c r="N318" s="26"/>
      <c r="O318" s="26">
        <f>SUM(O317:O317)</f>
        <v>0</v>
      </c>
      <c r="P318" s="26"/>
      <c r="Q318" s="26">
        <f>SUM(Q317:Q317)</f>
        <v>0</v>
      </c>
      <c r="R318" s="26"/>
      <c r="S318" s="26">
        <f>SUM(S317:S317)</f>
        <v>0</v>
      </c>
      <c r="T318" s="26"/>
      <c r="U318" s="26">
        <f>SUM(U317:U317)</f>
        <v>0</v>
      </c>
      <c r="V318" s="26"/>
      <c r="W318" s="26">
        <f>SUM(W317:W317)</f>
        <v>0</v>
      </c>
      <c r="X318" s="26"/>
      <c r="Y318" s="26">
        <f>SUM(Y317:Y317)</f>
        <v>0</v>
      </c>
      <c r="Z318" s="26"/>
      <c r="AA318" s="26">
        <f>SUM(AA317:AA317)</f>
        <v>0</v>
      </c>
      <c r="AB318" s="26"/>
      <c r="AC318" s="26">
        <f>SUM(AC317:AC317)</f>
        <v>0</v>
      </c>
      <c r="AD318" s="26"/>
      <c r="AE318" s="26">
        <f>SUM(AE317:AE317)</f>
        <v>0</v>
      </c>
      <c r="AF318" s="26">
        <f>SUM(AF317:AF317)</f>
        <v>0</v>
      </c>
      <c r="AG318" s="26">
        <f>SUM(AG317:AG317)</f>
        <v>0</v>
      </c>
      <c r="AH318" s="26"/>
      <c r="AI318" s="26">
        <f>SUM(AI317:AI317)</f>
        <v>0</v>
      </c>
      <c r="AJ318" s="147"/>
      <c r="AK318" s="25"/>
      <c r="AM318" s="25"/>
      <c r="AO318" s="25"/>
      <c r="AQ318" s="25"/>
      <c r="AS318" s="25"/>
      <c r="AT318" s="26"/>
      <c r="AU318" s="25"/>
    </row>
    <row r="319" spans="1:47" x14ac:dyDescent="0.2">
      <c r="B319" s="20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147"/>
      <c r="AK319" s="25"/>
      <c r="AM319" s="25"/>
      <c r="AO319" s="25"/>
      <c r="AQ319" s="25"/>
      <c r="AS319" s="25"/>
      <c r="AT319" s="26"/>
      <c r="AU319" s="25"/>
    </row>
    <row r="320" spans="1:47" x14ac:dyDescent="0.2"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34"/>
      <c r="AK320" s="25"/>
      <c r="AM320" s="25"/>
      <c r="AO320" s="25"/>
      <c r="AQ320" s="25"/>
      <c r="AS320" s="25"/>
      <c r="AT320" s="19"/>
      <c r="AU320" s="25"/>
    </row>
    <row r="321" spans="1:47" ht="13.5" thickBot="1" x14ac:dyDescent="0.25">
      <c r="B321" s="20" t="s">
        <v>57</v>
      </c>
      <c r="C321" s="33">
        <f>C314+C318</f>
        <v>0</v>
      </c>
      <c r="D321" s="19"/>
      <c r="E321" s="33">
        <f>E314+E318</f>
        <v>0</v>
      </c>
      <c r="F321" s="19"/>
      <c r="G321" s="33">
        <f>G314+G318</f>
        <v>0</v>
      </c>
      <c r="H321" s="19"/>
      <c r="I321" s="33">
        <f>I314+I318</f>
        <v>6461.0400000000009</v>
      </c>
      <c r="J321" s="19"/>
      <c r="K321" s="33">
        <f>K314+K318</f>
        <v>-14378.77</v>
      </c>
      <c r="L321" s="19"/>
      <c r="M321" s="33">
        <f>M314+M318</f>
        <v>0</v>
      </c>
      <c r="N321" s="19"/>
      <c r="O321" s="33">
        <f>O314+O318</f>
        <v>0</v>
      </c>
      <c r="P321" s="19"/>
      <c r="Q321" s="33">
        <f>Q314+Q318</f>
        <v>0</v>
      </c>
      <c r="R321" s="19"/>
      <c r="S321" s="33">
        <f>S314+S318</f>
        <v>0</v>
      </c>
      <c r="T321" s="19"/>
      <c r="U321" s="33">
        <f>U314+U318</f>
        <v>0</v>
      </c>
      <c r="V321" s="19"/>
      <c r="W321" s="33">
        <f>W314+W318</f>
        <v>0</v>
      </c>
      <c r="X321" s="19"/>
      <c r="Y321" s="33">
        <f>Y314+Y318</f>
        <v>0</v>
      </c>
      <c r="Z321" s="19"/>
      <c r="AA321" s="33">
        <f>AA314+AA318</f>
        <v>0</v>
      </c>
      <c r="AB321" s="19"/>
      <c r="AC321" s="33">
        <f>AC314+AC318</f>
        <v>0</v>
      </c>
      <c r="AD321" s="19"/>
      <c r="AE321" s="33">
        <f>AE314+AE318</f>
        <v>0</v>
      </c>
      <c r="AF321" s="33">
        <f>AF314+AF318</f>
        <v>0</v>
      </c>
      <c r="AG321" s="33">
        <f>AG314+AG318</f>
        <v>0</v>
      </c>
      <c r="AH321" s="19"/>
      <c r="AI321" s="33">
        <f>AI314+AI318</f>
        <v>-7917.729999999985</v>
      </c>
      <c r="AJ321" s="34"/>
      <c r="AK321" s="25"/>
      <c r="AM321" s="25"/>
      <c r="AO321" s="25"/>
      <c r="AQ321" s="25"/>
      <c r="AS321" s="25"/>
      <c r="AT321" s="19"/>
      <c r="AU321" s="25"/>
    </row>
    <row r="322" spans="1:47" ht="13.5" thickTop="1" x14ac:dyDescent="0.2">
      <c r="A322" s="12"/>
      <c r="B322" s="149"/>
      <c r="C322" s="26"/>
      <c r="D322" s="19"/>
      <c r="E322" s="26"/>
      <c r="F322" s="19"/>
      <c r="G322" s="26"/>
      <c r="H322" s="19"/>
      <c r="I322" s="26"/>
      <c r="J322" s="19"/>
      <c r="K322" s="26"/>
      <c r="L322" s="19"/>
      <c r="M322" s="26"/>
      <c r="N322" s="19"/>
      <c r="O322" s="26"/>
      <c r="P322" s="19"/>
      <c r="Q322" s="26"/>
      <c r="R322" s="19"/>
      <c r="S322" s="26"/>
      <c r="T322" s="19"/>
      <c r="U322" s="26"/>
      <c r="V322" s="19"/>
      <c r="W322" s="26"/>
      <c r="X322" s="19"/>
      <c r="Y322" s="26"/>
      <c r="Z322" s="19"/>
      <c r="AA322" s="26"/>
      <c r="AB322" s="19"/>
      <c r="AC322" s="26"/>
      <c r="AD322" s="19"/>
      <c r="AE322" s="26"/>
      <c r="AF322" s="26"/>
      <c r="AG322" s="26"/>
      <c r="AH322" s="19"/>
      <c r="AI322" s="26"/>
      <c r="AJ322" s="34"/>
      <c r="AK322" s="25"/>
      <c r="AM322" s="25"/>
      <c r="AO322" s="25"/>
      <c r="AQ322" s="25"/>
      <c r="AS322" s="25"/>
      <c r="AT322" s="19"/>
      <c r="AU322" s="25"/>
    </row>
    <row r="323" spans="1:47" ht="13.5" x14ac:dyDescent="0.25">
      <c r="A323" s="80"/>
      <c r="B323" s="150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34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</row>
    <row r="324" spans="1:47" x14ac:dyDescent="0.2">
      <c r="A324" s="79"/>
      <c r="B324" s="43"/>
      <c r="C324" s="34"/>
      <c r="D324" s="34"/>
      <c r="E324" s="34"/>
      <c r="F324" s="34"/>
      <c r="G324" s="34"/>
      <c r="H324" s="34"/>
      <c r="I324" s="34"/>
      <c r="J324" s="34"/>
      <c r="K324" s="34"/>
    </row>
    <row r="325" spans="1:47" ht="38.25" x14ac:dyDescent="0.2">
      <c r="A325" s="80" t="s">
        <v>133</v>
      </c>
      <c r="B325" s="81" t="s">
        <v>246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</row>
    <row r="326" spans="1:47" x14ac:dyDescent="0.2">
      <c r="A326" s="80" t="s">
        <v>134</v>
      </c>
      <c r="B326" s="81" t="s">
        <v>247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</row>
    <row r="327" spans="1:47" ht="38.25" x14ac:dyDescent="0.2">
      <c r="A327" s="80" t="s">
        <v>248</v>
      </c>
      <c r="B327" s="81" t="s">
        <v>249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</row>
    <row r="328" spans="1:47" x14ac:dyDescent="0.2">
      <c r="A328" s="79" t="s">
        <v>250</v>
      </c>
      <c r="B328" s="81" t="s">
        <v>251</v>
      </c>
      <c r="C328" s="34"/>
      <c r="D328" s="34"/>
      <c r="E328" s="34"/>
      <c r="F328" s="34"/>
      <c r="G328" s="34"/>
      <c r="H328" s="34"/>
      <c r="I328" s="34"/>
      <c r="J328" s="34"/>
      <c r="K328" s="34"/>
    </row>
    <row r="329" spans="1:47" ht="14.25" customHeight="1" x14ac:dyDescent="0.2">
      <c r="A329" s="79">
        <v>42856</v>
      </c>
      <c r="B329" s="151" t="s">
        <v>252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</row>
    <row r="330" spans="1:47" x14ac:dyDescent="0.2">
      <c r="A330" s="80"/>
      <c r="B330" s="151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</row>
    <row r="331" spans="1:47" x14ac:dyDescent="0.2">
      <c r="A331" s="80"/>
      <c r="B331" s="151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</row>
    <row r="332" spans="1:47" x14ac:dyDescent="0.2">
      <c r="A332" s="79"/>
      <c r="B332" s="43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</row>
    <row r="333" spans="1:47" x14ac:dyDescent="0.2">
      <c r="A333" s="79" t="s">
        <v>137</v>
      </c>
      <c r="B333" s="81" t="s">
        <v>253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</row>
    <row r="334" spans="1:47" x14ac:dyDescent="0.2">
      <c r="A334" s="79" t="s">
        <v>138</v>
      </c>
      <c r="B334" s="81" t="s">
        <v>253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</row>
    <row r="335" spans="1:47" x14ac:dyDescent="0.2">
      <c r="A335" s="79" t="s">
        <v>254</v>
      </c>
      <c r="B335" s="43" t="s">
        <v>255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</row>
    <row r="336" spans="1:47" x14ac:dyDescent="0.2">
      <c r="A336" s="79" t="s">
        <v>256</v>
      </c>
      <c r="B336" s="43" t="s">
        <v>257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</row>
    <row r="337" spans="1:47" x14ac:dyDescent="0.2">
      <c r="A337" s="80" t="s">
        <v>258</v>
      </c>
      <c r="B337" s="81" t="s">
        <v>247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</row>
    <row r="338" spans="1:47" x14ac:dyDescent="0.2">
      <c r="A338" s="79" t="s">
        <v>259</v>
      </c>
      <c r="B338" s="81" t="s">
        <v>253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</row>
    <row r="339" spans="1:47" x14ac:dyDescent="0.2">
      <c r="A339" s="80" t="s">
        <v>260</v>
      </c>
      <c r="B339" s="81" t="s">
        <v>247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</row>
    <row r="340" spans="1:47" x14ac:dyDescent="0.2">
      <c r="A340" s="79">
        <v>43040</v>
      </c>
      <c r="B340" s="81" t="s">
        <v>247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</row>
    <row r="341" spans="1:47" ht="38.25" x14ac:dyDescent="0.2">
      <c r="A341" s="79" t="s">
        <v>261</v>
      </c>
      <c r="B341" s="81" t="s">
        <v>262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</row>
    <row r="342" spans="1:47" x14ac:dyDescent="0.2">
      <c r="A342" s="79" t="s">
        <v>263</v>
      </c>
      <c r="B342" s="81" t="s">
        <v>264</v>
      </c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</row>
    <row r="343" spans="1:47" x14ac:dyDescent="0.2">
      <c r="A343" s="79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</row>
    <row r="344" spans="1:47" x14ac:dyDescent="0.2">
      <c r="A344" s="79"/>
      <c r="B344" s="82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</row>
    <row r="345" spans="1:47" x14ac:dyDescent="0.2"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</row>
    <row r="346" spans="1:47" x14ac:dyDescent="0.2">
      <c r="A346" s="152"/>
      <c r="B346" s="7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</row>
    <row r="347" spans="1:47" x14ac:dyDescent="0.2">
      <c r="B347" s="12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</row>
    <row r="348" spans="1:47" x14ac:dyDescent="0.2">
      <c r="A348" s="152"/>
      <c r="B348" s="83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</row>
    <row r="349" spans="1:47" x14ac:dyDescent="0.2"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</row>
    <row r="350" spans="1:47" x14ac:dyDescent="0.2">
      <c r="A350" s="79"/>
      <c r="B350" s="12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</row>
    <row r="351" spans="1:47" x14ac:dyDescent="0.2"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</row>
    <row r="352" spans="1:47" x14ac:dyDescent="0.2">
      <c r="A352" s="74"/>
      <c r="B352" s="153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</row>
    <row r="353" spans="3:47" x14ac:dyDescent="0.2"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</row>
    <row r="354" spans="3:47" x14ac:dyDescent="0.2"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</row>
    <row r="355" spans="3:47" x14ac:dyDescent="0.2"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</row>
    <row r="356" spans="3:47" x14ac:dyDescent="0.2"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</row>
    <row r="357" spans="3:47" x14ac:dyDescent="0.2"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</row>
    <row r="358" spans="3:47" x14ac:dyDescent="0.2"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</row>
    <row r="359" spans="3:47" x14ac:dyDescent="0.2"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</row>
    <row r="360" spans="3:47" x14ac:dyDescent="0.2"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</row>
    <row r="361" spans="3:47" x14ac:dyDescent="0.2"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</row>
    <row r="362" spans="3:47" x14ac:dyDescent="0.2"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</row>
    <row r="363" spans="3:47" x14ac:dyDescent="0.2"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</row>
    <row r="364" spans="3:47" x14ac:dyDescent="0.2"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</row>
    <row r="365" spans="3:47" x14ac:dyDescent="0.2"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</row>
    <row r="366" spans="3:47" x14ac:dyDescent="0.2"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</row>
    <row r="367" spans="3:47" x14ac:dyDescent="0.2"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</row>
    <row r="368" spans="3:47" x14ac:dyDescent="0.2"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</row>
    <row r="369" spans="3:47" x14ac:dyDescent="0.2"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</row>
    <row r="370" spans="3:47" x14ac:dyDescent="0.2"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</row>
    <row r="371" spans="3:47" x14ac:dyDescent="0.2"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</row>
    <row r="372" spans="3:47" x14ac:dyDescent="0.2"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</row>
    <row r="373" spans="3:47" x14ac:dyDescent="0.2"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</row>
    <row r="374" spans="3:47" x14ac:dyDescent="0.2"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</row>
    <row r="375" spans="3:47" x14ac:dyDescent="0.2"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</row>
    <row r="376" spans="3:47" x14ac:dyDescent="0.2"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</row>
    <row r="377" spans="3:47" x14ac:dyDescent="0.2"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</row>
    <row r="378" spans="3:47" x14ac:dyDescent="0.2"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</row>
    <row r="379" spans="3:47" x14ac:dyDescent="0.2"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</row>
    <row r="380" spans="3:47" x14ac:dyDescent="0.2"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</row>
    <row r="381" spans="3:47" x14ac:dyDescent="0.2"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</row>
    <row r="382" spans="3:47" x14ac:dyDescent="0.2"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</row>
    <row r="383" spans="3:47" x14ac:dyDescent="0.2"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</row>
    <row r="384" spans="3:47" x14ac:dyDescent="0.2"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</row>
    <row r="385" spans="3:47" x14ac:dyDescent="0.2"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</row>
    <row r="386" spans="3:47" x14ac:dyDescent="0.2"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</row>
    <row r="387" spans="3:47" x14ac:dyDescent="0.2"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</row>
    <row r="388" spans="3:47" x14ac:dyDescent="0.2"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</row>
    <row r="389" spans="3:47" x14ac:dyDescent="0.2"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</row>
    <row r="390" spans="3:47" x14ac:dyDescent="0.2"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</row>
    <row r="391" spans="3:47" x14ac:dyDescent="0.2"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</row>
    <row r="392" spans="3:47" x14ac:dyDescent="0.2"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</row>
    <row r="393" spans="3:47" x14ac:dyDescent="0.2"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</row>
    <row r="394" spans="3:47" x14ac:dyDescent="0.2"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</row>
    <row r="395" spans="3:47" x14ac:dyDescent="0.2"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</row>
    <row r="396" spans="3:47" x14ac:dyDescent="0.2"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</row>
    <row r="397" spans="3:47" x14ac:dyDescent="0.2"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</row>
    <row r="398" spans="3:47" x14ac:dyDescent="0.2"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</row>
    <row r="399" spans="3:47" x14ac:dyDescent="0.2"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</row>
    <row r="400" spans="3:47" x14ac:dyDescent="0.2"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</row>
    <row r="401" spans="3:47" x14ac:dyDescent="0.2"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</row>
    <row r="402" spans="3:47" x14ac:dyDescent="0.2"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</row>
    <row r="403" spans="3:47" x14ac:dyDescent="0.2"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</row>
    <row r="404" spans="3:47" x14ac:dyDescent="0.2"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</row>
    <row r="405" spans="3:47" x14ac:dyDescent="0.2"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</row>
    <row r="406" spans="3:47" x14ac:dyDescent="0.2"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</row>
    <row r="407" spans="3:47" x14ac:dyDescent="0.2"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</row>
    <row r="408" spans="3:47" x14ac:dyDescent="0.2"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</row>
    <row r="409" spans="3:47" x14ac:dyDescent="0.2"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</row>
    <row r="410" spans="3:47" x14ac:dyDescent="0.2"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</row>
    <row r="411" spans="3:47" x14ac:dyDescent="0.2"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</row>
    <row r="412" spans="3:47" x14ac:dyDescent="0.2"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</row>
    <row r="413" spans="3:47" x14ac:dyDescent="0.2"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</row>
    <row r="414" spans="3:47" x14ac:dyDescent="0.2"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</row>
    <row r="415" spans="3:47" x14ac:dyDescent="0.2"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</row>
    <row r="416" spans="3:47" x14ac:dyDescent="0.2"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</row>
    <row r="417" spans="3:47" x14ac:dyDescent="0.2"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</row>
    <row r="418" spans="3:47" x14ac:dyDescent="0.2"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</row>
    <row r="419" spans="3:47" x14ac:dyDescent="0.2"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</row>
    <row r="420" spans="3:47" x14ac:dyDescent="0.2"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</row>
    <row r="421" spans="3:47" x14ac:dyDescent="0.2"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</row>
    <row r="422" spans="3:47" x14ac:dyDescent="0.2"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</row>
    <row r="423" spans="3:47" x14ac:dyDescent="0.2"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</row>
    <row r="424" spans="3:47" x14ac:dyDescent="0.2"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</row>
    <row r="425" spans="3:47" x14ac:dyDescent="0.2"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</row>
    <row r="426" spans="3:47" x14ac:dyDescent="0.2"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</row>
    <row r="427" spans="3:47" x14ac:dyDescent="0.2"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</row>
    <row r="428" spans="3:47" x14ac:dyDescent="0.2"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</row>
    <row r="429" spans="3:47" x14ac:dyDescent="0.2"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</row>
    <row r="430" spans="3:47" x14ac:dyDescent="0.2"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</row>
    <row r="431" spans="3:47" x14ac:dyDescent="0.2"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</row>
    <row r="432" spans="3:47" x14ac:dyDescent="0.2"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</row>
    <row r="433" spans="3:47" x14ac:dyDescent="0.2"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</row>
    <row r="434" spans="3:47" x14ac:dyDescent="0.2"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</row>
    <row r="435" spans="3:47" x14ac:dyDescent="0.2"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</row>
    <row r="436" spans="3:47" x14ac:dyDescent="0.2"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</row>
    <row r="437" spans="3:47" x14ac:dyDescent="0.2"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</row>
    <row r="438" spans="3:47" x14ac:dyDescent="0.2"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</row>
    <row r="439" spans="3:47" x14ac:dyDescent="0.2"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</row>
    <row r="440" spans="3:47" x14ac:dyDescent="0.2"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</row>
    <row r="441" spans="3:47" x14ac:dyDescent="0.2"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</row>
    <row r="442" spans="3:47" x14ac:dyDescent="0.2"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</row>
    <row r="443" spans="3:47" x14ac:dyDescent="0.2"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</row>
    <row r="444" spans="3:47" x14ac:dyDescent="0.2"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</row>
    <row r="445" spans="3:47" x14ac:dyDescent="0.2"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</row>
    <row r="446" spans="3:47" x14ac:dyDescent="0.2"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</row>
    <row r="447" spans="3:47" x14ac:dyDescent="0.2"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</row>
    <row r="448" spans="3:47" x14ac:dyDescent="0.2"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</row>
    <row r="449" spans="3:47" x14ac:dyDescent="0.2"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</row>
    <row r="450" spans="3:47" x14ac:dyDescent="0.2"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</row>
    <row r="451" spans="3:47" x14ac:dyDescent="0.2"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</row>
    <row r="452" spans="3:47" x14ac:dyDescent="0.2"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</row>
    <row r="453" spans="3:47" x14ac:dyDescent="0.2"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</row>
    <row r="454" spans="3:47" x14ac:dyDescent="0.2"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</row>
    <row r="455" spans="3:47" x14ac:dyDescent="0.2"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</row>
    <row r="456" spans="3:47" x14ac:dyDescent="0.2"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</row>
    <row r="457" spans="3:47" x14ac:dyDescent="0.2"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</row>
    <row r="458" spans="3:47" x14ac:dyDescent="0.2"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</row>
    <row r="459" spans="3:47" x14ac:dyDescent="0.2"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</row>
    <row r="460" spans="3:47" x14ac:dyDescent="0.2"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</row>
    <row r="461" spans="3:47" x14ac:dyDescent="0.2"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</row>
    <row r="462" spans="3:47" x14ac:dyDescent="0.2"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</row>
    <row r="463" spans="3:47" x14ac:dyDescent="0.2"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</row>
    <row r="464" spans="3:47" x14ac:dyDescent="0.2"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</row>
    <row r="465" spans="3:47" x14ac:dyDescent="0.2"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</row>
    <row r="466" spans="3:47" x14ac:dyDescent="0.2"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</row>
    <row r="467" spans="3:47" x14ac:dyDescent="0.2"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</row>
    <row r="468" spans="3:47" x14ac:dyDescent="0.2"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</row>
    <row r="469" spans="3:47" x14ac:dyDescent="0.2"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</row>
    <row r="470" spans="3:47" x14ac:dyDescent="0.2"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</row>
    <row r="471" spans="3:47" x14ac:dyDescent="0.2"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</row>
    <row r="472" spans="3:47" x14ac:dyDescent="0.2"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</row>
    <row r="473" spans="3:47" x14ac:dyDescent="0.2"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</row>
    <row r="474" spans="3:47" x14ac:dyDescent="0.2"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</row>
    <row r="475" spans="3:47" x14ac:dyDescent="0.2"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</row>
    <row r="476" spans="3:47" x14ac:dyDescent="0.2"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</row>
    <row r="477" spans="3:47" x14ac:dyDescent="0.2"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</row>
    <row r="478" spans="3:47" x14ac:dyDescent="0.2"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</row>
    <row r="479" spans="3:47" x14ac:dyDescent="0.2"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</row>
    <row r="480" spans="3:47" x14ac:dyDescent="0.2"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</row>
    <row r="481" spans="3:47" x14ac:dyDescent="0.2"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</row>
    <row r="482" spans="3:47" x14ac:dyDescent="0.2"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</row>
    <row r="483" spans="3:47" x14ac:dyDescent="0.2"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</row>
    <row r="484" spans="3:47" x14ac:dyDescent="0.2"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</row>
    <row r="485" spans="3:47" x14ac:dyDescent="0.2"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</row>
    <row r="486" spans="3:47" x14ac:dyDescent="0.2"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</row>
    <row r="487" spans="3:47" x14ac:dyDescent="0.2"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</row>
    <row r="488" spans="3:47" x14ac:dyDescent="0.2"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</row>
    <row r="489" spans="3:47" x14ac:dyDescent="0.2"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</row>
    <row r="490" spans="3:47" x14ac:dyDescent="0.2"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</row>
    <row r="491" spans="3:47" x14ac:dyDescent="0.2"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</row>
    <row r="492" spans="3:47" x14ac:dyDescent="0.2"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</row>
    <row r="493" spans="3:47" x14ac:dyDescent="0.2"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</row>
    <row r="494" spans="3:47" x14ac:dyDescent="0.2"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</row>
    <row r="495" spans="3:47" x14ac:dyDescent="0.2"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</row>
    <row r="496" spans="3:47" x14ac:dyDescent="0.2"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</row>
    <row r="497" spans="3:47" x14ac:dyDescent="0.2"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</row>
    <row r="498" spans="3:47" x14ac:dyDescent="0.2"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</row>
    <row r="499" spans="3:47" x14ac:dyDescent="0.2"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</row>
    <row r="500" spans="3:47" x14ac:dyDescent="0.2"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</row>
    <row r="501" spans="3:47" x14ac:dyDescent="0.2"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</row>
    <row r="502" spans="3:47" x14ac:dyDescent="0.2"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</row>
    <row r="503" spans="3:47" x14ac:dyDescent="0.2"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</row>
    <row r="504" spans="3:47" x14ac:dyDescent="0.2"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</row>
    <row r="505" spans="3:47" x14ac:dyDescent="0.2"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</row>
    <row r="506" spans="3:47" x14ac:dyDescent="0.2"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</row>
    <row r="507" spans="3:47" x14ac:dyDescent="0.2"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</row>
    <row r="508" spans="3:47" x14ac:dyDescent="0.2"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</row>
    <row r="509" spans="3:47" x14ac:dyDescent="0.2"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</row>
    <row r="510" spans="3:47" x14ac:dyDescent="0.2"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</row>
    <row r="511" spans="3:47" x14ac:dyDescent="0.2"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</row>
    <row r="512" spans="3:47" x14ac:dyDescent="0.2"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</row>
    <row r="513" spans="3:47" x14ac:dyDescent="0.2"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</row>
    <row r="514" spans="3:47" x14ac:dyDescent="0.2"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</row>
    <row r="515" spans="3:47" x14ac:dyDescent="0.2"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</row>
    <row r="516" spans="3:47" x14ac:dyDescent="0.2"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</row>
    <row r="517" spans="3:47" x14ac:dyDescent="0.2"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</row>
    <row r="518" spans="3:47" x14ac:dyDescent="0.2"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</row>
    <row r="519" spans="3:47" x14ac:dyDescent="0.2"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</row>
    <row r="520" spans="3:47" x14ac:dyDescent="0.2"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</row>
    <row r="521" spans="3:47" x14ac:dyDescent="0.2"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</row>
    <row r="522" spans="3:47" x14ac:dyDescent="0.2"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</row>
    <row r="523" spans="3:47" x14ac:dyDescent="0.2"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</row>
    <row r="524" spans="3:47" x14ac:dyDescent="0.2"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</row>
    <row r="525" spans="3:47" x14ac:dyDescent="0.2"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</row>
    <row r="526" spans="3:47" x14ac:dyDescent="0.2"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</row>
    <row r="527" spans="3:47" x14ac:dyDescent="0.2"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</row>
    <row r="528" spans="3:47" x14ac:dyDescent="0.2"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</row>
    <row r="529" spans="3:47" x14ac:dyDescent="0.2"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</row>
    <row r="530" spans="3:47" x14ac:dyDescent="0.2"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</row>
    <row r="531" spans="3:47" x14ac:dyDescent="0.2"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</row>
    <row r="532" spans="3:47" x14ac:dyDescent="0.2"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</row>
    <row r="533" spans="3:47" x14ac:dyDescent="0.2"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</row>
    <row r="534" spans="3:47" x14ac:dyDescent="0.2"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</row>
    <row r="535" spans="3:47" x14ac:dyDescent="0.2"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</row>
    <row r="536" spans="3:47" x14ac:dyDescent="0.2"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</row>
    <row r="537" spans="3:47" x14ac:dyDescent="0.2"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</row>
    <row r="538" spans="3:47" x14ac:dyDescent="0.2"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</row>
    <row r="539" spans="3:47" x14ac:dyDescent="0.2"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</row>
    <row r="540" spans="3:47" x14ac:dyDescent="0.2"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</row>
  </sheetData>
  <mergeCells count="4">
    <mergeCell ref="A1:AI1"/>
    <mergeCell ref="A2:AI2"/>
    <mergeCell ref="A3:AI3"/>
    <mergeCell ref="B329:B331"/>
  </mergeCells>
  <dataValidations count="1">
    <dataValidation type="list" allowBlank="1" showInputMessage="1" showErrorMessage="1" sqref="C9 AC9 G9 I9 K9 M9 O9 Q9 E9 AA9 W9 S9 AE9:AG9 U9 Y9">
      <formula1>$AU$1:$AU$4</formula1>
    </dataValidation>
  </dataValidation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  <rowBreaks count="2" manualBreakCount="2">
    <brk id="62" max="34" man="1"/>
    <brk id="2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8"/>
  <sheetViews>
    <sheetView zoomScale="80" zoomScaleNormal="8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9.140625" style="3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30" width="9.140625" style="3"/>
    <col min="31" max="47" width="9.140625" style="3" customWidth="1"/>
    <col min="48" max="16384" width="9.140625" style="3"/>
  </cols>
  <sheetData>
    <row r="1" spans="1:29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AC1" s="142" t="s">
        <v>128</v>
      </c>
    </row>
    <row r="2" spans="1:29" x14ac:dyDescent="0.2">
      <c r="A2" s="95" t="s">
        <v>265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AC2" s="144" t="s">
        <v>130</v>
      </c>
    </row>
    <row r="3" spans="1:29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AC3" s="144" t="s">
        <v>131</v>
      </c>
    </row>
    <row r="4" spans="1:2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9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79"/>
      <c r="AB4" s="4"/>
      <c r="AC4" s="145" t="s">
        <v>132</v>
      </c>
    </row>
    <row r="5" spans="1:29" x14ac:dyDescent="0.2">
      <c r="A5" s="4"/>
      <c r="B5" s="4"/>
      <c r="C5" s="79">
        <v>42795</v>
      </c>
      <c r="D5" s="4"/>
      <c r="E5" s="79">
        <v>42917</v>
      </c>
      <c r="F5" s="4"/>
      <c r="G5" s="79">
        <v>42948</v>
      </c>
      <c r="H5" s="4"/>
      <c r="I5" s="79">
        <v>43009</v>
      </c>
      <c r="J5" s="4"/>
      <c r="K5" s="4"/>
      <c r="L5" s="4"/>
      <c r="M5" s="4"/>
      <c r="N5" s="4"/>
      <c r="O5" s="79"/>
      <c r="P5" s="4"/>
      <c r="Q5" s="4"/>
      <c r="R5" s="4"/>
      <c r="S5" s="79"/>
      <c r="T5" s="4"/>
      <c r="U5" s="79"/>
      <c r="V5" s="4"/>
      <c r="W5" s="79"/>
      <c r="X5" s="4"/>
      <c r="Y5" s="79"/>
      <c r="Z5" s="4"/>
      <c r="AA5" s="79"/>
      <c r="AB5" s="4"/>
      <c r="AC5" s="79"/>
    </row>
    <row r="6" spans="1:29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4</v>
      </c>
      <c r="R6" s="4"/>
      <c r="S6" s="25" t="s">
        <v>142</v>
      </c>
      <c r="T6" s="7"/>
      <c r="U6" s="25" t="s">
        <v>142</v>
      </c>
      <c r="V6" s="7"/>
      <c r="W6" s="25" t="s">
        <v>142</v>
      </c>
      <c r="X6" s="7"/>
      <c r="Y6" s="25" t="s">
        <v>142</v>
      </c>
      <c r="Z6" s="7"/>
      <c r="AA6" s="25" t="s">
        <v>143</v>
      </c>
      <c r="AB6" s="7"/>
      <c r="AC6" s="25"/>
    </row>
    <row r="7" spans="1:29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5</v>
      </c>
      <c r="R7" s="4"/>
      <c r="S7" s="10" t="s">
        <v>6</v>
      </c>
      <c r="T7" s="9"/>
      <c r="U7" s="10" t="s">
        <v>8</v>
      </c>
      <c r="V7" s="9"/>
      <c r="W7" s="10" t="s">
        <v>144</v>
      </c>
      <c r="X7" s="9"/>
      <c r="Y7" s="10" t="s">
        <v>132</v>
      </c>
      <c r="Z7" s="9"/>
      <c r="AA7" s="10" t="s">
        <v>142</v>
      </c>
      <c r="AB7" s="9"/>
      <c r="AC7" s="10" t="s">
        <v>102</v>
      </c>
    </row>
    <row r="8" spans="1:29" x14ac:dyDescent="0.2">
      <c r="A8" s="8"/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4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</row>
    <row r="9" spans="1:29" x14ac:dyDescent="0.2">
      <c r="A9" s="71" t="s">
        <v>145</v>
      </c>
      <c r="C9" s="9" t="s">
        <v>131</v>
      </c>
      <c r="D9" s="11"/>
      <c r="E9" s="9" t="s">
        <v>131</v>
      </c>
      <c r="F9" s="11"/>
      <c r="G9" s="9" t="s">
        <v>131</v>
      </c>
      <c r="H9" s="11"/>
      <c r="I9" s="9"/>
      <c r="J9" s="11"/>
      <c r="K9" s="9"/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9"/>
      <c r="AB9" s="11"/>
      <c r="AC9" s="9"/>
    </row>
    <row r="10" spans="1:29" x14ac:dyDescent="0.2">
      <c r="A10" s="8"/>
    </row>
    <row r="11" spans="1:29" x14ac:dyDescent="0.2">
      <c r="A11" s="8">
        <v>101</v>
      </c>
      <c r="B11" s="12" t="s">
        <v>10</v>
      </c>
    </row>
    <row r="12" spans="1:29" x14ac:dyDescent="0.2">
      <c r="A12" s="8"/>
      <c r="B12" s="12"/>
    </row>
    <row r="13" spans="1:29" x14ac:dyDescent="0.2">
      <c r="A13" s="71" t="s">
        <v>11</v>
      </c>
      <c r="B13" s="12"/>
    </row>
    <row r="14" spans="1:29" x14ac:dyDescent="0.2">
      <c r="A14" s="71"/>
      <c r="B14" s="12" t="s">
        <v>12</v>
      </c>
    </row>
    <row r="15" spans="1:29" x14ac:dyDescent="0.2">
      <c r="A15" s="71"/>
      <c r="B15" s="3" t="s">
        <v>146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f t="shared" ref="Q15:Q30" si="0">SUM(C15:P15)</f>
        <v>0</v>
      </c>
      <c r="S15" s="14">
        <f t="shared" ref="S15:S30" si="1">SUMIF($C$9:$P$9,"=Addition",$C15:$P15)</f>
        <v>0</v>
      </c>
      <c r="U15" s="14">
        <f t="shared" ref="U15:U30" si="2">SUMIF($C$9:$P$9,"=Adjustment",$C15:$P15)</f>
        <v>0</v>
      </c>
      <c r="W15" s="14">
        <f t="shared" ref="W15:W30" si="3">SUMIF($C$9:$P$9,"=Transfer",$C15:$P15)</f>
        <v>0</v>
      </c>
      <c r="Y15" s="14">
        <f t="shared" ref="Y15:Y30" si="4">SUMIF($C$9:$P$9,"=Addition",$C15:$P15)</f>
        <v>0</v>
      </c>
      <c r="AA15" s="14">
        <f t="shared" ref="AA15:AA30" si="5">SUM(S15:Y15)</f>
        <v>0</v>
      </c>
      <c r="AC15" s="14">
        <f>+Q15-AA15</f>
        <v>0</v>
      </c>
    </row>
    <row r="16" spans="1:29" x14ac:dyDescent="0.2">
      <c r="A16" s="71"/>
      <c r="B16" s="3" t="s">
        <v>147</v>
      </c>
      <c r="C16" s="14">
        <v>0</v>
      </c>
      <c r="E16" s="14">
        <v>0</v>
      </c>
      <c r="G16" s="14">
        <v>-240853.29</v>
      </c>
      <c r="I16" s="14">
        <v>0</v>
      </c>
      <c r="K16" s="14">
        <v>0</v>
      </c>
      <c r="M16" s="14">
        <v>0</v>
      </c>
      <c r="O16" s="14">
        <v>0</v>
      </c>
      <c r="Q16" s="14">
        <f t="shared" si="0"/>
        <v>-240853.29</v>
      </c>
      <c r="S16" s="14">
        <f t="shared" si="1"/>
        <v>0</v>
      </c>
      <c r="U16" s="14">
        <f t="shared" si="2"/>
        <v>0</v>
      </c>
      <c r="W16" s="14">
        <f t="shared" si="3"/>
        <v>-240853.29</v>
      </c>
      <c r="Y16" s="14">
        <f t="shared" si="4"/>
        <v>0</v>
      </c>
      <c r="AA16" s="14">
        <f t="shared" si="5"/>
        <v>-240853.29</v>
      </c>
      <c r="AC16" s="14">
        <f t="shared" ref="AC16:AC30" si="6">+Q16-AA16</f>
        <v>0</v>
      </c>
    </row>
    <row r="17" spans="1:29" x14ac:dyDescent="0.2">
      <c r="A17" s="71"/>
      <c r="B17" s="3" t="s">
        <v>148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f t="shared" si="0"/>
        <v>0</v>
      </c>
      <c r="S17" s="14">
        <f t="shared" si="1"/>
        <v>0</v>
      </c>
      <c r="U17" s="14">
        <f t="shared" si="2"/>
        <v>0</v>
      </c>
      <c r="W17" s="14">
        <f t="shared" si="3"/>
        <v>0</v>
      </c>
      <c r="Y17" s="14">
        <f t="shared" si="4"/>
        <v>0</v>
      </c>
      <c r="AA17" s="14">
        <f t="shared" si="5"/>
        <v>0</v>
      </c>
      <c r="AC17" s="14">
        <f t="shared" si="6"/>
        <v>0</v>
      </c>
    </row>
    <row r="18" spans="1:29" x14ac:dyDescent="0.2">
      <c r="A18" s="71"/>
      <c r="B18" s="3" t="s">
        <v>149</v>
      </c>
      <c r="C18" s="14">
        <v>0</v>
      </c>
      <c r="E18" s="14">
        <v>0</v>
      </c>
      <c r="G18" s="14">
        <v>0</v>
      </c>
      <c r="I18" s="14">
        <f>117705.87-117705.87</f>
        <v>0</v>
      </c>
      <c r="K18" s="14">
        <v>0</v>
      </c>
      <c r="M18" s="14">
        <v>0</v>
      </c>
      <c r="O18" s="14">
        <v>0</v>
      </c>
      <c r="Q18" s="14">
        <f t="shared" si="0"/>
        <v>0</v>
      </c>
      <c r="S18" s="14">
        <f t="shared" si="1"/>
        <v>0</v>
      </c>
      <c r="U18" s="14">
        <f t="shared" si="2"/>
        <v>0</v>
      </c>
      <c r="W18" s="14">
        <f t="shared" si="3"/>
        <v>0</v>
      </c>
      <c r="Y18" s="14">
        <f t="shared" si="4"/>
        <v>0</v>
      </c>
      <c r="AA18" s="14">
        <f t="shared" si="5"/>
        <v>0</v>
      </c>
      <c r="AC18" s="14">
        <f t="shared" si="6"/>
        <v>0</v>
      </c>
    </row>
    <row r="19" spans="1:29" x14ac:dyDescent="0.2">
      <c r="A19" s="71"/>
      <c r="B19" s="3" t="s">
        <v>150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f t="shared" si="0"/>
        <v>0</v>
      </c>
      <c r="S19" s="14">
        <f t="shared" si="1"/>
        <v>0</v>
      </c>
      <c r="U19" s="14">
        <f t="shared" si="2"/>
        <v>0</v>
      </c>
      <c r="W19" s="14">
        <f t="shared" si="3"/>
        <v>0</v>
      </c>
      <c r="Y19" s="14">
        <f t="shared" si="4"/>
        <v>0</v>
      </c>
      <c r="AA19" s="14">
        <f t="shared" si="5"/>
        <v>0</v>
      </c>
      <c r="AC19" s="14">
        <f t="shared" si="6"/>
        <v>0</v>
      </c>
    </row>
    <row r="20" spans="1:29" x14ac:dyDescent="0.2">
      <c r="A20" s="71"/>
      <c r="B20" s="3" t="s">
        <v>151</v>
      </c>
      <c r="C20" s="14">
        <v>0</v>
      </c>
      <c r="E20" s="14">
        <v>0</v>
      </c>
      <c r="G20" s="14">
        <v>0</v>
      </c>
      <c r="I20" s="14">
        <v>0</v>
      </c>
      <c r="K20" s="14">
        <v>0</v>
      </c>
      <c r="M20" s="14">
        <v>0</v>
      </c>
      <c r="O20" s="14">
        <v>0</v>
      </c>
      <c r="Q20" s="14">
        <f t="shared" si="0"/>
        <v>0</v>
      </c>
      <c r="S20" s="14">
        <f t="shared" si="1"/>
        <v>0</v>
      </c>
      <c r="U20" s="14">
        <f t="shared" si="2"/>
        <v>0</v>
      </c>
      <c r="W20" s="14">
        <f t="shared" si="3"/>
        <v>0</v>
      </c>
      <c r="Y20" s="14">
        <f t="shared" si="4"/>
        <v>0</v>
      </c>
      <c r="AA20" s="14">
        <f t="shared" si="5"/>
        <v>0</v>
      </c>
      <c r="AC20" s="14">
        <f t="shared" si="6"/>
        <v>0</v>
      </c>
    </row>
    <row r="21" spans="1:29" x14ac:dyDescent="0.2">
      <c r="A21" s="71"/>
      <c r="B21" s="3" t="s">
        <v>152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f t="shared" si="0"/>
        <v>0</v>
      </c>
      <c r="S21" s="14">
        <f t="shared" si="1"/>
        <v>0</v>
      </c>
      <c r="U21" s="14">
        <f t="shared" si="2"/>
        <v>0</v>
      </c>
      <c r="W21" s="14">
        <f t="shared" si="3"/>
        <v>0</v>
      </c>
      <c r="Y21" s="14">
        <f t="shared" si="4"/>
        <v>0</v>
      </c>
      <c r="AA21" s="14">
        <f t="shared" si="5"/>
        <v>0</v>
      </c>
      <c r="AC21" s="14">
        <f t="shared" si="6"/>
        <v>0</v>
      </c>
    </row>
    <row r="22" spans="1:29" x14ac:dyDescent="0.2">
      <c r="A22" s="71"/>
      <c r="B22" s="3" t="s">
        <v>153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f t="shared" si="0"/>
        <v>0</v>
      </c>
      <c r="S22" s="14">
        <f t="shared" si="1"/>
        <v>0</v>
      </c>
      <c r="U22" s="14">
        <f t="shared" si="2"/>
        <v>0</v>
      </c>
      <c r="W22" s="14">
        <f t="shared" si="3"/>
        <v>0</v>
      </c>
      <c r="Y22" s="14">
        <f t="shared" si="4"/>
        <v>0</v>
      </c>
      <c r="AA22" s="14">
        <f t="shared" si="5"/>
        <v>0</v>
      </c>
      <c r="AC22" s="14">
        <f t="shared" si="6"/>
        <v>0</v>
      </c>
    </row>
    <row r="23" spans="1:29" x14ac:dyDescent="0.2">
      <c r="A23" s="71"/>
      <c r="B23" s="3" t="s">
        <v>154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f t="shared" si="0"/>
        <v>0</v>
      </c>
      <c r="S23" s="14">
        <f t="shared" si="1"/>
        <v>0</v>
      </c>
      <c r="U23" s="14">
        <f t="shared" si="2"/>
        <v>0</v>
      </c>
      <c r="W23" s="14">
        <f t="shared" si="3"/>
        <v>0</v>
      </c>
      <c r="Y23" s="14">
        <f t="shared" si="4"/>
        <v>0</v>
      </c>
      <c r="AA23" s="14">
        <f t="shared" si="5"/>
        <v>0</v>
      </c>
      <c r="AC23" s="14">
        <f t="shared" si="6"/>
        <v>0</v>
      </c>
    </row>
    <row r="24" spans="1:29" x14ac:dyDescent="0.2">
      <c r="A24" s="71"/>
      <c r="B24" s="3" t="s">
        <v>155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f t="shared" si="0"/>
        <v>0</v>
      </c>
      <c r="S24" s="14">
        <f t="shared" si="1"/>
        <v>0</v>
      </c>
      <c r="U24" s="14">
        <f t="shared" si="2"/>
        <v>0</v>
      </c>
      <c r="W24" s="14">
        <f t="shared" si="3"/>
        <v>0</v>
      </c>
      <c r="Y24" s="14">
        <f t="shared" si="4"/>
        <v>0</v>
      </c>
      <c r="AA24" s="14">
        <f t="shared" si="5"/>
        <v>0</v>
      </c>
      <c r="AC24" s="14">
        <f t="shared" si="6"/>
        <v>0</v>
      </c>
    </row>
    <row r="25" spans="1:29" x14ac:dyDescent="0.2">
      <c r="A25" s="71"/>
      <c r="B25" s="3" t="s">
        <v>156</v>
      </c>
      <c r="C25" s="14">
        <v>0</v>
      </c>
      <c r="E25" s="14">
        <v>-872830.15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f t="shared" si="0"/>
        <v>-872830.15</v>
      </c>
      <c r="S25" s="14">
        <f t="shared" si="1"/>
        <v>0</v>
      </c>
      <c r="U25" s="14">
        <f t="shared" si="2"/>
        <v>0</v>
      </c>
      <c r="W25" s="14">
        <f t="shared" si="3"/>
        <v>-872830.15</v>
      </c>
      <c r="Y25" s="14">
        <f t="shared" si="4"/>
        <v>0</v>
      </c>
      <c r="AA25" s="14">
        <f t="shared" si="5"/>
        <v>-872830.15</v>
      </c>
      <c r="AC25" s="14">
        <f>+Q25-AA25</f>
        <v>0</v>
      </c>
    </row>
    <row r="26" spans="1:29" x14ac:dyDescent="0.2">
      <c r="A26" s="71"/>
      <c r="B26" s="3" t="s">
        <v>158</v>
      </c>
      <c r="C26" s="14"/>
      <c r="E26" s="14">
        <v>872830.15</v>
      </c>
      <c r="G26" s="14"/>
      <c r="I26" s="14"/>
      <c r="K26" s="14"/>
      <c r="M26" s="14"/>
      <c r="O26" s="14"/>
      <c r="Q26" s="14">
        <f t="shared" si="0"/>
        <v>872830.15</v>
      </c>
      <c r="S26" s="14">
        <f t="shared" si="1"/>
        <v>0</v>
      </c>
      <c r="U26" s="14">
        <f t="shared" si="2"/>
        <v>0</v>
      </c>
      <c r="W26" s="14">
        <f t="shared" si="3"/>
        <v>872830.15</v>
      </c>
      <c r="Y26" s="14">
        <f t="shared" si="4"/>
        <v>0</v>
      </c>
      <c r="AA26" s="14">
        <f t="shared" si="5"/>
        <v>872830.15</v>
      </c>
      <c r="AC26" s="14"/>
    </row>
    <row r="27" spans="1:29" x14ac:dyDescent="0.2">
      <c r="A27" s="71"/>
      <c r="B27" s="3" t="s">
        <v>159</v>
      </c>
      <c r="C27" s="14">
        <v>0</v>
      </c>
      <c r="E27" s="14">
        <v>0</v>
      </c>
      <c r="G27" s="14">
        <v>0</v>
      </c>
      <c r="I27" s="14">
        <v>0</v>
      </c>
      <c r="K27" s="14">
        <v>0</v>
      </c>
      <c r="M27" s="14">
        <v>0</v>
      </c>
      <c r="O27" s="14">
        <v>0</v>
      </c>
      <c r="Q27" s="14">
        <f t="shared" si="0"/>
        <v>0</v>
      </c>
      <c r="S27" s="14">
        <f t="shared" si="1"/>
        <v>0</v>
      </c>
      <c r="U27" s="14">
        <f t="shared" si="2"/>
        <v>0</v>
      </c>
      <c r="W27" s="14">
        <f t="shared" si="3"/>
        <v>0</v>
      </c>
      <c r="Y27" s="14">
        <f t="shared" si="4"/>
        <v>0</v>
      </c>
      <c r="AA27" s="14">
        <f t="shared" si="5"/>
        <v>0</v>
      </c>
      <c r="AC27" s="14">
        <f t="shared" si="6"/>
        <v>0</v>
      </c>
    </row>
    <row r="28" spans="1:29" x14ac:dyDescent="0.2">
      <c r="A28" s="71"/>
      <c r="B28" s="3" t="s">
        <v>160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v>0</v>
      </c>
      <c r="O28" s="14">
        <v>0</v>
      </c>
      <c r="Q28" s="14">
        <f t="shared" si="0"/>
        <v>0</v>
      </c>
      <c r="S28" s="14">
        <f t="shared" si="1"/>
        <v>0</v>
      </c>
      <c r="U28" s="14">
        <f t="shared" si="2"/>
        <v>0</v>
      </c>
      <c r="W28" s="14">
        <f t="shared" si="3"/>
        <v>0</v>
      </c>
      <c r="Y28" s="14">
        <f t="shared" si="4"/>
        <v>0</v>
      </c>
      <c r="AA28" s="14">
        <f t="shared" si="5"/>
        <v>0</v>
      </c>
      <c r="AC28" s="14">
        <f t="shared" si="6"/>
        <v>0</v>
      </c>
    </row>
    <row r="29" spans="1:29" x14ac:dyDescent="0.2">
      <c r="A29" s="71"/>
      <c r="B29" s="3" t="s">
        <v>161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f t="shared" si="0"/>
        <v>0</v>
      </c>
      <c r="S29" s="14">
        <f t="shared" si="1"/>
        <v>0</v>
      </c>
      <c r="U29" s="14">
        <f t="shared" si="2"/>
        <v>0</v>
      </c>
      <c r="W29" s="14">
        <f t="shared" si="3"/>
        <v>0</v>
      </c>
      <c r="Y29" s="14">
        <f t="shared" si="4"/>
        <v>0</v>
      </c>
      <c r="AA29" s="14">
        <f t="shared" si="5"/>
        <v>0</v>
      </c>
      <c r="AC29" s="14">
        <f t="shared" si="6"/>
        <v>0</v>
      </c>
    </row>
    <row r="30" spans="1:29" x14ac:dyDescent="0.2">
      <c r="A30" s="71"/>
      <c r="B30" s="73" t="s">
        <v>162</v>
      </c>
      <c r="C30" s="14">
        <v>0</v>
      </c>
      <c r="E30" s="14">
        <v>0</v>
      </c>
      <c r="G30" s="14">
        <v>0</v>
      </c>
      <c r="I30" s="14">
        <v>0</v>
      </c>
      <c r="K30" s="14">
        <v>0</v>
      </c>
      <c r="M30" s="14">
        <v>0</v>
      </c>
      <c r="O30" s="14">
        <v>0</v>
      </c>
      <c r="Q30" s="14">
        <f t="shared" si="0"/>
        <v>0</v>
      </c>
      <c r="S30" s="14">
        <f t="shared" si="1"/>
        <v>0</v>
      </c>
      <c r="U30" s="14">
        <f t="shared" si="2"/>
        <v>0</v>
      </c>
      <c r="W30" s="14">
        <f t="shared" si="3"/>
        <v>0</v>
      </c>
      <c r="Y30" s="14">
        <f t="shared" si="4"/>
        <v>0</v>
      </c>
      <c r="AA30" s="14">
        <f t="shared" si="5"/>
        <v>0</v>
      </c>
      <c r="AC30" s="14">
        <f t="shared" si="6"/>
        <v>0</v>
      </c>
    </row>
    <row r="31" spans="1:29" x14ac:dyDescent="0.2">
      <c r="A31" s="71"/>
      <c r="B31" s="12" t="s">
        <v>163</v>
      </c>
      <c r="C31" s="18">
        <f>SUM(C15:C30)</f>
        <v>0</v>
      </c>
      <c r="E31" s="18">
        <f>SUM(E15:E30)</f>
        <v>0</v>
      </c>
      <c r="G31" s="18">
        <f>SUM(G15:G30)</f>
        <v>-240853.29</v>
      </c>
      <c r="I31" s="18">
        <f>SUM(I15:I30)</f>
        <v>0</v>
      </c>
      <c r="K31" s="18">
        <f>SUM(K15:K30)</f>
        <v>0</v>
      </c>
      <c r="M31" s="18">
        <f>SUM(M15:M30)</f>
        <v>0</v>
      </c>
      <c r="O31" s="18">
        <f>SUM(O15:O30)</f>
        <v>0</v>
      </c>
      <c r="Q31" s="18">
        <f>SUM(Q15:Q30)</f>
        <v>-240853.28999999992</v>
      </c>
      <c r="S31" s="18">
        <f>SUM(S15:S30)</f>
        <v>0</v>
      </c>
      <c r="U31" s="18">
        <f>SUM(U15:U30)</f>
        <v>0</v>
      </c>
      <c r="W31" s="18">
        <f>SUM(W15:W30)</f>
        <v>-240853.28999999992</v>
      </c>
      <c r="Y31" s="18">
        <f>SUM(Y15:Y30)</f>
        <v>0</v>
      </c>
      <c r="AA31" s="18">
        <f>SUM(AA15:AA30)</f>
        <v>-240853.28999999992</v>
      </c>
      <c r="AC31" s="18">
        <f>+Q31-AA31</f>
        <v>0</v>
      </c>
    </row>
    <row r="32" spans="1:29" x14ac:dyDescent="0.2">
      <c r="A32" s="71"/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</row>
    <row r="33" spans="1:29" x14ac:dyDescent="0.2">
      <c r="A33" s="71"/>
      <c r="B33" s="12" t="s">
        <v>13</v>
      </c>
      <c r="C33" s="14"/>
      <c r="E33" s="14"/>
      <c r="G33" s="14"/>
      <c r="I33" s="14"/>
      <c r="K33" s="14"/>
      <c r="M33" s="14"/>
      <c r="O33" s="14"/>
      <c r="Q33" s="14"/>
      <c r="S33" s="14"/>
      <c r="U33" s="14"/>
      <c r="W33" s="14"/>
      <c r="Y33" s="14"/>
      <c r="AA33" s="14"/>
      <c r="AC33" s="14"/>
    </row>
    <row r="34" spans="1:29" x14ac:dyDescent="0.2">
      <c r="A34" s="71"/>
      <c r="B34" s="43" t="s">
        <v>164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f t="shared" ref="Q34:Q49" si="7">SUM(C34:P34)</f>
        <v>0</v>
      </c>
      <c r="S34" s="14">
        <f t="shared" ref="S34:S49" si="8">SUMIF($C$9:$P$9,"=Addition",$C34:$P34)</f>
        <v>0</v>
      </c>
      <c r="U34" s="14">
        <f t="shared" ref="U34:U49" si="9">SUMIF($C$9:$P$9,"=Adjustment",$C34:$P34)</f>
        <v>0</v>
      </c>
      <c r="W34" s="14">
        <f t="shared" ref="W34:W49" si="10">SUMIF($C$9:$P$9,"=Transfer",$C34:$P34)</f>
        <v>0</v>
      </c>
      <c r="Y34" s="14">
        <f t="shared" ref="Y34:Y49" si="11">SUMIF($C$9:$P$9,"=Addition",$C34:$P34)</f>
        <v>0</v>
      </c>
      <c r="AA34" s="14">
        <f t="shared" ref="AA34:AA49" si="12">SUM(S34:Y34)</f>
        <v>0</v>
      </c>
      <c r="AC34" s="14">
        <f>+Q34-AA34</f>
        <v>0</v>
      </c>
    </row>
    <row r="35" spans="1:29" x14ac:dyDescent="0.2">
      <c r="A35" s="71"/>
      <c r="B35" s="3" t="s">
        <v>165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f t="shared" si="7"/>
        <v>0</v>
      </c>
      <c r="S35" s="14">
        <f t="shared" si="8"/>
        <v>0</v>
      </c>
      <c r="U35" s="14">
        <f t="shared" si="9"/>
        <v>0</v>
      </c>
      <c r="W35" s="14">
        <f t="shared" si="10"/>
        <v>0</v>
      </c>
      <c r="Y35" s="14">
        <f t="shared" si="11"/>
        <v>0</v>
      </c>
      <c r="AA35" s="14">
        <f t="shared" si="12"/>
        <v>0</v>
      </c>
      <c r="AC35" s="14">
        <f t="shared" ref="AC35:AC49" si="13">+Q35-AA35</f>
        <v>0</v>
      </c>
    </row>
    <row r="36" spans="1:29" x14ac:dyDescent="0.2">
      <c r="A36" s="71"/>
      <c r="B36" s="3" t="s">
        <v>166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f t="shared" si="7"/>
        <v>0</v>
      </c>
      <c r="S36" s="14">
        <f t="shared" si="8"/>
        <v>0</v>
      </c>
      <c r="U36" s="14">
        <f t="shared" si="9"/>
        <v>0</v>
      </c>
      <c r="W36" s="14">
        <f t="shared" si="10"/>
        <v>0</v>
      </c>
      <c r="Y36" s="14">
        <f t="shared" si="11"/>
        <v>0</v>
      </c>
      <c r="AA36" s="14">
        <f t="shared" si="12"/>
        <v>0</v>
      </c>
      <c r="AC36" s="14">
        <f t="shared" si="13"/>
        <v>0</v>
      </c>
    </row>
    <row r="37" spans="1:29" x14ac:dyDescent="0.2">
      <c r="A37" s="71"/>
      <c r="B37" s="3" t="s">
        <v>167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f t="shared" si="7"/>
        <v>0</v>
      </c>
      <c r="S37" s="14">
        <f t="shared" si="8"/>
        <v>0</v>
      </c>
      <c r="U37" s="14">
        <f t="shared" si="9"/>
        <v>0</v>
      </c>
      <c r="W37" s="14">
        <f t="shared" si="10"/>
        <v>0</v>
      </c>
      <c r="Y37" s="14">
        <f t="shared" si="11"/>
        <v>0</v>
      </c>
      <c r="AA37" s="14">
        <f t="shared" si="12"/>
        <v>0</v>
      </c>
      <c r="AC37" s="14">
        <f t="shared" si="13"/>
        <v>0</v>
      </c>
    </row>
    <row r="38" spans="1:29" x14ac:dyDescent="0.2">
      <c r="A38" s="71"/>
      <c r="B38" s="3" t="s">
        <v>168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f t="shared" si="7"/>
        <v>0</v>
      </c>
      <c r="S38" s="14">
        <f t="shared" si="8"/>
        <v>0</v>
      </c>
      <c r="U38" s="14">
        <f t="shared" si="9"/>
        <v>0</v>
      </c>
      <c r="W38" s="14">
        <f t="shared" si="10"/>
        <v>0</v>
      </c>
      <c r="Y38" s="14">
        <f t="shared" si="11"/>
        <v>0</v>
      </c>
      <c r="AA38" s="14">
        <f t="shared" si="12"/>
        <v>0</v>
      </c>
      <c r="AC38" s="14">
        <f t="shared" si="13"/>
        <v>0</v>
      </c>
    </row>
    <row r="39" spans="1:29" x14ac:dyDescent="0.2">
      <c r="A39" s="71"/>
      <c r="B39" s="3" t="s">
        <v>169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f t="shared" si="7"/>
        <v>0</v>
      </c>
      <c r="S39" s="14">
        <f t="shared" si="8"/>
        <v>0</v>
      </c>
      <c r="U39" s="14">
        <f t="shared" si="9"/>
        <v>0</v>
      </c>
      <c r="W39" s="14">
        <f t="shared" si="10"/>
        <v>0</v>
      </c>
      <c r="Y39" s="14">
        <f t="shared" si="11"/>
        <v>0</v>
      </c>
      <c r="AA39" s="14">
        <f t="shared" si="12"/>
        <v>0</v>
      </c>
      <c r="AC39" s="14">
        <f t="shared" si="13"/>
        <v>0</v>
      </c>
    </row>
    <row r="40" spans="1:29" x14ac:dyDescent="0.2">
      <c r="A40" s="71"/>
      <c r="B40" s="3" t="s">
        <v>170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f t="shared" si="7"/>
        <v>0</v>
      </c>
      <c r="S40" s="14">
        <f t="shared" si="8"/>
        <v>0</v>
      </c>
      <c r="U40" s="14">
        <f t="shared" si="9"/>
        <v>0</v>
      </c>
      <c r="W40" s="14">
        <f t="shared" si="10"/>
        <v>0</v>
      </c>
      <c r="Y40" s="14">
        <f t="shared" si="11"/>
        <v>0</v>
      </c>
      <c r="AA40" s="14">
        <f t="shared" si="12"/>
        <v>0</v>
      </c>
      <c r="AC40" s="14">
        <f t="shared" si="13"/>
        <v>0</v>
      </c>
    </row>
    <row r="41" spans="1:29" x14ac:dyDescent="0.2">
      <c r="A41" s="71"/>
      <c r="B41" s="3" t="s">
        <v>171</v>
      </c>
      <c r="C41" s="14">
        <v>0</v>
      </c>
      <c r="E41" s="14">
        <v>0</v>
      </c>
      <c r="G41" s="14">
        <v>0</v>
      </c>
      <c r="I41" s="14">
        <v>0</v>
      </c>
      <c r="K41" s="14">
        <v>0</v>
      </c>
      <c r="M41" s="14">
        <v>0</v>
      </c>
      <c r="O41" s="14">
        <v>0</v>
      </c>
      <c r="Q41" s="14">
        <f t="shared" si="7"/>
        <v>0</v>
      </c>
      <c r="S41" s="14">
        <f t="shared" si="8"/>
        <v>0</v>
      </c>
      <c r="U41" s="14">
        <f t="shared" si="9"/>
        <v>0</v>
      </c>
      <c r="W41" s="14">
        <f t="shared" si="10"/>
        <v>0</v>
      </c>
      <c r="Y41" s="14">
        <f t="shared" si="11"/>
        <v>0</v>
      </c>
      <c r="AA41" s="14">
        <f t="shared" si="12"/>
        <v>0</v>
      </c>
      <c r="AC41" s="14">
        <f t="shared" si="13"/>
        <v>0</v>
      </c>
    </row>
    <row r="42" spans="1:29" x14ac:dyDescent="0.2">
      <c r="A42" s="71"/>
      <c r="B42" s="3" t="s">
        <v>173</v>
      </c>
      <c r="C42" s="14">
        <v>0</v>
      </c>
      <c r="E42" s="14">
        <v>0</v>
      </c>
      <c r="G42" s="14">
        <v>0</v>
      </c>
      <c r="I42" s="14">
        <v>0</v>
      </c>
      <c r="K42" s="14">
        <v>0</v>
      </c>
      <c r="M42" s="14">
        <v>0</v>
      </c>
      <c r="O42" s="14">
        <v>0</v>
      </c>
      <c r="Q42" s="14">
        <f t="shared" si="7"/>
        <v>0</v>
      </c>
      <c r="S42" s="14">
        <f t="shared" si="8"/>
        <v>0</v>
      </c>
      <c r="U42" s="14">
        <f t="shared" si="9"/>
        <v>0</v>
      </c>
      <c r="W42" s="14">
        <f t="shared" si="10"/>
        <v>0</v>
      </c>
      <c r="Y42" s="14">
        <f t="shared" si="11"/>
        <v>0</v>
      </c>
      <c r="AA42" s="14">
        <f t="shared" si="12"/>
        <v>0</v>
      </c>
      <c r="AC42" s="14">
        <f t="shared" si="13"/>
        <v>0</v>
      </c>
    </row>
    <row r="43" spans="1:29" x14ac:dyDescent="0.2">
      <c r="A43" s="71"/>
      <c r="B43" s="3" t="s">
        <v>174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f t="shared" si="7"/>
        <v>0</v>
      </c>
      <c r="S43" s="14">
        <f t="shared" si="8"/>
        <v>0</v>
      </c>
      <c r="U43" s="14">
        <f t="shared" si="9"/>
        <v>0</v>
      </c>
      <c r="W43" s="14">
        <f t="shared" si="10"/>
        <v>0</v>
      </c>
      <c r="Y43" s="14">
        <f t="shared" si="11"/>
        <v>0</v>
      </c>
      <c r="AA43" s="14">
        <f t="shared" si="12"/>
        <v>0</v>
      </c>
      <c r="AC43" s="14">
        <f t="shared" si="13"/>
        <v>0</v>
      </c>
    </row>
    <row r="44" spans="1:29" x14ac:dyDescent="0.2">
      <c r="A44" s="71"/>
      <c r="B44" s="3" t="s">
        <v>175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f t="shared" si="7"/>
        <v>0</v>
      </c>
      <c r="S44" s="14">
        <f t="shared" si="8"/>
        <v>0</v>
      </c>
      <c r="U44" s="14">
        <f t="shared" si="9"/>
        <v>0</v>
      </c>
      <c r="W44" s="14">
        <f t="shared" si="10"/>
        <v>0</v>
      </c>
      <c r="Y44" s="14">
        <f t="shared" si="11"/>
        <v>0</v>
      </c>
      <c r="AA44" s="14">
        <f t="shared" si="12"/>
        <v>0</v>
      </c>
      <c r="AC44" s="14">
        <f t="shared" si="13"/>
        <v>0</v>
      </c>
    </row>
    <row r="45" spans="1:29" x14ac:dyDescent="0.2">
      <c r="A45" s="71"/>
      <c r="B45" s="3" t="s">
        <v>176</v>
      </c>
      <c r="C45" s="14">
        <v>0</v>
      </c>
      <c r="E45" s="14">
        <v>0</v>
      </c>
      <c r="G45" s="14">
        <v>0</v>
      </c>
      <c r="I45" s="14">
        <v>0</v>
      </c>
      <c r="K45" s="14">
        <v>0</v>
      </c>
      <c r="M45" s="14">
        <v>0</v>
      </c>
      <c r="O45" s="14">
        <v>0</v>
      </c>
      <c r="Q45" s="14">
        <f t="shared" si="7"/>
        <v>0</v>
      </c>
      <c r="S45" s="14">
        <f t="shared" si="8"/>
        <v>0</v>
      </c>
      <c r="U45" s="14">
        <f t="shared" si="9"/>
        <v>0</v>
      </c>
      <c r="W45" s="14">
        <f t="shared" si="10"/>
        <v>0</v>
      </c>
      <c r="Y45" s="14">
        <f t="shared" si="11"/>
        <v>0</v>
      </c>
      <c r="AA45" s="14">
        <f t="shared" si="12"/>
        <v>0</v>
      </c>
      <c r="AC45" s="14">
        <f t="shared" si="13"/>
        <v>0</v>
      </c>
    </row>
    <row r="46" spans="1:29" x14ac:dyDescent="0.2">
      <c r="A46" s="71"/>
      <c r="B46" s="43" t="s">
        <v>177</v>
      </c>
      <c r="C46" s="14">
        <v>0</v>
      </c>
      <c r="E46" s="14">
        <v>0</v>
      </c>
      <c r="G46" s="14">
        <v>0</v>
      </c>
      <c r="I46" s="14">
        <f>-4689.55+4689.55</f>
        <v>0</v>
      </c>
      <c r="K46" s="14">
        <v>0</v>
      </c>
      <c r="M46" s="14">
        <v>0</v>
      </c>
      <c r="O46" s="14">
        <v>0</v>
      </c>
      <c r="Q46" s="14">
        <f t="shared" si="7"/>
        <v>0</v>
      </c>
      <c r="S46" s="14">
        <f t="shared" si="8"/>
        <v>0</v>
      </c>
      <c r="U46" s="14">
        <f t="shared" si="9"/>
        <v>0</v>
      </c>
      <c r="W46" s="14">
        <f t="shared" si="10"/>
        <v>0</v>
      </c>
      <c r="Y46" s="14">
        <f t="shared" si="11"/>
        <v>0</v>
      </c>
      <c r="AA46" s="14">
        <f t="shared" si="12"/>
        <v>0</v>
      </c>
      <c r="AC46" s="14">
        <f t="shared" si="13"/>
        <v>0</v>
      </c>
    </row>
    <row r="47" spans="1:29" x14ac:dyDescent="0.2">
      <c r="A47" s="71"/>
      <c r="B47" s="43" t="s">
        <v>178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f t="shared" si="7"/>
        <v>0</v>
      </c>
      <c r="S47" s="14">
        <f t="shared" si="8"/>
        <v>0</v>
      </c>
      <c r="U47" s="14">
        <f t="shared" si="9"/>
        <v>0</v>
      </c>
      <c r="W47" s="14">
        <f t="shared" si="10"/>
        <v>0</v>
      </c>
      <c r="Y47" s="14">
        <f t="shared" si="11"/>
        <v>0</v>
      </c>
      <c r="AA47" s="14">
        <f t="shared" si="12"/>
        <v>0</v>
      </c>
      <c r="AC47" s="14">
        <f t="shared" si="13"/>
        <v>0</v>
      </c>
    </row>
    <row r="48" spans="1:29" x14ac:dyDescent="0.2">
      <c r="A48" s="71"/>
      <c r="B48" s="3" t="s">
        <v>179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f t="shared" si="7"/>
        <v>0</v>
      </c>
      <c r="S48" s="14">
        <f t="shared" si="8"/>
        <v>0</v>
      </c>
      <c r="U48" s="14">
        <f t="shared" si="9"/>
        <v>0</v>
      </c>
      <c r="W48" s="14">
        <f t="shared" si="10"/>
        <v>0</v>
      </c>
      <c r="Y48" s="14">
        <f t="shared" si="11"/>
        <v>0</v>
      </c>
      <c r="AA48" s="14">
        <f t="shared" si="12"/>
        <v>0</v>
      </c>
      <c r="AC48" s="14">
        <f t="shared" si="13"/>
        <v>0</v>
      </c>
    </row>
    <row r="49" spans="1:29" x14ac:dyDescent="0.2">
      <c r="A49" s="71"/>
      <c r="B49" s="3" t="s">
        <v>180</v>
      </c>
      <c r="C49" s="14">
        <v>0</v>
      </c>
      <c r="E49" s="14">
        <v>0</v>
      </c>
      <c r="G49" s="14">
        <v>0</v>
      </c>
      <c r="I49" s="14">
        <v>0</v>
      </c>
      <c r="K49" s="14">
        <v>0</v>
      </c>
      <c r="M49" s="14">
        <v>0</v>
      </c>
      <c r="O49" s="14">
        <v>0</v>
      </c>
      <c r="Q49" s="14">
        <f t="shared" si="7"/>
        <v>0</v>
      </c>
      <c r="S49" s="14">
        <f t="shared" si="8"/>
        <v>0</v>
      </c>
      <c r="U49" s="14">
        <f t="shared" si="9"/>
        <v>0</v>
      </c>
      <c r="W49" s="14">
        <f t="shared" si="10"/>
        <v>0</v>
      </c>
      <c r="Y49" s="14">
        <f t="shared" si="11"/>
        <v>0</v>
      </c>
      <c r="AA49" s="14">
        <f t="shared" si="12"/>
        <v>0</v>
      </c>
      <c r="AC49" s="14">
        <f t="shared" si="13"/>
        <v>0</v>
      </c>
    </row>
    <row r="50" spans="1:29" x14ac:dyDescent="0.2">
      <c r="A50" s="71"/>
      <c r="B50" s="12" t="s">
        <v>181</v>
      </c>
      <c r="C50" s="18">
        <f>SUM(C34:C49)</f>
        <v>0</v>
      </c>
      <c r="E50" s="18">
        <f>SUM(E34:E49)</f>
        <v>0</v>
      </c>
      <c r="G50" s="18">
        <f>SUM(G34:G49)</f>
        <v>0</v>
      </c>
      <c r="I50" s="18">
        <f>SUM(I34:I49)</f>
        <v>0</v>
      </c>
      <c r="K50" s="18">
        <f>SUM(K34:K49)</f>
        <v>0</v>
      </c>
      <c r="M50" s="18">
        <f>SUM(M34:M49)</f>
        <v>0</v>
      </c>
      <c r="O50" s="18">
        <f>SUM(O34:O49)</f>
        <v>0</v>
      </c>
      <c r="Q50" s="18">
        <f>SUM(Q34:Q49)</f>
        <v>0</v>
      </c>
      <c r="S50" s="18">
        <f>SUM(S34:S49)</f>
        <v>0</v>
      </c>
      <c r="U50" s="18">
        <f>SUM(U34:U49)</f>
        <v>0</v>
      </c>
      <c r="W50" s="18">
        <f>SUM(W34:W49)</f>
        <v>0</v>
      </c>
      <c r="Y50" s="18">
        <f>SUM(Y34:Y49)</f>
        <v>0</v>
      </c>
      <c r="AA50" s="18">
        <f>SUM(AA34:AA49)</f>
        <v>0</v>
      </c>
      <c r="AC50" s="18">
        <f>+Q50-AA50</f>
        <v>0</v>
      </c>
    </row>
    <row r="51" spans="1:29" x14ac:dyDescent="0.2">
      <c r="A51" s="71"/>
      <c r="C51" s="14"/>
      <c r="E51" s="14"/>
      <c r="G51" s="14"/>
      <c r="I51" s="14"/>
      <c r="K51" s="14"/>
      <c r="M51" s="14"/>
      <c r="O51" s="14"/>
      <c r="Q51" s="14"/>
      <c r="S51" s="14"/>
      <c r="U51" s="14"/>
      <c r="W51" s="14"/>
      <c r="Y51" s="14"/>
      <c r="AA51" s="14"/>
      <c r="AC51" s="14"/>
    </row>
    <row r="52" spans="1:29" x14ac:dyDescent="0.2">
      <c r="A52" s="71"/>
      <c r="B52" s="12" t="s">
        <v>15</v>
      </c>
      <c r="C52" s="14"/>
      <c r="E52" s="14"/>
      <c r="G52" s="14"/>
      <c r="I52" s="14"/>
      <c r="K52" s="14"/>
      <c r="M52" s="14"/>
      <c r="O52" s="14"/>
      <c r="Q52" s="14"/>
      <c r="S52" s="14"/>
      <c r="U52" s="14"/>
      <c r="W52" s="14"/>
      <c r="Y52" s="14"/>
      <c r="AA52" s="14"/>
      <c r="AC52" s="14"/>
    </row>
    <row r="53" spans="1:29" x14ac:dyDescent="0.2">
      <c r="A53" s="71"/>
      <c r="B53" s="43" t="s">
        <v>191</v>
      </c>
      <c r="C53" s="14">
        <v>0</v>
      </c>
      <c r="E53" s="14">
        <v>0</v>
      </c>
      <c r="G53" s="14">
        <v>0</v>
      </c>
      <c r="I53" s="14">
        <v>0</v>
      </c>
      <c r="K53" s="14">
        <v>0</v>
      </c>
      <c r="M53" s="14">
        <v>0</v>
      </c>
      <c r="O53" s="14">
        <v>0</v>
      </c>
      <c r="Q53" s="14">
        <f>SUM(C53:P53)</f>
        <v>0</v>
      </c>
      <c r="S53" s="14">
        <f>SUMIF($C$9:$P$9,"=Addition",$C53:$P53)</f>
        <v>0</v>
      </c>
      <c r="U53" s="14">
        <f>SUMIF($C$9:$P$9,"=Adjustment",$C53:$P53)</f>
        <v>0</v>
      </c>
      <c r="W53" s="14">
        <f>SUMIF($C$9:$P$9,"=Transfer",$C53:$P53)</f>
        <v>0</v>
      </c>
      <c r="Y53" s="14">
        <f>SUMIF($C$9:$P$9,"=Addition",$C53:$P53)</f>
        <v>0</v>
      </c>
      <c r="AA53" s="14">
        <f>SUM(S53:Y53)</f>
        <v>0</v>
      </c>
      <c r="AC53" s="14">
        <f>+Q53-AA53</f>
        <v>0</v>
      </c>
    </row>
    <row r="54" spans="1:29" x14ac:dyDescent="0.2">
      <c r="A54" s="71"/>
      <c r="B54" s="3" t="s">
        <v>192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f>SUM(C54:P54)</f>
        <v>0</v>
      </c>
      <c r="S54" s="14">
        <f>SUMIF($C$9:$P$9,"=Addition",$C54:$P54)</f>
        <v>0</v>
      </c>
      <c r="U54" s="14">
        <f>SUMIF($C$9:$P$9,"=Adjustment",$C54:$P54)</f>
        <v>0</v>
      </c>
      <c r="W54" s="14">
        <f>SUMIF($C$9:$P$9,"=Transfer",$C54:$P54)</f>
        <v>0</v>
      </c>
      <c r="Y54" s="14">
        <f>SUMIF($C$9:$P$9,"=Addition",$C54:$P54)</f>
        <v>0</v>
      </c>
      <c r="AA54" s="14">
        <f>SUM(S54:Y54)</f>
        <v>0</v>
      </c>
      <c r="AC54" s="14">
        <f>+Q54-AA54</f>
        <v>0</v>
      </c>
    </row>
    <row r="55" spans="1:29" x14ac:dyDescent="0.2">
      <c r="A55" s="71"/>
      <c r="B55" s="3" t="s">
        <v>193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f>SUM(C55:P55)</f>
        <v>0</v>
      </c>
      <c r="S55" s="14">
        <f>SUMIF($C$9:$P$9,"=Addition",$C55:$P55)</f>
        <v>0</v>
      </c>
      <c r="U55" s="14">
        <f>SUMIF($C$9:$P$9,"=Adjustment",$C55:$P55)</f>
        <v>0</v>
      </c>
      <c r="W55" s="14">
        <f>SUMIF($C$9:$P$9,"=Transfer",$C55:$P55)</f>
        <v>0</v>
      </c>
      <c r="Y55" s="14">
        <f>SUMIF($C$9:$P$9,"=Addition",$C55:$P55)</f>
        <v>0</v>
      </c>
      <c r="AA55" s="14">
        <f>SUM(S55:Y55)</f>
        <v>0</v>
      </c>
      <c r="AC55" s="14">
        <f>+Q55-AA55</f>
        <v>0</v>
      </c>
    </row>
    <row r="56" spans="1:29" x14ac:dyDescent="0.2">
      <c r="A56" s="71"/>
      <c r="B56" s="3" t="s">
        <v>194</v>
      </c>
      <c r="C56" s="14">
        <v>0</v>
      </c>
      <c r="E56" s="14">
        <v>0</v>
      </c>
      <c r="G56" s="14">
        <v>0</v>
      </c>
      <c r="I56" s="14">
        <v>0</v>
      </c>
      <c r="K56" s="14">
        <v>0</v>
      </c>
      <c r="M56" s="14">
        <v>0</v>
      </c>
      <c r="O56" s="14">
        <v>0</v>
      </c>
      <c r="Q56" s="14">
        <f>SUM(C56:P56)</f>
        <v>0</v>
      </c>
      <c r="S56" s="14">
        <f>SUMIF($C$9:$P$9,"=Addition",$C56:$P56)</f>
        <v>0</v>
      </c>
      <c r="U56" s="14">
        <f>SUMIF($C$9:$P$9,"=Adjustment",$C56:$P56)</f>
        <v>0</v>
      </c>
      <c r="W56" s="14">
        <f>SUMIF($C$9:$P$9,"=Transfer",$C56:$P56)</f>
        <v>0</v>
      </c>
      <c r="Y56" s="14">
        <f>SUMIF($C$9:$P$9,"=Addition",$C56:$P56)</f>
        <v>0</v>
      </c>
      <c r="AA56" s="14">
        <f>SUM(S56:Y56)</f>
        <v>0</v>
      </c>
      <c r="AC56" s="14">
        <f>+Q56-AA56</f>
        <v>0</v>
      </c>
    </row>
    <row r="57" spans="1:29" x14ac:dyDescent="0.2">
      <c r="A57" s="71"/>
      <c r="B57" s="12" t="s">
        <v>195</v>
      </c>
      <c r="C57" s="18">
        <f>SUM(C53:C56)</f>
        <v>0</v>
      </c>
      <c r="E57" s="18">
        <f>SUM(E53:E56)</f>
        <v>0</v>
      </c>
      <c r="G57" s="18">
        <f>SUM(G53:G56)</f>
        <v>0</v>
      </c>
      <c r="I57" s="18">
        <f>SUM(I53:I56)</f>
        <v>0</v>
      </c>
      <c r="K57" s="18">
        <f>SUM(K53:K56)</f>
        <v>0</v>
      </c>
      <c r="M57" s="18">
        <f>SUM(M53:M56)</f>
        <v>0</v>
      </c>
      <c r="O57" s="18">
        <f>SUM(O53:O56)</f>
        <v>0</v>
      </c>
      <c r="Q57" s="18">
        <f>SUM(Q53:Q56)</f>
        <v>0</v>
      </c>
      <c r="S57" s="18">
        <f>SUM(S53:S56)</f>
        <v>0</v>
      </c>
      <c r="U57" s="18">
        <f>SUM(U53:U56)</f>
        <v>0</v>
      </c>
      <c r="W57" s="18">
        <f>SUM(W53:W56)</f>
        <v>0</v>
      </c>
      <c r="Y57" s="18">
        <f>SUM(Y53:Y56)</f>
        <v>0</v>
      </c>
      <c r="AA57" s="18">
        <f>SUM(AA53:AA56)</f>
        <v>0</v>
      </c>
      <c r="AC57" s="18">
        <f>+Q57-AA57</f>
        <v>0</v>
      </c>
    </row>
    <row r="58" spans="1:29" x14ac:dyDescent="0.2">
      <c r="A58" s="71"/>
      <c r="C58" s="14"/>
      <c r="E58" s="14"/>
      <c r="G58" s="14"/>
      <c r="I58" s="14"/>
      <c r="K58" s="14"/>
      <c r="M58" s="14"/>
      <c r="O58" s="14"/>
      <c r="Q58" s="14"/>
      <c r="S58" s="14"/>
      <c r="U58" s="14"/>
      <c r="W58" s="14"/>
      <c r="Y58" s="14"/>
      <c r="AA58" s="14"/>
      <c r="AC58" s="14"/>
    </row>
    <row r="59" spans="1:29" x14ac:dyDescent="0.2">
      <c r="A59" s="8"/>
      <c r="B59" s="12" t="s">
        <v>18</v>
      </c>
      <c r="C59" s="14"/>
      <c r="E59" s="14"/>
      <c r="G59" s="14"/>
      <c r="I59" s="14"/>
      <c r="K59" s="14"/>
      <c r="M59" s="14"/>
      <c r="O59" s="14"/>
      <c r="Q59" s="14"/>
      <c r="S59" s="14"/>
      <c r="U59" s="14"/>
      <c r="W59" s="14"/>
      <c r="Y59" s="14"/>
      <c r="AA59" s="14"/>
      <c r="AC59" s="14"/>
    </row>
    <row r="60" spans="1:29" x14ac:dyDescent="0.2">
      <c r="A60" s="8"/>
      <c r="B60" s="3" t="s">
        <v>221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f t="shared" ref="Q60:Q73" si="14">SUM(C60:P60)</f>
        <v>0</v>
      </c>
      <c r="S60" s="14">
        <f t="shared" ref="S60:S73" si="15">SUMIF($C$9:$P$9,"=Addition",$C60:$P60)</f>
        <v>0</v>
      </c>
      <c r="U60" s="14">
        <f t="shared" ref="U60:U73" si="16">SUMIF($C$9:$P$9,"=Adjustment",$C60:$P60)</f>
        <v>0</v>
      </c>
      <c r="W60" s="14">
        <f t="shared" ref="W60:W73" si="17">SUMIF($C$9:$P$9,"=Transfer",$C60:$P60)</f>
        <v>0</v>
      </c>
      <c r="Y60" s="14">
        <f t="shared" ref="Y60:Y73" si="18">SUMIF($C$9:$P$9,"=Addition",$C60:$P60)</f>
        <v>0</v>
      </c>
      <c r="AA60" s="14">
        <f t="shared" ref="AA60:AA73" si="19">SUM(S60:Y60)</f>
        <v>0</v>
      </c>
      <c r="AC60" s="14">
        <f>+Q60-AA60</f>
        <v>0</v>
      </c>
    </row>
    <row r="61" spans="1:29" x14ac:dyDescent="0.2">
      <c r="A61" s="8"/>
      <c r="B61" s="3" t="s">
        <v>222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f t="shared" si="14"/>
        <v>0</v>
      </c>
      <c r="S61" s="14">
        <f t="shared" si="15"/>
        <v>0</v>
      </c>
      <c r="U61" s="14">
        <f t="shared" si="16"/>
        <v>0</v>
      </c>
      <c r="W61" s="14">
        <f t="shared" si="17"/>
        <v>0</v>
      </c>
      <c r="Y61" s="14">
        <f t="shared" si="18"/>
        <v>0</v>
      </c>
      <c r="AA61" s="14">
        <f t="shared" si="19"/>
        <v>0</v>
      </c>
      <c r="AC61" s="14">
        <f t="shared" ref="AC61:AC73" si="20">+Q61-AA61</f>
        <v>0</v>
      </c>
    </row>
    <row r="62" spans="1:29" x14ac:dyDescent="0.2">
      <c r="A62" s="8"/>
      <c r="B62" s="3" t="s">
        <v>223</v>
      </c>
      <c r="C62" s="14">
        <v>0</v>
      </c>
      <c r="E62" s="14">
        <v>0</v>
      </c>
      <c r="G62" s="14">
        <v>0</v>
      </c>
      <c r="I62" s="14">
        <v>0</v>
      </c>
      <c r="K62" s="14">
        <v>0</v>
      </c>
      <c r="M62" s="14">
        <v>0</v>
      </c>
      <c r="O62" s="14">
        <v>0</v>
      </c>
      <c r="Q62" s="14">
        <f t="shared" si="14"/>
        <v>0</v>
      </c>
      <c r="S62" s="14">
        <f t="shared" si="15"/>
        <v>0</v>
      </c>
      <c r="U62" s="14">
        <f t="shared" si="16"/>
        <v>0</v>
      </c>
      <c r="W62" s="14">
        <f t="shared" si="17"/>
        <v>0</v>
      </c>
      <c r="Y62" s="14">
        <f t="shared" si="18"/>
        <v>0</v>
      </c>
      <c r="AA62" s="14">
        <f t="shared" si="19"/>
        <v>0</v>
      </c>
      <c r="AC62" s="14">
        <f t="shared" si="20"/>
        <v>0</v>
      </c>
    </row>
    <row r="63" spans="1:29" x14ac:dyDescent="0.2">
      <c r="A63" s="8"/>
      <c r="B63" s="3" t="s">
        <v>224</v>
      </c>
      <c r="C63" s="14">
        <v>0</v>
      </c>
      <c r="E63" s="14">
        <v>0</v>
      </c>
      <c r="G63" s="14">
        <v>0</v>
      </c>
      <c r="I63" s="14">
        <v>0</v>
      </c>
      <c r="K63" s="14">
        <v>0</v>
      </c>
      <c r="M63" s="14">
        <v>0</v>
      </c>
      <c r="O63" s="14">
        <v>0</v>
      </c>
      <c r="Q63" s="14">
        <f t="shared" si="14"/>
        <v>0</v>
      </c>
      <c r="S63" s="14">
        <f t="shared" si="15"/>
        <v>0</v>
      </c>
      <c r="U63" s="14">
        <f t="shared" si="16"/>
        <v>0</v>
      </c>
      <c r="W63" s="14">
        <f t="shared" si="17"/>
        <v>0</v>
      </c>
      <c r="Y63" s="14">
        <f t="shared" si="18"/>
        <v>0</v>
      </c>
      <c r="AA63" s="14">
        <f t="shared" si="19"/>
        <v>0</v>
      </c>
      <c r="AC63" s="14">
        <f t="shared" si="20"/>
        <v>0</v>
      </c>
    </row>
    <row r="64" spans="1:29" x14ac:dyDescent="0.2">
      <c r="A64" s="8"/>
      <c r="B64" s="3" t="s">
        <v>225</v>
      </c>
      <c r="C64" s="14">
        <v>59393.04</v>
      </c>
      <c r="E64" s="14">
        <v>0</v>
      </c>
      <c r="G64" s="14">
        <v>0</v>
      </c>
      <c r="I64" s="14">
        <v>0</v>
      </c>
      <c r="K64" s="14">
        <v>0</v>
      </c>
      <c r="M64" s="14">
        <v>0</v>
      </c>
      <c r="O64" s="14">
        <v>0</v>
      </c>
      <c r="Q64" s="14">
        <f t="shared" si="14"/>
        <v>59393.04</v>
      </c>
      <c r="S64" s="14">
        <f t="shared" si="15"/>
        <v>0</v>
      </c>
      <c r="U64" s="14">
        <f t="shared" si="16"/>
        <v>0</v>
      </c>
      <c r="W64" s="14">
        <f t="shared" si="17"/>
        <v>59393.04</v>
      </c>
      <c r="Y64" s="14">
        <f t="shared" si="18"/>
        <v>0</v>
      </c>
      <c r="AA64" s="14">
        <f t="shared" si="19"/>
        <v>59393.04</v>
      </c>
      <c r="AC64" s="14">
        <f t="shared" si="20"/>
        <v>0</v>
      </c>
    </row>
    <row r="65" spans="1:30" x14ac:dyDescent="0.2">
      <c r="A65" s="8"/>
      <c r="B65" s="3" t="s">
        <v>226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f t="shared" si="14"/>
        <v>0</v>
      </c>
      <c r="S65" s="14">
        <f t="shared" si="15"/>
        <v>0</v>
      </c>
      <c r="U65" s="14">
        <f t="shared" si="16"/>
        <v>0</v>
      </c>
      <c r="W65" s="14">
        <f t="shared" si="17"/>
        <v>0</v>
      </c>
      <c r="Y65" s="14">
        <f t="shared" si="18"/>
        <v>0</v>
      </c>
      <c r="AA65" s="14">
        <f t="shared" si="19"/>
        <v>0</v>
      </c>
      <c r="AC65" s="14">
        <f t="shared" si="20"/>
        <v>0</v>
      </c>
    </row>
    <row r="66" spans="1:30" x14ac:dyDescent="0.2">
      <c r="A66" s="8"/>
      <c r="B66" s="3" t="s">
        <v>227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f t="shared" si="14"/>
        <v>0</v>
      </c>
      <c r="S66" s="14">
        <f t="shared" si="15"/>
        <v>0</v>
      </c>
      <c r="U66" s="14">
        <f t="shared" si="16"/>
        <v>0</v>
      </c>
      <c r="W66" s="14">
        <f t="shared" si="17"/>
        <v>0</v>
      </c>
      <c r="Y66" s="14">
        <f t="shared" si="18"/>
        <v>0</v>
      </c>
      <c r="AA66" s="14">
        <f t="shared" si="19"/>
        <v>0</v>
      </c>
      <c r="AC66" s="14">
        <f t="shared" si="20"/>
        <v>0</v>
      </c>
    </row>
    <row r="67" spans="1:30" x14ac:dyDescent="0.2">
      <c r="A67" s="8"/>
      <c r="B67" s="3" t="s">
        <v>228</v>
      </c>
      <c r="C67" s="14">
        <v>0</v>
      </c>
      <c r="E67" s="14">
        <v>0</v>
      </c>
      <c r="G67" s="14">
        <v>0</v>
      </c>
      <c r="I67" s="14">
        <v>0</v>
      </c>
      <c r="K67" s="14">
        <v>0</v>
      </c>
      <c r="M67" s="14">
        <v>0</v>
      </c>
      <c r="O67" s="14">
        <v>0</v>
      </c>
      <c r="Q67" s="14">
        <f t="shared" si="14"/>
        <v>0</v>
      </c>
      <c r="S67" s="14">
        <f t="shared" si="15"/>
        <v>0</v>
      </c>
      <c r="U67" s="14">
        <f t="shared" si="16"/>
        <v>0</v>
      </c>
      <c r="W67" s="14">
        <f t="shared" si="17"/>
        <v>0</v>
      </c>
      <c r="Y67" s="14">
        <f t="shared" si="18"/>
        <v>0</v>
      </c>
      <c r="AA67" s="14">
        <f t="shared" si="19"/>
        <v>0</v>
      </c>
      <c r="AC67" s="14">
        <f t="shared" si="20"/>
        <v>0</v>
      </c>
    </row>
    <row r="68" spans="1:30" x14ac:dyDescent="0.2">
      <c r="A68" s="8"/>
      <c r="B68" s="3" t="s">
        <v>229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f t="shared" si="14"/>
        <v>0</v>
      </c>
      <c r="S68" s="14">
        <f t="shared" si="15"/>
        <v>0</v>
      </c>
      <c r="U68" s="14">
        <f t="shared" si="16"/>
        <v>0</v>
      </c>
      <c r="W68" s="14">
        <f t="shared" si="17"/>
        <v>0</v>
      </c>
      <c r="Y68" s="14">
        <f t="shared" si="18"/>
        <v>0</v>
      </c>
      <c r="AA68" s="14">
        <f t="shared" si="19"/>
        <v>0</v>
      </c>
      <c r="AC68" s="14">
        <f t="shared" si="20"/>
        <v>0</v>
      </c>
    </row>
    <row r="69" spans="1:30" x14ac:dyDescent="0.2">
      <c r="A69" s="8"/>
      <c r="B69" s="3" t="s">
        <v>230</v>
      </c>
      <c r="C69" s="14">
        <v>0</v>
      </c>
      <c r="E69" s="14">
        <v>0</v>
      </c>
      <c r="G69" s="14">
        <v>0</v>
      </c>
      <c r="I69" s="14">
        <v>0</v>
      </c>
      <c r="K69" s="14">
        <v>0</v>
      </c>
      <c r="M69" s="14">
        <v>0</v>
      </c>
      <c r="O69" s="14">
        <v>0</v>
      </c>
      <c r="Q69" s="14">
        <f t="shared" si="14"/>
        <v>0</v>
      </c>
      <c r="S69" s="14">
        <f t="shared" si="15"/>
        <v>0</v>
      </c>
      <c r="U69" s="14">
        <f t="shared" si="16"/>
        <v>0</v>
      </c>
      <c r="W69" s="14">
        <f t="shared" si="17"/>
        <v>0</v>
      </c>
      <c r="Y69" s="14">
        <f t="shared" si="18"/>
        <v>0</v>
      </c>
      <c r="AA69" s="14">
        <f t="shared" si="19"/>
        <v>0</v>
      </c>
      <c r="AC69" s="14">
        <f t="shared" si="20"/>
        <v>0</v>
      </c>
    </row>
    <row r="70" spans="1:30" x14ac:dyDescent="0.2">
      <c r="A70" s="8"/>
      <c r="B70" s="3" t="s">
        <v>231</v>
      </c>
      <c r="C70" s="14">
        <v>0</v>
      </c>
      <c r="E70" s="14">
        <v>0</v>
      </c>
      <c r="G70" s="14">
        <v>0</v>
      </c>
      <c r="I70" s="14">
        <v>0</v>
      </c>
      <c r="K70" s="14">
        <v>0</v>
      </c>
      <c r="M70" s="14">
        <v>0</v>
      </c>
      <c r="O70" s="14">
        <v>0</v>
      </c>
      <c r="Q70" s="14">
        <f t="shared" si="14"/>
        <v>0</v>
      </c>
      <c r="S70" s="14">
        <f t="shared" si="15"/>
        <v>0</v>
      </c>
      <c r="U70" s="14">
        <f t="shared" si="16"/>
        <v>0</v>
      </c>
      <c r="W70" s="14">
        <f t="shared" si="17"/>
        <v>0</v>
      </c>
      <c r="Y70" s="14">
        <f t="shared" si="18"/>
        <v>0</v>
      </c>
      <c r="AA70" s="14">
        <f t="shared" si="19"/>
        <v>0</v>
      </c>
      <c r="AC70" s="14">
        <f t="shared" si="20"/>
        <v>0</v>
      </c>
    </row>
    <row r="71" spans="1:30" x14ac:dyDescent="0.2">
      <c r="A71" s="8"/>
      <c r="B71" s="3" t="s">
        <v>232</v>
      </c>
      <c r="C71" s="14">
        <v>0</v>
      </c>
      <c r="E71" s="14">
        <v>0</v>
      </c>
      <c r="G71" s="14">
        <v>0</v>
      </c>
      <c r="I71" s="14">
        <v>0</v>
      </c>
      <c r="K71" s="14">
        <v>0</v>
      </c>
      <c r="M71" s="14">
        <v>0</v>
      </c>
      <c r="O71" s="14">
        <v>0</v>
      </c>
      <c r="Q71" s="14">
        <f t="shared" si="14"/>
        <v>0</v>
      </c>
      <c r="S71" s="14">
        <f t="shared" si="15"/>
        <v>0</v>
      </c>
      <c r="U71" s="14">
        <f t="shared" si="16"/>
        <v>0</v>
      </c>
      <c r="W71" s="14">
        <f t="shared" si="17"/>
        <v>0</v>
      </c>
      <c r="Y71" s="14">
        <f t="shared" si="18"/>
        <v>0</v>
      </c>
      <c r="AA71" s="14">
        <f t="shared" si="19"/>
        <v>0</v>
      </c>
      <c r="AC71" s="14">
        <f t="shared" si="20"/>
        <v>0</v>
      </c>
    </row>
    <row r="72" spans="1:30" x14ac:dyDescent="0.2">
      <c r="A72" s="8"/>
      <c r="B72" s="3" t="s">
        <v>233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f t="shared" si="14"/>
        <v>0</v>
      </c>
      <c r="S72" s="14">
        <f t="shared" si="15"/>
        <v>0</v>
      </c>
      <c r="U72" s="14">
        <f t="shared" si="16"/>
        <v>0</v>
      </c>
      <c r="W72" s="14">
        <f t="shared" si="17"/>
        <v>0</v>
      </c>
      <c r="Y72" s="14">
        <f t="shared" si="18"/>
        <v>0</v>
      </c>
      <c r="AA72" s="14">
        <f t="shared" si="19"/>
        <v>0</v>
      </c>
      <c r="AC72" s="14">
        <f t="shared" si="20"/>
        <v>0</v>
      </c>
    </row>
    <row r="73" spans="1:30" x14ac:dyDescent="0.2">
      <c r="A73" s="8"/>
      <c r="B73" s="3" t="s">
        <v>234</v>
      </c>
      <c r="C73" s="14">
        <v>0</v>
      </c>
      <c r="E73" s="14">
        <v>0</v>
      </c>
      <c r="G73" s="14">
        <v>0</v>
      </c>
      <c r="I73" s="14">
        <v>0</v>
      </c>
      <c r="K73" s="14">
        <v>0</v>
      </c>
      <c r="M73" s="14">
        <v>0</v>
      </c>
      <c r="O73" s="14">
        <v>0</v>
      </c>
      <c r="Q73" s="14">
        <f t="shared" si="14"/>
        <v>0</v>
      </c>
      <c r="S73" s="14">
        <f t="shared" si="15"/>
        <v>0</v>
      </c>
      <c r="U73" s="14">
        <f t="shared" si="16"/>
        <v>0</v>
      </c>
      <c r="W73" s="14">
        <f t="shared" si="17"/>
        <v>0</v>
      </c>
      <c r="Y73" s="14">
        <f t="shared" si="18"/>
        <v>0</v>
      </c>
      <c r="AA73" s="14">
        <f t="shared" si="19"/>
        <v>0</v>
      </c>
      <c r="AC73" s="14">
        <f t="shared" si="20"/>
        <v>0</v>
      </c>
    </row>
    <row r="74" spans="1:30" x14ac:dyDescent="0.2">
      <c r="A74" s="8"/>
      <c r="B74" s="12" t="s">
        <v>235</v>
      </c>
      <c r="C74" s="18">
        <f>SUM(C60:C73)</f>
        <v>59393.04</v>
      </c>
      <c r="E74" s="18">
        <f>SUM(E60:E73)</f>
        <v>0</v>
      </c>
      <c r="G74" s="18">
        <f>SUM(G60:G73)</f>
        <v>0</v>
      </c>
      <c r="I74" s="18">
        <f>SUM(I60:I73)</f>
        <v>0</v>
      </c>
      <c r="K74" s="18">
        <f>SUM(K60:K73)</f>
        <v>0</v>
      </c>
      <c r="M74" s="18">
        <f>SUM(M60:M73)</f>
        <v>0</v>
      </c>
      <c r="O74" s="18">
        <f>SUM(O60:O73)</f>
        <v>0</v>
      </c>
      <c r="Q74" s="18">
        <f>SUM(Q60:Q73)</f>
        <v>59393.04</v>
      </c>
      <c r="S74" s="18">
        <f>SUM(S60:S73)</f>
        <v>0</v>
      </c>
      <c r="U74" s="18">
        <f>SUM(U60:U73)</f>
        <v>0</v>
      </c>
      <c r="W74" s="18">
        <f>SUM(W60:W73)</f>
        <v>59393.04</v>
      </c>
      <c r="Y74" s="18">
        <f>SUM(Y60:Y73)</f>
        <v>0</v>
      </c>
      <c r="AA74" s="18">
        <f>SUM(AA60:AA73)</f>
        <v>59393.04</v>
      </c>
      <c r="AC74" s="18">
        <f>+Q74-AA74</f>
        <v>0</v>
      </c>
    </row>
    <row r="75" spans="1:30" x14ac:dyDescent="0.2">
      <c r="A75" s="8"/>
      <c r="B75" s="12"/>
      <c r="C75" s="16"/>
      <c r="E75" s="16"/>
      <c r="G75" s="16"/>
      <c r="I75" s="16"/>
      <c r="K75" s="16"/>
      <c r="M75" s="16"/>
      <c r="O75" s="16"/>
      <c r="Q75" s="16"/>
      <c r="S75" s="16"/>
      <c r="U75" s="16"/>
      <c r="W75" s="16"/>
      <c r="Y75" s="16"/>
      <c r="AA75" s="16"/>
      <c r="AC75" s="16"/>
    </row>
    <row r="76" spans="1:30" x14ac:dyDescent="0.2">
      <c r="A76" s="8"/>
      <c r="C76" s="17"/>
      <c r="D76" s="14"/>
      <c r="E76" s="17"/>
      <c r="F76" s="14"/>
      <c r="G76" s="17"/>
      <c r="H76" s="14"/>
      <c r="I76" s="17"/>
      <c r="J76" s="14"/>
      <c r="K76" s="17"/>
      <c r="L76" s="14"/>
      <c r="M76" s="17"/>
      <c r="N76" s="14"/>
      <c r="O76" s="17"/>
      <c r="P76" s="14"/>
      <c r="Q76" s="17"/>
      <c r="R76" s="4"/>
      <c r="S76" s="17"/>
      <c r="T76" s="14"/>
      <c r="U76" s="17"/>
      <c r="V76" s="14"/>
      <c r="W76" s="17"/>
      <c r="X76" s="14"/>
      <c r="Y76" s="17"/>
      <c r="Z76" s="14"/>
      <c r="AA76" s="17"/>
      <c r="AB76" s="14"/>
      <c r="AC76" s="17"/>
    </row>
    <row r="77" spans="1:30" x14ac:dyDescent="0.2">
      <c r="A77" s="8"/>
      <c r="B77" s="12" t="s">
        <v>19</v>
      </c>
      <c r="C77" s="16">
        <f>+C31+C50+C57+C74</f>
        <v>59393.04</v>
      </c>
      <c r="D77" s="14"/>
      <c r="E77" s="16">
        <f>+E31+E50+E57+E74</f>
        <v>0</v>
      </c>
      <c r="F77" s="14"/>
      <c r="G77" s="16">
        <f>+G31+G50+G57+G74</f>
        <v>-240853.29</v>
      </c>
      <c r="H77" s="14"/>
      <c r="I77" s="16">
        <f>+I31+I50+I57+I74</f>
        <v>0</v>
      </c>
      <c r="J77" s="14"/>
      <c r="K77" s="16">
        <f>+K31+K50+K57+K74</f>
        <v>0</v>
      </c>
      <c r="L77" s="14"/>
      <c r="M77" s="16">
        <f>+M31+M50+M57+M74</f>
        <v>0</v>
      </c>
      <c r="N77" s="14"/>
      <c r="O77" s="16">
        <f>+O31+O50+O57+O74</f>
        <v>0</v>
      </c>
      <c r="P77" s="14"/>
      <c r="Q77" s="16">
        <f>+Q31+Q50+Q57+Q74</f>
        <v>-181460.24999999991</v>
      </c>
      <c r="R77" s="4"/>
      <c r="S77" s="16">
        <f>+S31+S50+S57+S74</f>
        <v>0</v>
      </c>
      <c r="T77" s="14"/>
      <c r="U77" s="16">
        <f>+U31+U50+U57+U74</f>
        <v>0</v>
      </c>
      <c r="V77" s="14"/>
      <c r="W77" s="16">
        <f>+W31+W50+W57+W74</f>
        <v>-181460.24999999991</v>
      </c>
      <c r="X77" s="14"/>
      <c r="Y77" s="16">
        <f>+Y31+Y50+Y57+Y74</f>
        <v>0</v>
      </c>
      <c r="Z77" s="14"/>
      <c r="AA77" s="16">
        <f>+AA31+AA50+AA57+AA74</f>
        <v>-181460.24999999991</v>
      </c>
      <c r="AB77" s="14"/>
      <c r="AC77" s="16">
        <f>+Q77-AA77</f>
        <v>0</v>
      </c>
    </row>
    <row r="78" spans="1:30" x14ac:dyDescent="0.2">
      <c r="A78" s="8"/>
      <c r="C78" s="12"/>
      <c r="D78" s="17"/>
      <c r="E78" s="12"/>
      <c r="F78" s="17"/>
      <c r="G78" s="12"/>
      <c r="H78" s="17"/>
      <c r="I78" s="12"/>
      <c r="J78" s="17"/>
      <c r="K78" s="12"/>
      <c r="L78" s="17"/>
      <c r="M78" s="12"/>
      <c r="N78" s="17"/>
      <c r="O78" s="12"/>
      <c r="P78" s="17"/>
      <c r="Q78" s="14"/>
      <c r="R78" s="17"/>
      <c r="S78" s="14"/>
      <c r="T78" s="17"/>
      <c r="U78" s="14"/>
      <c r="V78" s="17"/>
      <c r="W78" s="14"/>
      <c r="X78" s="17"/>
      <c r="Y78" s="14"/>
      <c r="Z78" s="17"/>
      <c r="AA78" s="14"/>
      <c r="AB78" s="17"/>
      <c r="AC78" s="14"/>
    </row>
    <row r="79" spans="1:30" x14ac:dyDescent="0.2">
      <c r="A79" s="8">
        <v>102</v>
      </c>
      <c r="B79" s="74" t="s">
        <v>236</v>
      </c>
      <c r="C79" s="12"/>
      <c r="D79" s="17"/>
      <c r="E79" s="12"/>
      <c r="F79" s="17"/>
      <c r="G79" s="12"/>
      <c r="H79" s="17"/>
      <c r="I79" s="12"/>
      <c r="J79" s="17"/>
      <c r="K79" s="12"/>
      <c r="L79" s="17"/>
      <c r="M79" s="12"/>
      <c r="N79" s="17"/>
      <c r="O79" s="12"/>
      <c r="P79" s="17"/>
      <c r="Q79" s="12"/>
      <c r="R79" s="17"/>
      <c r="S79" s="12"/>
      <c r="T79" s="17"/>
      <c r="U79" s="12"/>
      <c r="V79" s="17"/>
      <c r="W79" s="12"/>
      <c r="X79" s="17"/>
      <c r="Y79" s="12"/>
      <c r="Z79" s="17"/>
      <c r="AA79" s="12"/>
      <c r="AB79" s="17"/>
      <c r="AC79" s="12"/>
      <c r="AD79" s="17"/>
    </row>
    <row r="80" spans="1:30" x14ac:dyDescent="0.2">
      <c r="A80" s="8"/>
      <c r="B80" s="75" t="s">
        <v>13</v>
      </c>
      <c r="C80" s="14">
        <v>0</v>
      </c>
      <c r="D80" s="17"/>
      <c r="E80" s="14">
        <v>0</v>
      </c>
      <c r="F80" s="17"/>
      <c r="G80" s="3">
        <v>0</v>
      </c>
      <c r="H80" s="17"/>
      <c r="I80" s="14">
        <v>0</v>
      </c>
      <c r="J80" s="17"/>
      <c r="K80" s="14">
        <v>0</v>
      </c>
      <c r="L80" s="17"/>
      <c r="M80" s="14">
        <v>0</v>
      </c>
      <c r="N80" s="17"/>
      <c r="O80" s="14">
        <v>0</v>
      </c>
      <c r="P80" s="17"/>
      <c r="Q80" s="14">
        <v>0</v>
      </c>
      <c r="R80" s="17"/>
      <c r="S80" s="14">
        <v>0</v>
      </c>
      <c r="T80" s="17"/>
      <c r="U80" s="35">
        <v>0</v>
      </c>
      <c r="V80" s="17"/>
      <c r="W80" s="35">
        <v>0</v>
      </c>
      <c r="X80" s="17"/>
      <c r="Y80" s="35">
        <v>0</v>
      </c>
      <c r="Z80" s="17"/>
      <c r="AA80" s="35">
        <v>0</v>
      </c>
      <c r="AB80" s="17"/>
      <c r="AC80" s="35">
        <v>0</v>
      </c>
      <c r="AD80" s="17"/>
    </row>
    <row r="81" spans="1:30" x14ac:dyDescent="0.2">
      <c r="A81" s="8"/>
      <c r="B81" s="73" t="s">
        <v>21</v>
      </c>
      <c r="C81" s="16">
        <v>0</v>
      </c>
      <c r="D81" s="17"/>
      <c r="E81" s="16">
        <v>0</v>
      </c>
      <c r="F81" s="17"/>
      <c r="G81" s="16">
        <v>0</v>
      </c>
      <c r="H81" s="17"/>
      <c r="I81" s="16">
        <v>0</v>
      </c>
      <c r="J81" s="17"/>
      <c r="K81" s="16">
        <v>0</v>
      </c>
      <c r="L81" s="17"/>
      <c r="M81" s="16">
        <v>0</v>
      </c>
      <c r="N81" s="17"/>
      <c r="O81" s="16">
        <v>0</v>
      </c>
      <c r="P81" s="17"/>
      <c r="Q81" s="16">
        <v>0</v>
      </c>
      <c r="R81" s="17"/>
      <c r="S81" s="16">
        <v>0</v>
      </c>
      <c r="T81" s="17"/>
      <c r="U81" s="16">
        <v>0</v>
      </c>
      <c r="V81" s="17"/>
      <c r="W81" s="16">
        <v>0</v>
      </c>
      <c r="X81" s="17"/>
      <c r="Y81" s="16">
        <v>0</v>
      </c>
      <c r="Z81" s="17"/>
      <c r="AA81" s="16">
        <v>0</v>
      </c>
      <c r="AB81" s="17"/>
      <c r="AC81" s="16">
        <v>0</v>
      </c>
      <c r="AD81" s="17"/>
    </row>
    <row r="82" spans="1:30" x14ac:dyDescent="0.2">
      <c r="A82" s="8"/>
      <c r="B82" s="73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x14ac:dyDescent="0.2">
      <c r="A83" s="8"/>
      <c r="B83" s="12" t="s">
        <v>237</v>
      </c>
      <c r="C83" s="16">
        <f>SUM(C80:C81)</f>
        <v>0</v>
      </c>
      <c r="D83" s="14"/>
      <c r="E83" s="16">
        <f>SUM(E80:E81)</f>
        <v>0</v>
      </c>
      <c r="F83" s="14"/>
      <c r="G83" s="16">
        <f>SUM(G80:G81)</f>
        <v>0</v>
      </c>
      <c r="H83" s="14"/>
      <c r="I83" s="16">
        <f>SUM(I80:I81)</f>
        <v>0</v>
      </c>
      <c r="J83" s="14"/>
      <c r="K83" s="16">
        <f>SUM(K80:K81)</f>
        <v>0</v>
      </c>
      <c r="L83" s="14"/>
      <c r="M83" s="16">
        <f>SUM(M80:M81)</f>
        <v>0</v>
      </c>
      <c r="N83" s="14"/>
      <c r="O83" s="16">
        <f>SUM(O80:O81)</f>
        <v>0</v>
      </c>
      <c r="P83" s="14"/>
      <c r="Q83" s="16">
        <f>SUM(Q80:Q81)</f>
        <v>0</v>
      </c>
      <c r="R83" s="14"/>
      <c r="S83" s="16">
        <f>SUM(S80:S81)</f>
        <v>0</v>
      </c>
      <c r="T83" s="14"/>
      <c r="U83" s="16">
        <f>SUM(U80:U81)</f>
        <v>0</v>
      </c>
      <c r="V83" s="14"/>
      <c r="W83" s="16">
        <f>SUM(W80:W81)</f>
        <v>0</v>
      </c>
      <c r="X83" s="14"/>
      <c r="Y83" s="16">
        <f>SUM(Y80:Y81)</f>
        <v>0</v>
      </c>
      <c r="Z83" s="14"/>
      <c r="AA83" s="16">
        <f>SUM(AA80:AA81)</f>
        <v>0</v>
      </c>
      <c r="AB83" s="14"/>
      <c r="AC83" s="16">
        <f>SUM(AC80:AC81)</f>
        <v>0</v>
      </c>
      <c r="AD83" s="14"/>
    </row>
    <row r="84" spans="1:30" x14ac:dyDescent="0.2">
      <c r="A84" s="8"/>
      <c r="D84" s="14"/>
      <c r="F84" s="14"/>
      <c r="H84" s="14"/>
      <c r="J84" s="14"/>
      <c r="L84" s="14"/>
      <c r="N84" s="14"/>
      <c r="P84" s="14"/>
      <c r="R84" s="14"/>
      <c r="T84" s="14"/>
      <c r="V84" s="14"/>
      <c r="X84" s="14"/>
      <c r="Z84" s="14"/>
      <c r="AB84" s="14"/>
      <c r="AD84" s="14"/>
    </row>
    <row r="85" spans="1:30" x14ac:dyDescent="0.2">
      <c r="A85" s="8">
        <v>105</v>
      </c>
      <c r="B85" s="12" t="s">
        <v>23</v>
      </c>
      <c r="C85" s="12"/>
      <c r="D85" s="14"/>
      <c r="E85" s="12"/>
      <c r="F85" s="14"/>
      <c r="G85" s="12"/>
      <c r="H85" s="14"/>
      <c r="I85" s="12"/>
      <c r="J85" s="14"/>
      <c r="K85" s="12"/>
      <c r="L85" s="14"/>
      <c r="M85" s="12"/>
      <c r="N85" s="14"/>
      <c r="O85" s="12"/>
      <c r="P85" s="14"/>
      <c r="Q85" s="12"/>
      <c r="R85" s="14"/>
      <c r="S85" s="12"/>
      <c r="T85" s="14"/>
      <c r="U85" s="12"/>
      <c r="V85" s="14"/>
      <c r="W85" s="12"/>
      <c r="X85" s="14"/>
      <c r="Y85" s="12"/>
      <c r="Z85" s="14"/>
      <c r="AA85" s="12"/>
      <c r="AB85" s="14"/>
      <c r="AC85" s="12"/>
      <c r="AD85" s="14"/>
    </row>
    <row r="86" spans="1:30" x14ac:dyDescent="0.2">
      <c r="A86" s="8"/>
      <c r="B86" s="12" t="s">
        <v>11</v>
      </c>
      <c r="D86" s="14"/>
      <c r="F86" s="14"/>
      <c r="H86" s="14"/>
      <c r="J86" s="14"/>
      <c r="L86" s="14"/>
      <c r="N86" s="14"/>
      <c r="P86" s="14"/>
      <c r="R86" s="14"/>
      <c r="T86" s="14"/>
      <c r="V86" s="14"/>
      <c r="X86" s="14"/>
      <c r="Z86" s="14"/>
      <c r="AB86" s="14"/>
      <c r="AD86" s="14"/>
    </row>
    <row r="87" spans="1:30" x14ac:dyDescent="0.2">
      <c r="A87" s="8"/>
      <c r="B87" s="73" t="s">
        <v>12</v>
      </c>
      <c r="C87" s="17">
        <v>0</v>
      </c>
      <c r="D87" s="17"/>
      <c r="E87" s="17">
        <v>0</v>
      </c>
      <c r="F87" s="17"/>
      <c r="G87" s="17">
        <v>240853.29</v>
      </c>
      <c r="H87" s="17"/>
      <c r="I87" s="17">
        <v>0</v>
      </c>
      <c r="J87" s="17"/>
      <c r="K87" s="17">
        <v>0</v>
      </c>
      <c r="L87" s="17"/>
      <c r="M87" s="17">
        <v>0</v>
      </c>
      <c r="N87" s="17"/>
      <c r="O87" s="17">
        <v>0</v>
      </c>
      <c r="P87" s="17"/>
      <c r="Q87" s="14">
        <f t="shared" ref="Q87" si="21">SUM(C87:P87)</f>
        <v>240853.29</v>
      </c>
      <c r="R87" s="17"/>
      <c r="S87" s="17">
        <v>0</v>
      </c>
      <c r="T87" s="17"/>
      <c r="U87" s="17">
        <v>0</v>
      </c>
      <c r="V87" s="17"/>
      <c r="W87" s="14">
        <f t="shared" ref="W87" si="22">SUMIF($C$9:$P$9,"=Transfer",$C87:$P87)</f>
        <v>240853.29</v>
      </c>
      <c r="X87" s="17"/>
      <c r="Y87" s="17">
        <v>0</v>
      </c>
      <c r="Z87" s="17"/>
      <c r="AA87" s="14">
        <f t="shared" ref="AA87" si="23">SUM(S87:Y87)</f>
        <v>240853.29</v>
      </c>
      <c r="AB87" s="17"/>
      <c r="AC87" s="17">
        <v>0</v>
      </c>
      <c r="AD87" s="17"/>
    </row>
    <row r="88" spans="1:30" x14ac:dyDescent="0.2">
      <c r="A88" s="8"/>
      <c r="B88" s="73" t="s">
        <v>16</v>
      </c>
      <c r="C88" s="17">
        <v>0</v>
      </c>
      <c r="D88" s="14"/>
      <c r="E88" s="17">
        <v>0</v>
      </c>
      <c r="F88" s="14"/>
      <c r="G88" s="17">
        <v>0</v>
      </c>
      <c r="H88" s="14"/>
      <c r="I88" s="17">
        <v>0</v>
      </c>
      <c r="J88" s="14"/>
      <c r="K88" s="17">
        <v>0</v>
      </c>
      <c r="L88" s="14"/>
      <c r="M88" s="17">
        <v>0</v>
      </c>
      <c r="N88" s="14"/>
      <c r="O88" s="17">
        <v>0</v>
      </c>
      <c r="P88" s="14"/>
      <c r="Q88" s="17">
        <v>0</v>
      </c>
      <c r="R88" s="14"/>
      <c r="S88" s="17">
        <v>0</v>
      </c>
      <c r="T88" s="14"/>
      <c r="U88" s="17">
        <v>0</v>
      </c>
      <c r="V88" s="14"/>
      <c r="W88" s="17">
        <v>0</v>
      </c>
      <c r="X88" s="14"/>
      <c r="Y88" s="17">
        <v>0</v>
      </c>
      <c r="Z88" s="14"/>
      <c r="AA88" s="17">
        <v>0</v>
      </c>
      <c r="AB88" s="14"/>
      <c r="AC88" s="17">
        <v>0</v>
      </c>
      <c r="AD88" s="14"/>
    </row>
    <row r="89" spans="1:30" x14ac:dyDescent="0.2">
      <c r="A89" s="8"/>
      <c r="B89" s="76" t="s">
        <v>13</v>
      </c>
      <c r="C89" s="17">
        <v>0</v>
      </c>
      <c r="D89" s="14"/>
      <c r="E89" s="17"/>
      <c r="F89" s="14"/>
      <c r="G89" s="17">
        <v>0</v>
      </c>
      <c r="H89" s="14"/>
      <c r="I89" s="17">
        <v>0</v>
      </c>
      <c r="J89" s="14"/>
      <c r="K89" s="17">
        <v>0</v>
      </c>
      <c r="L89" s="14"/>
      <c r="M89" s="17">
        <v>0</v>
      </c>
      <c r="N89" s="14"/>
      <c r="O89" s="17">
        <v>0</v>
      </c>
      <c r="P89" s="14"/>
      <c r="Q89" s="17">
        <v>0</v>
      </c>
      <c r="R89" s="14"/>
      <c r="S89" s="17">
        <v>0</v>
      </c>
      <c r="T89" s="14"/>
      <c r="U89" s="17">
        <v>0</v>
      </c>
      <c r="V89" s="14"/>
      <c r="W89" s="17">
        <v>0</v>
      </c>
      <c r="X89" s="14"/>
      <c r="Y89" s="17">
        <v>0</v>
      </c>
      <c r="Z89" s="14"/>
      <c r="AA89" s="17">
        <v>0</v>
      </c>
      <c r="AB89" s="14"/>
      <c r="AC89" s="17">
        <v>0</v>
      </c>
      <c r="AD89" s="14"/>
    </row>
    <row r="90" spans="1:30" x14ac:dyDescent="0.2">
      <c r="A90" s="8"/>
      <c r="B90" s="73"/>
      <c r="C90" s="18">
        <f>SUM(C87:C89)</f>
        <v>0</v>
      </c>
      <c r="D90" s="14"/>
      <c r="E90" s="18">
        <f>SUM(E87:E89)</f>
        <v>0</v>
      </c>
      <c r="F90" s="14"/>
      <c r="G90" s="18">
        <f>SUM(G87:G89)</f>
        <v>240853.29</v>
      </c>
      <c r="H90" s="14"/>
      <c r="I90" s="18">
        <f>SUM(I87:I89)</f>
        <v>0</v>
      </c>
      <c r="J90" s="14"/>
      <c r="K90" s="18">
        <f>SUM(K87:K88)</f>
        <v>0</v>
      </c>
      <c r="L90" s="14"/>
      <c r="M90" s="18">
        <f>SUM(M87:M89)</f>
        <v>0</v>
      </c>
      <c r="N90" s="14"/>
      <c r="O90" s="18">
        <f>SUM(O87:O89)</f>
        <v>0</v>
      </c>
      <c r="P90" s="14"/>
      <c r="Q90" s="18">
        <f>SUM(Q87:Q89)</f>
        <v>240853.29</v>
      </c>
      <c r="R90" s="14"/>
      <c r="S90" s="18">
        <f>SUM(S87:S89)</f>
        <v>0</v>
      </c>
      <c r="T90" s="14"/>
      <c r="U90" s="18">
        <f>SUM(U87:U89)</f>
        <v>0</v>
      </c>
      <c r="V90" s="14"/>
      <c r="W90" s="18">
        <f>SUM(W87:W89)</f>
        <v>240853.29</v>
      </c>
      <c r="X90" s="14"/>
      <c r="Y90" s="18">
        <f>SUM(Y87:Y89)</f>
        <v>0</v>
      </c>
      <c r="Z90" s="14"/>
      <c r="AA90" s="18">
        <f>SUM(AA87:AA89)</f>
        <v>240853.29</v>
      </c>
      <c r="AB90" s="14"/>
      <c r="AC90" s="18">
        <f>SUM(AC87:AC89)</f>
        <v>0</v>
      </c>
      <c r="AD90" s="14"/>
    </row>
    <row r="91" spans="1:30" x14ac:dyDescent="0.2">
      <c r="A91" s="8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x14ac:dyDescent="0.2">
      <c r="A92" s="8"/>
      <c r="B92" s="12" t="s">
        <v>24</v>
      </c>
      <c r="C92" s="16">
        <f>SUM(C87:C89)</f>
        <v>0</v>
      </c>
      <c r="D92" s="14"/>
      <c r="E92" s="16">
        <f>SUM(E87:E89)</f>
        <v>0</v>
      </c>
      <c r="F92" s="14"/>
      <c r="G92" s="16">
        <f>SUM(G87:G89)</f>
        <v>240853.29</v>
      </c>
      <c r="H92" s="14"/>
      <c r="I92" s="16">
        <f>SUM(I87:I89)</f>
        <v>0</v>
      </c>
      <c r="J92" s="14"/>
      <c r="K92" s="16">
        <f>SUM(K87:K89)</f>
        <v>0</v>
      </c>
      <c r="L92" s="14"/>
      <c r="M92" s="16">
        <f>SUM(M87:M89)</f>
        <v>0</v>
      </c>
      <c r="N92" s="14"/>
      <c r="O92" s="16">
        <f>SUM(O87:O89)</f>
        <v>0</v>
      </c>
      <c r="P92" s="14"/>
      <c r="Q92" s="16">
        <f>SUM(Q87:Q89)</f>
        <v>240853.29</v>
      </c>
      <c r="R92" s="14"/>
      <c r="S92" s="16">
        <f>SUM(S87:S89)</f>
        <v>0</v>
      </c>
      <c r="T92" s="14"/>
      <c r="U92" s="16">
        <f>SUM(U87:U89)</f>
        <v>0</v>
      </c>
      <c r="V92" s="14"/>
      <c r="W92" s="16">
        <f>SUM(W87:W89)</f>
        <v>240853.29</v>
      </c>
      <c r="X92" s="14"/>
      <c r="Y92" s="16">
        <f>SUM(Y87:Y89)</f>
        <v>0</v>
      </c>
      <c r="Z92" s="14"/>
      <c r="AA92" s="16">
        <f>SUM(AA87:AA89)</f>
        <v>240853.29</v>
      </c>
      <c r="AB92" s="14"/>
      <c r="AC92" s="16">
        <f>SUM(AC87:AC89)</f>
        <v>0</v>
      </c>
      <c r="AD92" s="14"/>
    </row>
    <row r="93" spans="1:30" x14ac:dyDescent="0.2">
      <c r="A93" s="71" t="s">
        <v>11</v>
      </c>
      <c r="B93" s="12"/>
    </row>
    <row r="94" spans="1:30" x14ac:dyDescent="0.2">
      <c r="A94" s="71"/>
      <c r="B94" s="12" t="s">
        <v>12</v>
      </c>
    </row>
    <row r="95" spans="1:30" x14ac:dyDescent="0.2">
      <c r="A95" s="71"/>
      <c r="B95" s="3" t="s">
        <v>148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0</v>
      </c>
      <c r="Q95" s="14">
        <f t="shared" ref="Q95:Q103" si="24">SUM(C95:P95)</f>
        <v>0</v>
      </c>
      <c r="S95" s="14">
        <f t="shared" ref="S95:S103" si="25">SUMIF($C$9:$P$9,"=Addition",$C95:$P95)</f>
        <v>0</v>
      </c>
      <c r="U95" s="14">
        <f t="shared" ref="U95:U103" si="26">SUMIF($C$9:$P$9,"=Adjustment",$C95:$P95)</f>
        <v>0</v>
      </c>
      <c r="W95" s="14">
        <f t="shared" ref="W95:W103" si="27">SUMIF($C$9:$P$9,"=Transfer",$C95:$P95)</f>
        <v>0</v>
      </c>
      <c r="Y95" s="14">
        <f t="shared" ref="Y95:Y103" si="28">SUMIF($C$9:$P$9,"=Addition",$C95:$P95)</f>
        <v>0</v>
      </c>
      <c r="AA95" s="14">
        <f t="shared" ref="AA95:AA103" si="29">SUM(S95:Y95)</f>
        <v>0</v>
      </c>
      <c r="AC95" s="14">
        <f>+Q95-AA95</f>
        <v>0</v>
      </c>
    </row>
    <row r="96" spans="1:30" x14ac:dyDescent="0.2">
      <c r="A96" s="71"/>
      <c r="B96" s="3" t="s">
        <v>149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f t="shared" si="24"/>
        <v>0</v>
      </c>
      <c r="S96" s="14">
        <f t="shared" si="25"/>
        <v>0</v>
      </c>
      <c r="U96" s="14">
        <f t="shared" si="26"/>
        <v>0</v>
      </c>
      <c r="W96" s="14">
        <f t="shared" si="27"/>
        <v>0</v>
      </c>
      <c r="Y96" s="14">
        <f t="shared" si="28"/>
        <v>0</v>
      </c>
      <c r="AA96" s="14">
        <f t="shared" si="29"/>
        <v>0</v>
      </c>
      <c r="AC96" s="14">
        <f t="shared" ref="AC96:AC103" si="30">+Q96-AA96</f>
        <v>0</v>
      </c>
    </row>
    <row r="97" spans="1:29" x14ac:dyDescent="0.2">
      <c r="A97" s="71"/>
      <c r="B97" s="3" t="s">
        <v>150</v>
      </c>
      <c r="C97" s="14">
        <v>0</v>
      </c>
      <c r="E97" s="14">
        <v>0</v>
      </c>
      <c r="G97" s="14">
        <v>0</v>
      </c>
      <c r="I97" s="14">
        <v>0</v>
      </c>
      <c r="K97" s="14">
        <v>0</v>
      </c>
      <c r="M97" s="14">
        <v>0</v>
      </c>
      <c r="O97" s="14">
        <v>0</v>
      </c>
      <c r="Q97" s="14">
        <f t="shared" si="24"/>
        <v>0</v>
      </c>
      <c r="S97" s="14">
        <f t="shared" si="25"/>
        <v>0</v>
      </c>
      <c r="U97" s="14">
        <f t="shared" si="26"/>
        <v>0</v>
      </c>
      <c r="W97" s="14">
        <f t="shared" si="27"/>
        <v>0</v>
      </c>
      <c r="Y97" s="14">
        <f t="shared" si="28"/>
        <v>0</v>
      </c>
      <c r="AA97" s="14">
        <f t="shared" si="29"/>
        <v>0</v>
      </c>
      <c r="AC97" s="14">
        <f t="shared" si="30"/>
        <v>0</v>
      </c>
    </row>
    <row r="98" spans="1:29" x14ac:dyDescent="0.2">
      <c r="A98" s="71"/>
      <c r="B98" s="3" t="s">
        <v>151</v>
      </c>
      <c r="C98" s="14">
        <v>0</v>
      </c>
      <c r="E98" s="14">
        <v>0</v>
      </c>
      <c r="G98" s="14">
        <v>0</v>
      </c>
      <c r="I98" s="14">
        <v>0</v>
      </c>
      <c r="K98" s="14">
        <v>0</v>
      </c>
      <c r="M98" s="14">
        <v>0</v>
      </c>
      <c r="O98" s="14">
        <v>0</v>
      </c>
      <c r="Q98" s="14">
        <f t="shared" si="24"/>
        <v>0</v>
      </c>
      <c r="S98" s="14">
        <f t="shared" si="25"/>
        <v>0</v>
      </c>
      <c r="U98" s="14">
        <f t="shared" si="26"/>
        <v>0</v>
      </c>
      <c r="W98" s="14">
        <f t="shared" si="27"/>
        <v>0</v>
      </c>
      <c r="Y98" s="14">
        <f t="shared" si="28"/>
        <v>0</v>
      </c>
      <c r="AA98" s="14">
        <f t="shared" si="29"/>
        <v>0</v>
      </c>
      <c r="AC98" s="14">
        <f t="shared" si="30"/>
        <v>0</v>
      </c>
    </row>
    <row r="99" spans="1:29" x14ac:dyDescent="0.2">
      <c r="A99" s="71"/>
      <c r="B99" s="3" t="s">
        <v>152</v>
      </c>
      <c r="C99" s="14">
        <v>0</v>
      </c>
      <c r="E99" s="14">
        <v>0</v>
      </c>
      <c r="G99" s="14">
        <v>0</v>
      </c>
      <c r="I99" s="14">
        <v>0</v>
      </c>
      <c r="K99" s="14">
        <v>0</v>
      </c>
      <c r="M99" s="14">
        <v>0</v>
      </c>
      <c r="O99" s="14">
        <v>0</v>
      </c>
      <c r="Q99" s="14">
        <f t="shared" si="24"/>
        <v>0</v>
      </c>
      <c r="S99" s="14">
        <f t="shared" si="25"/>
        <v>0</v>
      </c>
      <c r="U99" s="14">
        <f t="shared" si="26"/>
        <v>0</v>
      </c>
      <c r="W99" s="14">
        <f t="shared" si="27"/>
        <v>0</v>
      </c>
      <c r="Y99" s="14">
        <f t="shared" si="28"/>
        <v>0</v>
      </c>
      <c r="AA99" s="14">
        <f t="shared" si="29"/>
        <v>0</v>
      </c>
      <c r="AC99" s="14">
        <f t="shared" si="30"/>
        <v>0</v>
      </c>
    </row>
    <row r="100" spans="1:29" x14ac:dyDescent="0.2">
      <c r="A100" s="71"/>
      <c r="B100" s="3" t="s">
        <v>153</v>
      </c>
      <c r="C100" s="14">
        <v>0</v>
      </c>
      <c r="E100" s="14">
        <v>0</v>
      </c>
      <c r="G100" s="14">
        <v>0</v>
      </c>
      <c r="I100" s="14">
        <v>0</v>
      </c>
      <c r="K100" s="14">
        <v>0</v>
      </c>
      <c r="M100" s="14">
        <v>0</v>
      </c>
      <c r="O100" s="14">
        <v>0</v>
      </c>
      <c r="Q100" s="14">
        <f t="shared" si="24"/>
        <v>0</v>
      </c>
      <c r="S100" s="14">
        <f t="shared" si="25"/>
        <v>0</v>
      </c>
      <c r="U100" s="14">
        <f t="shared" si="26"/>
        <v>0</v>
      </c>
      <c r="W100" s="14">
        <f t="shared" si="27"/>
        <v>0</v>
      </c>
      <c r="Y100" s="14">
        <f t="shared" si="28"/>
        <v>0</v>
      </c>
      <c r="AA100" s="14">
        <f t="shared" si="29"/>
        <v>0</v>
      </c>
      <c r="AC100" s="14">
        <f t="shared" si="30"/>
        <v>0</v>
      </c>
    </row>
    <row r="101" spans="1:29" x14ac:dyDescent="0.2">
      <c r="A101" s="71"/>
      <c r="B101" s="3" t="s">
        <v>154</v>
      </c>
      <c r="C101" s="14">
        <v>0</v>
      </c>
      <c r="E101" s="14"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f t="shared" si="24"/>
        <v>0</v>
      </c>
      <c r="S101" s="14">
        <f t="shared" si="25"/>
        <v>0</v>
      </c>
      <c r="U101" s="14">
        <f t="shared" si="26"/>
        <v>0</v>
      </c>
      <c r="W101" s="14">
        <f t="shared" si="27"/>
        <v>0</v>
      </c>
      <c r="Y101" s="14">
        <f t="shared" si="28"/>
        <v>0</v>
      </c>
      <c r="AA101" s="14">
        <f t="shared" si="29"/>
        <v>0</v>
      </c>
      <c r="AC101" s="14">
        <f t="shared" si="30"/>
        <v>0</v>
      </c>
    </row>
    <row r="102" spans="1:29" x14ac:dyDescent="0.2">
      <c r="A102" s="71"/>
      <c r="B102" s="3" t="s">
        <v>155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f t="shared" si="24"/>
        <v>0</v>
      </c>
      <c r="S102" s="14">
        <f t="shared" si="25"/>
        <v>0</v>
      </c>
      <c r="U102" s="14">
        <f t="shared" si="26"/>
        <v>0</v>
      </c>
      <c r="W102" s="14">
        <f t="shared" si="27"/>
        <v>0</v>
      </c>
      <c r="Y102" s="14">
        <f t="shared" si="28"/>
        <v>0</v>
      </c>
      <c r="AA102" s="14">
        <f t="shared" si="29"/>
        <v>0</v>
      </c>
      <c r="AC102" s="14">
        <f t="shared" si="30"/>
        <v>0</v>
      </c>
    </row>
    <row r="103" spans="1:29" x14ac:dyDescent="0.2">
      <c r="A103" s="71"/>
      <c r="B103" s="3" t="s">
        <v>160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f t="shared" si="24"/>
        <v>0</v>
      </c>
      <c r="S103" s="14">
        <f t="shared" si="25"/>
        <v>0</v>
      </c>
      <c r="U103" s="14">
        <f t="shared" si="26"/>
        <v>0</v>
      </c>
      <c r="W103" s="14">
        <f t="shared" si="27"/>
        <v>0</v>
      </c>
      <c r="Y103" s="14">
        <f t="shared" si="28"/>
        <v>0</v>
      </c>
      <c r="AA103" s="14">
        <f t="shared" si="29"/>
        <v>0</v>
      </c>
      <c r="AC103" s="14">
        <f t="shared" si="30"/>
        <v>0</v>
      </c>
    </row>
    <row r="104" spans="1:29" x14ac:dyDescent="0.2">
      <c r="A104" s="71"/>
      <c r="B104" s="74" t="s">
        <v>238</v>
      </c>
      <c r="C104" s="18">
        <f>SUM(C95:C103)</f>
        <v>0</v>
      </c>
      <c r="E104" s="18">
        <f>SUM(E95:E103)</f>
        <v>0</v>
      </c>
      <c r="G104" s="18">
        <f>SUM(G95:G103)</f>
        <v>0</v>
      </c>
      <c r="I104" s="18">
        <f>SUM(I95:I103)</f>
        <v>0</v>
      </c>
      <c r="K104" s="18">
        <f>SUM(K95:K103)</f>
        <v>0</v>
      </c>
      <c r="M104" s="18">
        <f>SUM(M95:M103)</f>
        <v>0</v>
      </c>
      <c r="O104" s="18">
        <f>SUM(O95:O103)</f>
        <v>0</v>
      </c>
      <c r="Q104" s="18">
        <f>SUM(Q95:Q103)</f>
        <v>0</v>
      </c>
      <c r="S104" s="18">
        <f>SUM(S95:S103)</f>
        <v>0</v>
      </c>
      <c r="U104" s="18">
        <f>SUM(U95:U103)</f>
        <v>0</v>
      </c>
      <c r="W104" s="18">
        <f>SUM(W95:W103)</f>
        <v>0</v>
      </c>
      <c r="Y104" s="18">
        <f>SUM(Y95:Y103)</f>
        <v>0</v>
      </c>
      <c r="AA104" s="18">
        <f>SUM(AA95:AA103)</f>
        <v>0</v>
      </c>
      <c r="AC104" s="18">
        <f>+Q104-AA104</f>
        <v>0</v>
      </c>
    </row>
    <row r="105" spans="1:29" x14ac:dyDescent="0.2">
      <c r="A105" s="71"/>
      <c r="C105" s="14"/>
      <c r="E105" s="14"/>
      <c r="G105" s="14"/>
      <c r="I105" s="14"/>
      <c r="K105" s="14"/>
      <c r="M105" s="14"/>
      <c r="O105" s="14"/>
      <c r="Q105" s="14"/>
      <c r="S105" s="14"/>
      <c r="U105" s="14"/>
      <c r="W105" s="14"/>
      <c r="Y105" s="14"/>
      <c r="AA105" s="14"/>
      <c r="AC105" s="14"/>
    </row>
    <row r="106" spans="1:29" x14ac:dyDescent="0.2">
      <c r="A106" s="71"/>
      <c r="B106" s="12" t="s">
        <v>13</v>
      </c>
      <c r="C106" s="14"/>
      <c r="E106" s="14"/>
      <c r="G106" s="14"/>
      <c r="I106" s="14"/>
      <c r="K106" s="14"/>
      <c r="M106" s="14"/>
      <c r="O106" s="14"/>
      <c r="Q106" s="14"/>
      <c r="S106" s="14"/>
      <c r="U106" s="14"/>
      <c r="W106" s="14"/>
      <c r="Y106" s="14"/>
      <c r="AA106" s="14"/>
      <c r="AC106" s="14"/>
    </row>
    <row r="107" spans="1:29" x14ac:dyDescent="0.2">
      <c r="A107" s="71"/>
      <c r="B107" s="3" t="s">
        <v>165</v>
      </c>
      <c r="C107" s="14">
        <v>0</v>
      </c>
      <c r="E107" s="14">
        <v>0</v>
      </c>
      <c r="G107" s="14">
        <v>0</v>
      </c>
      <c r="I107" s="14">
        <v>0</v>
      </c>
      <c r="K107" s="14">
        <v>0</v>
      </c>
      <c r="M107" s="14">
        <v>0</v>
      </c>
      <c r="O107" s="14">
        <v>0</v>
      </c>
      <c r="Q107" s="14">
        <f>SUM(C107:P107)</f>
        <v>0</v>
      </c>
      <c r="S107" s="14">
        <f>SUMIF($C$9:$P$9,"=Addition",$C107:$P107)</f>
        <v>0</v>
      </c>
      <c r="U107" s="14">
        <f>SUMIF($C$9:$P$9,"=Adjustment",$C107:$P107)</f>
        <v>0</v>
      </c>
      <c r="W107" s="14">
        <f>SUMIF($C$9:$P$9,"=Transfer",$C107:$P107)</f>
        <v>0</v>
      </c>
      <c r="Y107" s="14">
        <f>SUMIF($C$9:$P$9,"=Addition",$C107:$P107)</f>
        <v>0</v>
      </c>
      <c r="AA107" s="14">
        <f>SUM(S107:Y107)</f>
        <v>0</v>
      </c>
      <c r="AC107" s="14">
        <f>+Q107-AA107</f>
        <v>0</v>
      </c>
    </row>
    <row r="108" spans="1:29" x14ac:dyDescent="0.2">
      <c r="A108" s="71"/>
      <c r="B108" s="3" t="s">
        <v>174</v>
      </c>
      <c r="C108" s="14">
        <v>0</v>
      </c>
      <c r="E108" s="14">
        <v>0</v>
      </c>
      <c r="G108" s="14">
        <v>0</v>
      </c>
      <c r="I108" s="14">
        <v>0</v>
      </c>
      <c r="K108" s="14">
        <v>0</v>
      </c>
      <c r="M108" s="14">
        <v>0</v>
      </c>
      <c r="O108" s="14">
        <v>0</v>
      </c>
      <c r="Q108" s="14">
        <f>SUM(C108:P108)</f>
        <v>0</v>
      </c>
      <c r="S108" s="14">
        <f>SUMIF($C$9:$P$9,"=Addition",$C108:$P108)</f>
        <v>0</v>
      </c>
      <c r="U108" s="14">
        <f>SUMIF($C$9:$P$9,"=Adjustment",$C108:$P108)</f>
        <v>0</v>
      </c>
      <c r="W108" s="14">
        <f>SUMIF($C$9:$P$9,"=Transfer",$C108:$P108)</f>
        <v>0</v>
      </c>
      <c r="Y108" s="14">
        <f>SUMIF($C$9:$P$9,"=Addition",$C108:$P108)</f>
        <v>0</v>
      </c>
      <c r="AA108" s="14">
        <f>SUM(S108:Y108)</f>
        <v>0</v>
      </c>
      <c r="AC108" s="14">
        <f>+Q108-AA108</f>
        <v>0</v>
      </c>
    </row>
    <row r="109" spans="1:29" x14ac:dyDescent="0.2">
      <c r="A109" s="71"/>
      <c r="B109" s="3" t="s">
        <v>176</v>
      </c>
      <c r="C109" s="14">
        <v>0</v>
      </c>
      <c r="E109" s="14">
        <v>0</v>
      </c>
      <c r="G109" s="14">
        <v>0</v>
      </c>
      <c r="I109" s="14">
        <v>0</v>
      </c>
      <c r="K109" s="14">
        <v>0</v>
      </c>
      <c r="M109" s="14">
        <v>0</v>
      </c>
      <c r="O109" s="14">
        <v>0</v>
      </c>
      <c r="Q109" s="14">
        <f>SUM(C109:P109)</f>
        <v>0</v>
      </c>
      <c r="S109" s="14">
        <f>SUMIF($C$9:$P$9,"=Addition",$C109:$P109)</f>
        <v>0</v>
      </c>
      <c r="U109" s="14">
        <f>SUMIF($C$9:$P$9,"=Adjustment",$C109:$P109)</f>
        <v>0</v>
      </c>
      <c r="W109" s="14">
        <f>SUMIF($C$9:$P$9,"=Transfer",$C109:$P109)</f>
        <v>0</v>
      </c>
      <c r="Y109" s="14">
        <f>SUMIF($C$9:$P$9,"=Addition",$C109:$P109)</f>
        <v>0</v>
      </c>
      <c r="AA109" s="14">
        <f>SUM(S109:Y109)</f>
        <v>0</v>
      </c>
      <c r="AC109" s="14">
        <f>+Q109-AA109</f>
        <v>0</v>
      </c>
    </row>
    <row r="110" spans="1:29" x14ac:dyDescent="0.2">
      <c r="A110" s="71"/>
      <c r="B110" s="43" t="s">
        <v>177</v>
      </c>
      <c r="C110" s="14">
        <v>0</v>
      </c>
      <c r="E110" s="14">
        <v>0</v>
      </c>
      <c r="G110" s="14">
        <v>0</v>
      </c>
      <c r="I110" s="14">
        <v>0</v>
      </c>
      <c r="K110" s="14">
        <v>0</v>
      </c>
      <c r="M110" s="14">
        <v>0</v>
      </c>
      <c r="O110" s="14">
        <v>0</v>
      </c>
      <c r="Q110" s="14">
        <f>SUM(C110:P110)</f>
        <v>0</v>
      </c>
      <c r="S110" s="14">
        <f>SUMIF($C$9:$P$9,"=Addition",$C110:$P110)</f>
        <v>0</v>
      </c>
      <c r="U110" s="14">
        <f>SUMIF($C$9:$P$9,"=Adjustment",$C110:$P110)</f>
        <v>0</v>
      </c>
      <c r="W110" s="14">
        <f>SUMIF($C$9:$P$9,"=Transfer",$C110:$P110)</f>
        <v>0</v>
      </c>
      <c r="Y110" s="14">
        <f>SUMIF($C$9:$P$9,"=Addition",$C110:$P110)</f>
        <v>0</v>
      </c>
      <c r="AA110" s="14">
        <f>SUM(S110:Y110)</f>
        <v>0</v>
      </c>
      <c r="AC110" s="14">
        <f>+Q110-AA110</f>
        <v>0</v>
      </c>
    </row>
    <row r="111" spans="1:29" x14ac:dyDescent="0.2">
      <c r="A111" s="71"/>
      <c r="B111" s="43" t="s">
        <v>178</v>
      </c>
      <c r="C111" s="14">
        <v>0</v>
      </c>
      <c r="E111" s="14">
        <v>0</v>
      </c>
      <c r="G111" s="14">
        <v>0</v>
      </c>
      <c r="I111" s="14">
        <v>0</v>
      </c>
      <c r="K111" s="14">
        <v>0</v>
      </c>
      <c r="M111" s="14">
        <v>0</v>
      </c>
      <c r="O111" s="14">
        <v>0</v>
      </c>
      <c r="Q111" s="14">
        <f>SUM(C111:P111)</f>
        <v>0</v>
      </c>
      <c r="S111" s="14">
        <f>SUMIF($C$9:$P$9,"=Addition",$C111:$P111)</f>
        <v>0</v>
      </c>
      <c r="U111" s="14">
        <f>SUMIF($C$9:$P$9,"=Adjustment",$C111:$P111)</f>
        <v>0</v>
      </c>
      <c r="W111" s="14">
        <f>SUMIF($C$9:$P$9,"=Transfer",$C111:$P111)</f>
        <v>0</v>
      </c>
      <c r="Y111" s="14">
        <f>SUMIF($C$9:$P$9,"=Addition",$C111:$P111)</f>
        <v>0</v>
      </c>
      <c r="AA111" s="14">
        <f>SUM(S111:Y111)</f>
        <v>0</v>
      </c>
      <c r="AC111" s="14">
        <f>+Q111-AA111</f>
        <v>0</v>
      </c>
    </row>
    <row r="112" spans="1:29" x14ac:dyDescent="0.2">
      <c r="A112" s="71"/>
      <c r="B112" s="74" t="s">
        <v>239</v>
      </c>
      <c r="C112" s="18">
        <f>SUM(C107:C111)</f>
        <v>0</v>
      </c>
      <c r="E112" s="18">
        <f>SUM(E107:E111)</f>
        <v>0</v>
      </c>
      <c r="G112" s="18">
        <f>SUM(G107:G111)</f>
        <v>0</v>
      </c>
      <c r="I112" s="18">
        <f>SUM(I107:I111)</f>
        <v>0</v>
      </c>
      <c r="K112" s="18">
        <f>SUM(K107:K111)</f>
        <v>0</v>
      </c>
      <c r="M112" s="18">
        <f>SUM(M107:M111)</f>
        <v>0</v>
      </c>
      <c r="O112" s="18">
        <f>SUM(O107:O111)</f>
        <v>0</v>
      </c>
      <c r="Q112" s="18">
        <f>SUM(Q107:Q111)</f>
        <v>0</v>
      </c>
      <c r="S112" s="18">
        <f>SUM(S107:S111)</f>
        <v>0</v>
      </c>
      <c r="U112" s="18">
        <f>SUM(U107:U111)</f>
        <v>0</v>
      </c>
      <c r="W112" s="18">
        <f>SUM(W107:W111)</f>
        <v>0</v>
      </c>
      <c r="Y112" s="18">
        <f>SUM(Y107:Y111)</f>
        <v>0</v>
      </c>
      <c r="AA112" s="18">
        <f>SUM(AA107:AA111)</f>
        <v>0</v>
      </c>
      <c r="AC112" s="18">
        <f>+Q112+AA112</f>
        <v>0</v>
      </c>
    </row>
    <row r="113" spans="1:29" x14ac:dyDescent="0.2">
      <c r="A113" s="71"/>
      <c r="C113" s="14"/>
      <c r="E113" s="14"/>
      <c r="G113" s="14"/>
      <c r="I113" s="14"/>
      <c r="K113" s="14"/>
      <c r="M113" s="14"/>
      <c r="O113" s="14"/>
      <c r="Q113" s="14"/>
      <c r="S113" s="14"/>
      <c r="U113" s="14"/>
      <c r="W113" s="14"/>
      <c r="Y113" s="14"/>
      <c r="AA113" s="14"/>
      <c r="AC113" s="14"/>
    </row>
    <row r="114" spans="1:29" x14ac:dyDescent="0.2">
      <c r="A114" s="8"/>
      <c r="B114" s="12" t="s">
        <v>18</v>
      </c>
      <c r="C114" s="14"/>
      <c r="E114" s="14"/>
      <c r="G114" s="14"/>
      <c r="I114" s="14"/>
      <c r="K114" s="14"/>
      <c r="M114" s="14"/>
      <c r="O114" s="14"/>
      <c r="Q114" s="14"/>
      <c r="S114" s="14"/>
      <c r="U114" s="14"/>
      <c r="W114" s="14"/>
      <c r="Y114" s="14"/>
      <c r="AA114" s="14"/>
      <c r="AC114" s="14"/>
    </row>
    <row r="115" spans="1:29" x14ac:dyDescent="0.2">
      <c r="A115" s="8"/>
      <c r="B115" s="3" t="s">
        <v>223</v>
      </c>
      <c r="C115" s="14">
        <v>0</v>
      </c>
      <c r="E115" s="14">
        <v>0</v>
      </c>
      <c r="G115" s="14">
        <v>0</v>
      </c>
      <c r="I115" s="14">
        <v>0</v>
      </c>
      <c r="K115" s="14">
        <v>0</v>
      </c>
      <c r="M115" s="14">
        <v>0</v>
      </c>
      <c r="O115" s="14">
        <v>0</v>
      </c>
      <c r="Q115" s="14">
        <f>SUM(C115:P115)</f>
        <v>0</v>
      </c>
      <c r="S115" s="14">
        <f>SUMIF($C$9:$P$9,"=Addition",$C115:$P115)</f>
        <v>0</v>
      </c>
      <c r="U115" s="14">
        <f>SUMIF($C$9:$P$9,"=Adjustment",$C115:$P115)</f>
        <v>0</v>
      </c>
      <c r="W115" s="14">
        <f>SUMIF($C$9:$P$9,"=Transfer",$C115:$P115)</f>
        <v>0</v>
      </c>
      <c r="Y115" s="14">
        <f>SUMIF($C$9:$P$9,"=Addition",$C115:$P115)</f>
        <v>0</v>
      </c>
      <c r="AA115" s="14">
        <f>SUM(S115:Y115)</f>
        <v>0</v>
      </c>
      <c r="AC115" s="14">
        <f>+Q115-AA115</f>
        <v>0</v>
      </c>
    </row>
    <row r="116" spans="1:29" x14ac:dyDescent="0.2">
      <c r="A116" s="8"/>
      <c r="B116" s="3" t="s">
        <v>225</v>
      </c>
      <c r="C116" s="14">
        <v>0</v>
      </c>
      <c r="E116" s="14">
        <v>0</v>
      </c>
      <c r="G116" s="14">
        <v>0</v>
      </c>
      <c r="I116" s="14">
        <v>0</v>
      </c>
      <c r="K116" s="14">
        <v>0</v>
      </c>
      <c r="M116" s="14">
        <v>0</v>
      </c>
      <c r="O116" s="14">
        <v>0</v>
      </c>
      <c r="Q116" s="14">
        <f>SUM(C116:P116)</f>
        <v>0</v>
      </c>
      <c r="S116" s="14">
        <f>SUMIF($C$9:$P$9,"=Addition",$C116:$P116)</f>
        <v>0</v>
      </c>
      <c r="U116" s="14">
        <f>SUMIF($C$9:$P$9,"=Adjustment",$C116:$P116)</f>
        <v>0</v>
      </c>
      <c r="W116" s="14">
        <f>SUMIF($C$9:$P$9,"=Transfer",$C116:$P116)</f>
        <v>0</v>
      </c>
      <c r="Y116" s="14">
        <f>SUMIF($C$9:$P$9,"=Addition",$C116:$P116)</f>
        <v>0</v>
      </c>
      <c r="AA116" s="14">
        <f>SUM(S116:Y116)</f>
        <v>0</v>
      </c>
      <c r="AC116" s="14">
        <f>+Q116-AA116</f>
        <v>0</v>
      </c>
    </row>
    <row r="117" spans="1:29" x14ac:dyDescent="0.2">
      <c r="A117" s="8"/>
      <c r="B117" s="3" t="s">
        <v>229</v>
      </c>
      <c r="C117" s="14">
        <v>0</v>
      </c>
      <c r="E117" s="14">
        <v>0</v>
      </c>
      <c r="G117" s="14">
        <v>0</v>
      </c>
      <c r="I117" s="14">
        <v>0</v>
      </c>
      <c r="K117" s="14">
        <v>0</v>
      </c>
      <c r="M117" s="14">
        <v>0</v>
      </c>
      <c r="O117" s="14">
        <v>0</v>
      </c>
      <c r="Q117" s="14">
        <f>SUM(C117:P117)</f>
        <v>0</v>
      </c>
      <c r="S117" s="14">
        <f>SUMIF($C$9:$P$9,"=Addition",$C117:$P117)</f>
        <v>0</v>
      </c>
      <c r="U117" s="14">
        <f>SUMIF($C$9:$P$9,"=Adjustment",$C117:$P117)</f>
        <v>0</v>
      </c>
      <c r="W117" s="14">
        <f>SUMIF($C$9:$P$9,"=Transfer",$C117:$P117)</f>
        <v>0</v>
      </c>
      <c r="Y117" s="14">
        <f>SUMIF($C$9:$P$9,"=Addition",$C117:$P117)</f>
        <v>0</v>
      </c>
      <c r="AA117" s="14">
        <f>SUM(S117:Y117)</f>
        <v>0</v>
      </c>
      <c r="AC117" s="14">
        <f>+Q117-AA117</f>
        <v>0</v>
      </c>
    </row>
    <row r="118" spans="1:29" x14ac:dyDescent="0.2">
      <c r="A118" s="8"/>
      <c r="B118" s="3" t="s">
        <v>230</v>
      </c>
      <c r="C118" s="14">
        <v>0</v>
      </c>
      <c r="E118" s="14">
        <v>0</v>
      </c>
      <c r="G118" s="14">
        <v>0</v>
      </c>
      <c r="I118" s="14">
        <v>0</v>
      </c>
      <c r="K118" s="14">
        <v>0</v>
      </c>
      <c r="M118" s="14">
        <v>0</v>
      </c>
      <c r="O118" s="14">
        <v>0</v>
      </c>
      <c r="Q118" s="14">
        <f>SUM(C118:P118)</f>
        <v>0</v>
      </c>
      <c r="S118" s="14">
        <f>SUMIF($C$9:$P$9,"=Addition",$C118:$P118)</f>
        <v>0</v>
      </c>
      <c r="U118" s="14">
        <f>SUMIF($C$9:$P$9,"=Adjustment",$C118:$P118)</f>
        <v>0</v>
      </c>
      <c r="W118" s="14">
        <f>SUMIF($C$9:$P$9,"=Transfer",$C118:$P118)</f>
        <v>0</v>
      </c>
      <c r="Y118" s="14">
        <f>SUMIF($C$9:$P$9,"=Addition",$C118:$P118)</f>
        <v>0</v>
      </c>
      <c r="AA118" s="14">
        <f>SUM(S118:Y118)</f>
        <v>0</v>
      </c>
      <c r="AC118" s="14">
        <f>+Q118-AA118</f>
        <v>0</v>
      </c>
    </row>
    <row r="119" spans="1:29" ht="13.5" customHeight="1" x14ac:dyDescent="0.2">
      <c r="A119" s="8"/>
      <c r="B119" s="74" t="s">
        <v>244</v>
      </c>
      <c r="C119" s="18">
        <f>SUM(C115:C118)</f>
        <v>0</v>
      </c>
      <c r="E119" s="18">
        <f>SUM(E115:E118)</f>
        <v>0</v>
      </c>
      <c r="G119" s="18">
        <f>SUM(G115:G118)</f>
        <v>0</v>
      </c>
      <c r="I119" s="18">
        <f>SUM(I115:I118)</f>
        <v>0</v>
      </c>
      <c r="K119" s="18">
        <f>SUM(K115:K118)</f>
        <v>0</v>
      </c>
      <c r="M119" s="18">
        <f>SUM(M115:M118)</f>
        <v>0</v>
      </c>
      <c r="O119" s="18">
        <f>SUM(O115:O118)</f>
        <v>0</v>
      </c>
      <c r="Q119" s="18">
        <f>SUM(Q115:Q118)</f>
        <v>0</v>
      </c>
      <c r="S119" s="18">
        <f>SUM(S115:S118)</f>
        <v>0</v>
      </c>
      <c r="U119" s="18">
        <f>SUM(U115:U118)</f>
        <v>0</v>
      </c>
      <c r="W119" s="18">
        <f>SUM(W115:W118)</f>
        <v>0</v>
      </c>
      <c r="Y119" s="18">
        <f>SUM(Y115:Y118)</f>
        <v>0</v>
      </c>
      <c r="AA119" s="18">
        <f>SUM(AA115:AA118)</f>
        <v>0</v>
      </c>
      <c r="AC119" s="18">
        <f>+Q119+AA119</f>
        <v>0</v>
      </c>
    </row>
    <row r="120" spans="1:29" ht="13.5" customHeight="1" x14ac:dyDescent="0.2">
      <c r="A120" s="8"/>
      <c r="B120" s="74"/>
      <c r="C120" s="17"/>
      <c r="E120" s="17"/>
      <c r="G120" s="17"/>
      <c r="I120" s="17"/>
      <c r="K120" s="17"/>
      <c r="M120" s="17"/>
      <c r="O120" s="17"/>
      <c r="Q120" s="17"/>
      <c r="S120" s="17"/>
      <c r="U120" s="17"/>
      <c r="W120" s="17"/>
      <c r="Y120" s="17"/>
      <c r="AA120" s="17"/>
      <c r="AC120" s="17"/>
    </row>
    <row r="121" spans="1:29" x14ac:dyDescent="0.2">
      <c r="A121" s="8"/>
      <c r="B121" s="74" t="s">
        <v>26</v>
      </c>
      <c r="C121" s="16">
        <f>+C104+C112+C119</f>
        <v>0</v>
      </c>
      <c r="D121" s="14"/>
      <c r="E121" s="16">
        <f>+E104+E112+E119</f>
        <v>0</v>
      </c>
      <c r="F121" s="14"/>
      <c r="G121" s="16">
        <f>+G104+G112+G119</f>
        <v>0</v>
      </c>
      <c r="H121" s="14"/>
      <c r="I121" s="16">
        <f>+I104+I112+I119</f>
        <v>0</v>
      </c>
      <c r="J121" s="14"/>
      <c r="K121" s="16">
        <f>+K104+K112+K119</f>
        <v>0</v>
      </c>
      <c r="L121" s="14"/>
      <c r="M121" s="16">
        <f>+M104+M112+M119</f>
        <v>0</v>
      </c>
      <c r="N121" s="14"/>
      <c r="O121" s="16">
        <f>+O104+O112+O119</f>
        <v>0</v>
      </c>
      <c r="P121" s="14"/>
      <c r="Q121" s="16">
        <f>+Q104+Q112+Q119</f>
        <v>0</v>
      </c>
      <c r="S121" s="16">
        <f>+S104+S112++S119</f>
        <v>0</v>
      </c>
      <c r="T121" s="14"/>
      <c r="U121" s="16">
        <f>+U104+U112+U119</f>
        <v>0</v>
      </c>
      <c r="V121" s="14"/>
      <c r="W121" s="16">
        <f>+W104+W112+W119</f>
        <v>0</v>
      </c>
      <c r="X121" s="14"/>
      <c r="Y121" s="16">
        <f>+Y104+Y112+Y119</f>
        <v>0</v>
      </c>
      <c r="Z121" s="14"/>
      <c r="AA121" s="16">
        <f>+AA104+AA112+AA119</f>
        <v>0</v>
      </c>
      <c r="AB121" s="14"/>
      <c r="AC121" s="16">
        <f>+Q121-AA121</f>
        <v>0</v>
      </c>
    </row>
    <row r="122" spans="1:29" x14ac:dyDescent="0.2">
      <c r="A122" s="8"/>
      <c r="B122" s="12"/>
      <c r="C122" s="17"/>
      <c r="D122" s="14"/>
      <c r="E122" s="17"/>
      <c r="F122" s="14"/>
      <c r="G122" s="17"/>
      <c r="H122" s="14"/>
      <c r="I122" s="17"/>
      <c r="J122" s="14"/>
      <c r="K122" s="17"/>
      <c r="L122" s="14"/>
      <c r="M122" s="17"/>
      <c r="N122" s="14"/>
      <c r="O122" s="17"/>
      <c r="P122" s="14"/>
      <c r="Q122" s="17"/>
      <c r="R122" s="146"/>
      <c r="S122" s="17"/>
      <c r="T122" s="14"/>
      <c r="U122" s="17"/>
      <c r="V122" s="14"/>
      <c r="W122" s="17"/>
      <c r="X122" s="14"/>
      <c r="Y122" s="17"/>
      <c r="Z122" s="14"/>
      <c r="AA122" s="17"/>
      <c r="AB122" s="14"/>
      <c r="AC122" s="17"/>
    </row>
    <row r="123" spans="1:29" ht="13.5" thickBot="1" x14ac:dyDescent="0.25">
      <c r="A123" s="8"/>
      <c r="B123" s="12" t="s">
        <v>245</v>
      </c>
      <c r="C123" s="78">
        <f>C77+C121</f>
        <v>59393.04</v>
      </c>
      <c r="D123" s="78">
        <f t="shared" ref="D123:AB123" si="31">D77+D121</f>
        <v>0</v>
      </c>
      <c r="E123" s="78">
        <f t="shared" si="31"/>
        <v>0</v>
      </c>
      <c r="F123" s="78">
        <f t="shared" si="31"/>
        <v>0</v>
      </c>
      <c r="G123" s="78">
        <f>G77+G121+G92</f>
        <v>0</v>
      </c>
      <c r="H123" s="78">
        <f t="shared" si="31"/>
        <v>0</v>
      </c>
      <c r="I123" s="78">
        <f t="shared" si="31"/>
        <v>0</v>
      </c>
      <c r="J123" s="78">
        <f t="shared" si="31"/>
        <v>0</v>
      </c>
      <c r="K123" s="78">
        <f t="shared" si="31"/>
        <v>0</v>
      </c>
      <c r="L123" s="78">
        <f t="shared" si="31"/>
        <v>0</v>
      </c>
      <c r="M123" s="78">
        <f t="shared" si="31"/>
        <v>0</v>
      </c>
      <c r="N123" s="78">
        <f t="shared" si="31"/>
        <v>0</v>
      </c>
      <c r="O123" s="78">
        <f t="shared" si="31"/>
        <v>0</v>
      </c>
      <c r="P123" s="78">
        <f t="shared" si="31"/>
        <v>0</v>
      </c>
      <c r="Q123" s="78">
        <f>Q77+Q121+Q92</f>
        <v>59393.040000000095</v>
      </c>
      <c r="R123" s="17"/>
      <c r="S123" s="78">
        <f>S77+S121+S92</f>
        <v>0</v>
      </c>
      <c r="T123" s="78">
        <f t="shared" si="31"/>
        <v>0</v>
      </c>
      <c r="U123" s="78">
        <f>U77+U121+U92</f>
        <v>0</v>
      </c>
      <c r="V123" s="78">
        <f t="shared" si="31"/>
        <v>0</v>
      </c>
      <c r="W123" s="78">
        <f>W77+W121+W92</f>
        <v>59393.040000000095</v>
      </c>
      <c r="X123" s="78">
        <f t="shared" si="31"/>
        <v>0</v>
      </c>
      <c r="Y123" s="78">
        <f t="shared" si="31"/>
        <v>0</v>
      </c>
      <c r="Z123" s="78">
        <f t="shared" si="31"/>
        <v>0</v>
      </c>
      <c r="AA123" s="78">
        <f>AA77+AA121+AA92</f>
        <v>59393.040000000095</v>
      </c>
      <c r="AB123" s="78">
        <f t="shared" si="31"/>
        <v>0</v>
      </c>
      <c r="AC123" s="78">
        <f>AC77-AC121</f>
        <v>0</v>
      </c>
    </row>
    <row r="124" spans="1:29" ht="13.5" thickTop="1" x14ac:dyDescent="0.2">
      <c r="A124" s="8"/>
      <c r="B124" s="12"/>
      <c r="C124" s="17"/>
      <c r="D124" s="14"/>
      <c r="E124" s="17"/>
      <c r="F124" s="14"/>
      <c r="G124" s="17"/>
      <c r="H124" s="14"/>
      <c r="I124" s="17"/>
      <c r="J124" s="14"/>
      <c r="K124" s="17"/>
      <c r="L124" s="14"/>
      <c r="M124" s="17"/>
      <c r="N124" s="14"/>
      <c r="O124" s="17"/>
      <c r="P124" s="14"/>
      <c r="Q124" s="17"/>
      <c r="R124" s="146"/>
      <c r="S124" s="17"/>
      <c r="T124" s="14"/>
      <c r="U124" s="17"/>
      <c r="V124" s="14"/>
      <c r="W124" s="17"/>
      <c r="X124" s="14"/>
      <c r="Y124" s="17"/>
      <c r="Z124" s="14"/>
      <c r="AA124" s="17"/>
      <c r="AB124" s="14"/>
      <c r="AC124" s="17"/>
    </row>
    <row r="125" spans="1:29" x14ac:dyDescent="0.2">
      <c r="A125" s="8"/>
      <c r="B125" s="84"/>
      <c r="C125" s="17"/>
      <c r="D125" s="14"/>
      <c r="E125" s="17"/>
      <c r="F125" s="14"/>
      <c r="G125" s="17"/>
      <c r="H125" s="14"/>
      <c r="I125" s="17"/>
      <c r="J125" s="14"/>
      <c r="K125" s="17"/>
      <c r="L125" s="14"/>
      <c r="M125" s="17"/>
      <c r="N125" s="14"/>
      <c r="O125" s="17"/>
      <c r="P125" s="14"/>
      <c r="Q125" s="17"/>
      <c r="R125" s="146"/>
      <c r="S125" s="17"/>
      <c r="T125" s="14"/>
      <c r="U125" s="17"/>
      <c r="V125" s="14"/>
      <c r="W125" s="17"/>
      <c r="X125" s="14"/>
      <c r="Y125" s="17"/>
      <c r="Z125" s="14"/>
      <c r="AA125" s="17"/>
      <c r="AB125" s="14"/>
      <c r="AC125" s="17"/>
    </row>
    <row r="126" spans="1:29" x14ac:dyDescent="0.2">
      <c r="B126" s="84"/>
      <c r="C126" s="17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147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1:29" x14ac:dyDescent="0.2">
      <c r="A127" s="80" t="s">
        <v>266</v>
      </c>
      <c r="B127" s="43" t="s">
        <v>247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x14ac:dyDescent="0.2">
      <c r="A128" s="79" t="s">
        <v>267</v>
      </c>
      <c r="B128" s="43" t="s">
        <v>257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1:29" ht="25.5" x14ac:dyDescent="0.2">
      <c r="A129" s="79" t="s">
        <v>268</v>
      </c>
      <c r="B129" s="81" t="s">
        <v>269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1:29" ht="38.25" x14ac:dyDescent="0.2">
      <c r="B130" s="81" t="s">
        <v>270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1:29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1:29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spans="1:29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1:29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1:29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1:29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1:29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spans="1:29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spans="1:29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spans="1:29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1:29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1:29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1:29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1:29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spans="3:29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3:29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3:29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spans="3:29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spans="3:29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spans="3:29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3:29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3:29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3:29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3:29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3:29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spans="3:29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3:29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spans="3:29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3:29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3:29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spans="3:29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spans="3:29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3:29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3:29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3:29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3:29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3:29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3:29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3:29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3:29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3:29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3:29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3:29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3:29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3:29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3:29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3:29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3:29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3:29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3:29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3:29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3:29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3:29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3:29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spans="3:29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spans="3:29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3:29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3:29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3:29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3:29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spans="3:29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spans="3:29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3:29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3:29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spans="3:29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3:29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spans="3:29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spans="3:29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3:29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spans="3:29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spans="3:29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spans="3:29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spans="3:29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spans="3:29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spans="3:29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spans="3:29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spans="3:29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spans="3:29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3:29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spans="3:29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spans="3:29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3:29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spans="3:29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spans="3:29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3:29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3:29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spans="3:29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3:29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spans="3:29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3:29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3:29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3:29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spans="3:29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3:29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3:29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3:29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3:29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spans="3:29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spans="3:29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spans="3:29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spans="3:29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spans="3:29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spans="3:29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  <row r="234" spans="3:29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</row>
    <row r="235" spans="3:29" x14ac:dyDescent="0.2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</row>
    <row r="236" spans="3:29" x14ac:dyDescent="0.2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</row>
    <row r="237" spans="3:29" x14ac:dyDescent="0.2"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</row>
    <row r="238" spans="3:29" x14ac:dyDescent="0.2"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</row>
    <row r="239" spans="3:29" x14ac:dyDescent="0.2"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</row>
    <row r="240" spans="3:29" x14ac:dyDescent="0.2"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</row>
    <row r="241" spans="3:29" x14ac:dyDescent="0.2"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</row>
    <row r="242" spans="3:29" x14ac:dyDescent="0.2"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</row>
    <row r="243" spans="3:29" x14ac:dyDescent="0.2"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</row>
    <row r="244" spans="3:29" x14ac:dyDescent="0.2"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</row>
    <row r="245" spans="3:29" x14ac:dyDescent="0.2"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</row>
    <row r="246" spans="3:29" x14ac:dyDescent="0.2"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</row>
    <row r="247" spans="3:29" x14ac:dyDescent="0.2"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</row>
    <row r="248" spans="3:29" x14ac:dyDescent="0.2"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</row>
  </sheetData>
  <mergeCells count="3">
    <mergeCell ref="A1:Q1"/>
    <mergeCell ref="A2:Q2"/>
    <mergeCell ref="A3:Q3"/>
  </mergeCells>
  <dataValidations count="1">
    <dataValidation type="list" allowBlank="1" showInputMessage="1" showErrorMessage="1" sqref="O9 C9 K9 E9 I9 M9 G9">
      <formula1>$AC$1:$AC$4</formula1>
    </dataValidation>
  </dataValidation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4"/>
  <sheetViews>
    <sheetView zoomScale="80" zoomScaleNormal="80" workbookViewId="0">
      <pane xSplit="2" ySplit="7" topLeftCell="C8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RowHeight="12.75" x14ac:dyDescent="0.2"/>
  <cols>
    <col min="1" max="1" width="15.5703125" style="3" customWidth="1"/>
    <col min="2" max="2" width="36" style="3" bestFit="1" customWidth="1"/>
    <col min="3" max="3" width="17.7109375" style="3" customWidth="1"/>
    <col min="4" max="4" width="1.5703125" style="3" customWidth="1"/>
    <col min="5" max="5" width="17.7109375" style="3" customWidth="1"/>
    <col min="6" max="6" width="1.5703125" style="3" customWidth="1"/>
    <col min="7" max="7" width="17.7109375" style="3" customWidth="1"/>
    <col min="8" max="8" width="1.5703125" style="3" customWidth="1"/>
    <col min="9" max="9" width="17.7109375" style="3" customWidth="1"/>
    <col min="10" max="10" width="1.5703125" style="3" customWidth="1"/>
    <col min="11" max="11" width="17.7109375" style="3" customWidth="1"/>
    <col min="12" max="12" width="1.5703125" style="3" customWidth="1"/>
    <col min="13" max="13" width="17.7109375" style="3" customWidth="1"/>
    <col min="14" max="14" width="1.5703125" style="3" customWidth="1"/>
    <col min="15" max="15" width="17.7109375" style="3" customWidth="1"/>
    <col min="16" max="16" width="1.5703125" style="3" customWidth="1"/>
    <col min="17" max="17" width="17.7109375" style="3" customWidth="1"/>
    <col min="18" max="18" width="9.140625" style="3"/>
    <col min="19" max="19" width="17.7109375" style="3" customWidth="1"/>
    <col min="20" max="20" width="1.5703125" style="3" customWidth="1"/>
    <col min="21" max="21" width="17.7109375" style="3" customWidth="1"/>
    <col min="22" max="22" width="1.5703125" style="3" customWidth="1"/>
    <col min="23" max="23" width="17.7109375" style="3" customWidth="1"/>
    <col min="24" max="24" width="1.5703125" style="3" customWidth="1"/>
    <col min="25" max="25" width="17.7109375" style="3" customWidth="1"/>
    <col min="26" max="26" width="1.5703125" style="3" customWidth="1"/>
    <col min="27" max="27" width="17.7109375" style="3" customWidth="1"/>
    <col min="28" max="28" width="1.5703125" style="3" customWidth="1"/>
    <col min="29" max="29" width="17.7109375" style="3" customWidth="1"/>
    <col min="30" max="16384" width="9.140625" style="3"/>
  </cols>
  <sheetData>
    <row r="1" spans="1:29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AC1" s="142" t="s">
        <v>128</v>
      </c>
    </row>
    <row r="2" spans="1:29" x14ac:dyDescent="0.2">
      <c r="A2" s="143" t="s">
        <v>271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AC2" s="144" t="s">
        <v>130</v>
      </c>
    </row>
    <row r="3" spans="1:29" x14ac:dyDescent="0.2">
      <c r="A3" s="97" t="str">
        <f>'KU_Summary - Cost - P1 (REG)'!A3:N3</f>
        <v>DECEMBER 2017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AC3" s="144" t="s">
        <v>131</v>
      </c>
    </row>
    <row r="4" spans="1:29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79"/>
      <c r="P4" s="4"/>
      <c r="Q4" s="4"/>
      <c r="R4" s="4"/>
      <c r="S4" s="79"/>
      <c r="T4" s="4"/>
      <c r="U4" s="79"/>
      <c r="V4" s="4"/>
      <c r="W4" s="79"/>
      <c r="X4" s="4"/>
      <c r="Y4" s="79"/>
      <c r="Z4" s="4"/>
      <c r="AA4" s="79"/>
      <c r="AB4" s="4"/>
      <c r="AC4" s="145" t="s">
        <v>132</v>
      </c>
    </row>
    <row r="5" spans="1:29" x14ac:dyDescent="0.2">
      <c r="A5" s="4"/>
      <c r="B5" s="4"/>
      <c r="C5" s="79">
        <v>42917</v>
      </c>
      <c r="D5" s="4"/>
      <c r="E5" s="79"/>
      <c r="F5" s="4"/>
      <c r="G5" s="79"/>
      <c r="H5" s="4"/>
      <c r="I5" s="79"/>
      <c r="J5" s="4"/>
      <c r="K5" s="4"/>
      <c r="L5" s="4"/>
      <c r="M5" s="4"/>
      <c r="N5" s="4"/>
      <c r="O5" s="79"/>
      <c r="P5" s="4"/>
      <c r="Q5" s="4"/>
      <c r="R5" s="4"/>
      <c r="S5" s="79"/>
      <c r="T5" s="4"/>
      <c r="U5" s="79"/>
      <c r="V5" s="4"/>
      <c r="W5" s="79"/>
      <c r="X5" s="4"/>
      <c r="Y5" s="79"/>
      <c r="Z5" s="4"/>
      <c r="AA5" s="79"/>
      <c r="AB5" s="4"/>
      <c r="AC5" s="79"/>
    </row>
    <row r="6" spans="1:29" x14ac:dyDescent="0.2">
      <c r="A6" s="6"/>
      <c r="B6" s="5"/>
      <c r="C6" s="25" t="s">
        <v>3</v>
      </c>
      <c r="D6" s="7"/>
      <c r="E6" s="25" t="s">
        <v>3</v>
      </c>
      <c r="F6" s="7"/>
      <c r="G6" s="25" t="s">
        <v>3</v>
      </c>
      <c r="H6" s="7"/>
      <c r="I6" s="25" t="s">
        <v>3</v>
      </c>
      <c r="J6" s="7"/>
      <c r="K6" s="25" t="s">
        <v>3</v>
      </c>
      <c r="L6" s="7"/>
      <c r="M6" s="25" t="s">
        <v>3</v>
      </c>
      <c r="N6" s="7"/>
      <c r="O6" s="25" t="s">
        <v>3</v>
      </c>
      <c r="P6" s="7"/>
      <c r="Q6" s="25" t="s">
        <v>4</v>
      </c>
      <c r="R6" s="4"/>
      <c r="S6" s="25" t="s">
        <v>142</v>
      </c>
      <c r="T6" s="7"/>
      <c r="U6" s="25" t="s">
        <v>142</v>
      </c>
      <c r="V6" s="7"/>
      <c r="W6" s="25" t="s">
        <v>142</v>
      </c>
      <c r="X6" s="7"/>
      <c r="Y6" s="25" t="s">
        <v>142</v>
      </c>
      <c r="Z6" s="7"/>
      <c r="AA6" s="25" t="s">
        <v>143</v>
      </c>
      <c r="AB6" s="7"/>
      <c r="AC6" s="25"/>
    </row>
    <row r="7" spans="1:29" x14ac:dyDescent="0.2">
      <c r="A7" s="8"/>
      <c r="C7" s="10" t="s">
        <v>8</v>
      </c>
      <c r="D7" s="9"/>
      <c r="E7" s="10" t="s">
        <v>8</v>
      </c>
      <c r="F7" s="9"/>
      <c r="G7" s="10" t="s">
        <v>8</v>
      </c>
      <c r="H7" s="9"/>
      <c r="I7" s="10" t="s">
        <v>8</v>
      </c>
      <c r="J7" s="9"/>
      <c r="K7" s="10" t="s">
        <v>8</v>
      </c>
      <c r="L7" s="9"/>
      <c r="M7" s="10" t="s">
        <v>8</v>
      </c>
      <c r="N7" s="9"/>
      <c r="O7" s="10" t="s">
        <v>8</v>
      </c>
      <c r="P7" s="9"/>
      <c r="Q7" s="10" t="s">
        <v>5</v>
      </c>
      <c r="R7" s="4"/>
      <c r="S7" s="10" t="s">
        <v>6</v>
      </c>
      <c r="T7" s="9"/>
      <c r="U7" s="10" t="s">
        <v>8</v>
      </c>
      <c r="V7" s="9"/>
      <c r="W7" s="10" t="s">
        <v>144</v>
      </c>
      <c r="X7" s="9"/>
      <c r="Y7" s="10" t="s">
        <v>132</v>
      </c>
      <c r="Z7" s="9"/>
      <c r="AA7" s="10" t="s">
        <v>142</v>
      </c>
      <c r="AB7" s="9"/>
      <c r="AC7" s="10" t="s">
        <v>102</v>
      </c>
    </row>
    <row r="8" spans="1:29" x14ac:dyDescent="0.2">
      <c r="A8" s="8"/>
      <c r="C8" s="11"/>
      <c r="D8" s="9"/>
      <c r="E8" s="11"/>
      <c r="F8" s="9"/>
      <c r="G8" s="11"/>
      <c r="H8" s="9"/>
      <c r="I8" s="11"/>
      <c r="J8" s="9"/>
      <c r="K8" s="11"/>
      <c r="L8" s="9"/>
      <c r="M8" s="11"/>
      <c r="N8" s="9"/>
      <c r="O8" s="11"/>
      <c r="P8" s="9"/>
      <c r="Q8" s="11"/>
      <c r="R8" s="4"/>
      <c r="S8" s="11"/>
      <c r="T8" s="9"/>
      <c r="U8" s="11"/>
      <c r="V8" s="9"/>
      <c r="W8" s="11"/>
      <c r="X8" s="9"/>
      <c r="Y8" s="11"/>
      <c r="Z8" s="9"/>
      <c r="AA8" s="11"/>
      <c r="AB8" s="9"/>
      <c r="AC8" s="11"/>
    </row>
    <row r="9" spans="1:29" x14ac:dyDescent="0.2">
      <c r="A9" s="71" t="s">
        <v>145</v>
      </c>
      <c r="C9" s="9" t="s">
        <v>131</v>
      </c>
      <c r="D9" s="11"/>
      <c r="E9" s="9"/>
      <c r="F9" s="11"/>
      <c r="G9" s="9"/>
      <c r="H9" s="11"/>
      <c r="I9" s="9"/>
      <c r="J9" s="11"/>
      <c r="K9" s="9"/>
      <c r="L9" s="11"/>
      <c r="M9" s="9"/>
      <c r="N9" s="11"/>
      <c r="O9" s="9"/>
      <c r="P9" s="11"/>
      <c r="Q9" s="9"/>
      <c r="R9" s="11"/>
      <c r="S9" s="9"/>
      <c r="T9" s="11"/>
      <c r="U9" s="9"/>
      <c r="V9" s="11"/>
      <c r="W9" s="9"/>
      <c r="X9" s="11"/>
      <c r="Y9" s="9"/>
      <c r="Z9" s="11"/>
      <c r="AA9" s="9"/>
      <c r="AB9" s="11"/>
      <c r="AC9" s="9"/>
    </row>
    <row r="10" spans="1:29" x14ac:dyDescent="0.2">
      <c r="A10" s="8"/>
    </row>
    <row r="11" spans="1:29" x14ac:dyDescent="0.2">
      <c r="A11" s="8">
        <v>101</v>
      </c>
      <c r="B11" s="12" t="s">
        <v>10</v>
      </c>
    </row>
    <row r="12" spans="1:29" x14ac:dyDescent="0.2">
      <c r="A12" s="8"/>
      <c r="B12" s="12"/>
    </row>
    <row r="13" spans="1:29" x14ac:dyDescent="0.2">
      <c r="A13" s="71" t="s">
        <v>11</v>
      </c>
      <c r="B13" s="12"/>
    </row>
    <row r="14" spans="1:29" x14ac:dyDescent="0.2">
      <c r="A14" s="71"/>
      <c r="B14" s="12" t="s">
        <v>12</v>
      </c>
    </row>
    <row r="15" spans="1:29" x14ac:dyDescent="0.2">
      <c r="A15" s="71"/>
      <c r="B15" s="3" t="s">
        <v>146</v>
      </c>
      <c r="C15" s="14">
        <v>0</v>
      </c>
      <c r="E15" s="14">
        <v>0</v>
      </c>
      <c r="G15" s="14">
        <v>0</v>
      </c>
      <c r="I15" s="14">
        <v>0</v>
      </c>
      <c r="K15" s="14">
        <v>0</v>
      </c>
      <c r="M15" s="14">
        <v>0</v>
      </c>
      <c r="O15" s="14">
        <v>0</v>
      </c>
      <c r="Q15" s="14">
        <f t="shared" ref="Q15:Q30" si="0">SUM(C15:P15)</f>
        <v>0</v>
      </c>
      <c r="S15" s="14">
        <f t="shared" ref="S15:S30" si="1">SUMIF($C$9:$P$9,"=Addition",$C15:$P15)</f>
        <v>0</v>
      </c>
      <c r="U15" s="14">
        <f t="shared" ref="U15:U30" si="2">SUMIF($C$9:$P$9,"=Adjustment",$C15:$P15)</f>
        <v>0</v>
      </c>
      <c r="W15" s="14">
        <f t="shared" ref="W15:W30" si="3">SUMIF($C$9:$P$9,"=Transfer",$C15:$P15)</f>
        <v>0</v>
      </c>
      <c r="Y15" s="14">
        <f t="shared" ref="Y15:Y30" si="4">SUMIF($C$9:$P$9,"=Addition",$C15:$P15)</f>
        <v>0</v>
      </c>
      <c r="AA15" s="14">
        <f t="shared" ref="AA15:AA30" si="5">SUM(S15:Y15)</f>
        <v>0</v>
      </c>
      <c r="AC15" s="14">
        <f>+Q15-AA15</f>
        <v>0</v>
      </c>
    </row>
    <row r="16" spans="1:29" x14ac:dyDescent="0.2">
      <c r="A16" s="71"/>
      <c r="B16" s="3" t="s">
        <v>147</v>
      </c>
      <c r="C16" s="14">
        <v>0</v>
      </c>
      <c r="E16" s="14">
        <v>0</v>
      </c>
      <c r="G16" s="14">
        <v>0</v>
      </c>
      <c r="I16" s="14">
        <v>0</v>
      </c>
      <c r="K16" s="14">
        <v>0</v>
      </c>
      <c r="M16" s="14">
        <v>0</v>
      </c>
      <c r="O16" s="14">
        <v>0</v>
      </c>
      <c r="Q16" s="14">
        <f t="shared" si="0"/>
        <v>0</v>
      </c>
      <c r="S16" s="14">
        <f t="shared" si="1"/>
        <v>0</v>
      </c>
      <c r="U16" s="14">
        <f t="shared" si="2"/>
        <v>0</v>
      </c>
      <c r="W16" s="14">
        <f t="shared" si="3"/>
        <v>0</v>
      </c>
      <c r="Y16" s="14">
        <f t="shared" si="4"/>
        <v>0</v>
      </c>
      <c r="AA16" s="14">
        <f t="shared" si="5"/>
        <v>0</v>
      </c>
      <c r="AC16" s="14">
        <f t="shared" ref="AC16:AC30" si="6">+Q16-AA16</f>
        <v>0</v>
      </c>
    </row>
    <row r="17" spans="1:29" x14ac:dyDescent="0.2">
      <c r="A17" s="71"/>
      <c r="B17" s="3" t="s">
        <v>148</v>
      </c>
      <c r="C17" s="14">
        <v>0</v>
      </c>
      <c r="E17" s="14">
        <v>0</v>
      </c>
      <c r="G17" s="14">
        <v>0</v>
      </c>
      <c r="I17" s="14">
        <v>0</v>
      </c>
      <c r="K17" s="14">
        <v>0</v>
      </c>
      <c r="M17" s="14">
        <v>0</v>
      </c>
      <c r="O17" s="14">
        <v>0</v>
      </c>
      <c r="Q17" s="14">
        <f t="shared" si="0"/>
        <v>0</v>
      </c>
      <c r="S17" s="14">
        <f t="shared" si="1"/>
        <v>0</v>
      </c>
      <c r="U17" s="14">
        <f t="shared" si="2"/>
        <v>0</v>
      </c>
      <c r="W17" s="14">
        <f t="shared" si="3"/>
        <v>0</v>
      </c>
      <c r="Y17" s="14">
        <f t="shared" si="4"/>
        <v>0</v>
      </c>
      <c r="AA17" s="14">
        <f t="shared" si="5"/>
        <v>0</v>
      </c>
      <c r="AC17" s="14">
        <f t="shared" si="6"/>
        <v>0</v>
      </c>
    </row>
    <row r="18" spans="1:29" x14ac:dyDescent="0.2">
      <c r="A18" s="71"/>
      <c r="B18" s="3" t="s">
        <v>149</v>
      </c>
      <c r="C18" s="14">
        <v>0</v>
      </c>
      <c r="E18" s="14">
        <v>0</v>
      </c>
      <c r="G18" s="14">
        <v>0</v>
      </c>
      <c r="I18" s="14">
        <v>0</v>
      </c>
      <c r="K18" s="14">
        <v>0</v>
      </c>
      <c r="M18" s="14">
        <v>0</v>
      </c>
      <c r="O18" s="14">
        <v>0</v>
      </c>
      <c r="Q18" s="14">
        <f t="shared" si="0"/>
        <v>0</v>
      </c>
      <c r="S18" s="14">
        <f t="shared" si="1"/>
        <v>0</v>
      </c>
      <c r="U18" s="14">
        <f t="shared" si="2"/>
        <v>0</v>
      </c>
      <c r="W18" s="14">
        <f t="shared" si="3"/>
        <v>0</v>
      </c>
      <c r="Y18" s="14">
        <f t="shared" si="4"/>
        <v>0</v>
      </c>
      <c r="AA18" s="14">
        <f t="shared" si="5"/>
        <v>0</v>
      </c>
      <c r="AC18" s="14">
        <f t="shared" si="6"/>
        <v>0</v>
      </c>
    </row>
    <row r="19" spans="1:29" x14ac:dyDescent="0.2">
      <c r="A19" s="71"/>
      <c r="B19" s="3" t="s">
        <v>150</v>
      </c>
      <c r="C19" s="14">
        <v>0</v>
      </c>
      <c r="E19" s="14">
        <v>0</v>
      </c>
      <c r="G19" s="14">
        <v>0</v>
      </c>
      <c r="I19" s="14">
        <v>0</v>
      </c>
      <c r="K19" s="14">
        <v>0</v>
      </c>
      <c r="M19" s="14">
        <v>0</v>
      </c>
      <c r="O19" s="14">
        <v>0</v>
      </c>
      <c r="Q19" s="14">
        <f t="shared" si="0"/>
        <v>0</v>
      </c>
      <c r="S19" s="14">
        <f t="shared" si="1"/>
        <v>0</v>
      </c>
      <c r="U19" s="14">
        <f t="shared" si="2"/>
        <v>0</v>
      </c>
      <c r="W19" s="14">
        <f t="shared" si="3"/>
        <v>0</v>
      </c>
      <c r="Y19" s="14">
        <f t="shared" si="4"/>
        <v>0</v>
      </c>
      <c r="AA19" s="14">
        <f t="shared" si="5"/>
        <v>0</v>
      </c>
      <c r="AC19" s="14">
        <f t="shared" si="6"/>
        <v>0</v>
      </c>
    </row>
    <row r="20" spans="1:29" x14ac:dyDescent="0.2">
      <c r="A20" s="71"/>
      <c r="B20" s="3" t="s">
        <v>151</v>
      </c>
      <c r="C20" s="14">
        <v>0</v>
      </c>
      <c r="E20" s="14">
        <v>0</v>
      </c>
      <c r="G20" s="14">
        <v>0</v>
      </c>
      <c r="I20" s="14">
        <v>0</v>
      </c>
      <c r="K20" s="14">
        <v>0</v>
      </c>
      <c r="M20" s="14">
        <v>0</v>
      </c>
      <c r="O20" s="14">
        <v>0</v>
      </c>
      <c r="Q20" s="14">
        <f t="shared" si="0"/>
        <v>0</v>
      </c>
      <c r="S20" s="14">
        <f t="shared" si="1"/>
        <v>0</v>
      </c>
      <c r="U20" s="14">
        <f t="shared" si="2"/>
        <v>0</v>
      </c>
      <c r="W20" s="14">
        <f t="shared" si="3"/>
        <v>0</v>
      </c>
      <c r="Y20" s="14">
        <f t="shared" si="4"/>
        <v>0</v>
      </c>
      <c r="AA20" s="14">
        <f t="shared" si="5"/>
        <v>0</v>
      </c>
      <c r="AC20" s="14">
        <f t="shared" si="6"/>
        <v>0</v>
      </c>
    </row>
    <row r="21" spans="1:29" x14ac:dyDescent="0.2">
      <c r="A21" s="71"/>
      <c r="B21" s="3" t="s">
        <v>152</v>
      </c>
      <c r="C21" s="14">
        <v>0</v>
      </c>
      <c r="E21" s="14">
        <v>0</v>
      </c>
      <c r="G21" s="14">
        <v>0</v>
      </c>
      <c r="I21" s="14">
        <v>0</v>
      </c>
      <c r="K21" s="14">
        <v>0</v>
      </c>
      <c r="M21" s="14">
        <v>0</v>
      </c>
      <c r="O21" s="14">
        <v>0</v>
      </c>
      <c r="Q21" s="14">
        <f t="shared" si="0"/>
        <v>0</v>
      </c>
      <c r="S21" s="14">
        <f t="shared" si="1"/>
        <v>0</v>
      </c>
      <c r="U21" s="14">
        <f t="shared" si="2"/>
        <v>0</v>
      </c>
      <c r="W21" s="14">
        <f t="shared" si="3"/>
        <v>0</v>
      </c>
      <c r="Y21" s="14">
        <f t="shared" si="4"/>
        <v>0</v>
      </c>
      <c r="AA21" s="14">
        <f t="shared" si="5"/>
        <v>0</v>
      </c>
      <c r="AC21" s="14">
        <f t="shared" si="6"/>
        <v>0</v>
      </c>
    </row>
    <row r="22" spans="1:29" x14ac:dyDescent="0.2">
      <c r="A22" s="71"/>
      <c r="B22" s="3" t="s">
        <v>153</v>
      </c>
      <c r="C22" s="14">
        <v>0</v>
      </c>
      <c r="E22" s="14">
        <v>0</v>
      </c>
      <c r="G22" s="14">
        <v>0</v>
      </c>
      <c r="I22" s="14">
        <v>0</v>
      </c>
      <c r="K22" s="14">
        <v>0</v>
      </c>
      <c r="M22" s="14">
        <v>0</v>
      </c>
      <c r="O22" s="14">
        <v>0</v>
      </c>
      <c r="Q22" s="14">
        <f t="shared" si="0"/>
        <v>0</v>
      </c>
      <c r="S22" s="14">
        <f t="shared" si="1"/>
        <v>0</v>
      </c>
      <c r="U22" s="14">
        <f t="shared" si="2"/>
        <v>0</v>
      </c>
      <c r="W22" s="14">
        <f t="shared" si="3"/>
        <v>0</v>
      </c>
      <c r="Y22" s="14">
        <f t="shared" si="4"/>
        <v>0</v>
      </c>
      <c r="AA22" s="14">
        <f t="shared" si="5"/>
        <v>0</v>
      </c>
      <c r="AC22" s="14">
        <f t="shared" si="6"/>
        <v>0</v>
      </c>
    </row>
    <row r="23" spans="1:29" x14ac:dyDescent="0.2">
      <c r="A23" s="71"/>
      <c r="B23" s="3" t="s">
        <v>154</v>
      </c>
      <c r="C23" s="14">
        <v>0</v>
      </c>
      <c r="E23" s="14">
        <v>0</v>
      </c>
      <c r="G23" s="14">
        <v>0</v>
      </c>
      <c r="I23" s="14">
        <v>0</v>
      </c>
      <c r="K23" s="14">
        <v>0</v>
      </c>
      <c r="M23" s="14">
        <v>0</v>
      </c>
      <c r="O23" s="14">
        <v>0</v>
      </c>
      <c r="Q23" s="14">
        <f t="shared" si="0"/>
        <v>0</v>
      </c>
      <c r="S23" s="14">
        <f t="shared" si="1"/>
        <v>0</v>
      </c>
      <c r="U23" s="14">
        <f t="shared" si="2"/>
        <v>0</v>
      </c>
      <c r="W23" s="14">
        <f t="shared" si="3"/>
        <v>0</v>
      </c>
      <c r="Y23" s="14">
        <f t="shared" si="4"/>
        <v>0</v>
      </c>
      <c r="AA23" s="14">
        <f t="shared" si="5"/>
        <v>0</v>
      </c>
      <c r="AC23" s="14">
        <f t="shared" si="6"/>
        <v>0</v>
      </c>
    </row>
    <row r="24" spans="1:29" x14ac:dyDescent="0.2">
      <c r="A24" s="71"/>
      <c r="B24" s="3" t="s">
        <v>155</v>
      </c>
      <c r="C24" s="14">
        <v>0</v>
      </c>
      <c r="E24" s="14">
        <v>0</v>
      </c>
      <c r="G24" s="14">
        <v>0</v>
      </c>
      <c r="I24" s="14">
        <v>0</v>
      </c>
      <c r="K24" s="14">
        <v>0</v>
      </c>
      <c r="M24" s="14">
        <v>0</v>
      </c>
      <c r="O24" s="14">
        <v>0</v>
      </c>
      <c r="Q24" s="14">
        <f t="shared" si="0"/>
        <v>0</v>
      </c>
      <c r="S24" s="14">
        <f t="shared" si="1"/>
        <v>0</v>
      </c>
      <c r="U24" s="14">
        <f t="shared" si="2"/>
        <v>0</v>
      </c>
      <c r="W24" s="14">
        <f t="shared" si="3"/>
        <v>0</v>
      </c>
      <c r="Y24" s="14">
        <f t="shared" si="4"/>
        <v>0</v>
      </c>
      <c r="AA24" s="14">
        <f t="shared" si="5"/>
        <v>0</v>
      </c>
      <c r="AC24" s="14">
        <f t="shared" si="6"/>
        <v>0</v>
      </c>
    </row>
    <row r="25" spans="1:29" x14ac:dyDescent="0.2">
      <c r="A25" s="71"/>
      <c r="B25" s="3" t="s">
        <v>156</v>
      </c>
      <c r="C25" s="14">
        <v>-3898.61</v>
      </c>
      <c r="E25" s="14">
        <v>0</v>
      </c>
      <c r="G25" s="14">
        <v>0</v>
      </c>
      <c r="I25" s="14">
        <v>0</v>
      </c>
      <c r="K25" s="14">
        <v>0</v>
      </c>
      <c r="M25" s="14">
        <v>0</v>
      </c>
      <c r="O25" s="14">
        <v>0</v>
      </c>
      <c r="Q25" s="14">
        <f t="shared" si="0"/>
        <v>-3898.61</v>
      </c>
      <c r="S25" s="14">
        <f t="shared" si="1"/>
        <v>0</v>
      </c>
      <c r="U25" s="14">
        <f t="shared" si="2"/>
        <v>0</v>
      </c>
      <c r="W25" s="14">
        <f t="shared" si="3"/>
        <v>-3898.61</v>
      </c>
      <c r="Y25" s="14">
        <f t="shared" si="4"/>
        <v>0</v>
      </c>
      <c r="AA25" s="14">
        <f t="shared" si="5"/>
        <v>-3898.61</v>
      </c>
      <c r="AC25" s="14">
        <f>+Q25-AA25</f>
        <v>0</v>
      </c>
    </row>
    <row r="26" spans="1:29" x14ac:dyDescent="0.2">
      <c r="A26" s="71"/>
      <c r="B26" s="3" t="s">
        <v>158</v>
      </c>
      <c r="C26" s="14">
        <v>3898.61</v>
      </c>
      <c r="E26" s="14"/>
      <c r="G26" s="14"/>
      <c r="I26" s="14"/>
      <c r="K26" s="14"/>
      <c r="M26" s="14"/>
      <c r="O26" s="14"/>
      <c r="Q26" s="14">
        <f t="shared" si="0"/>
        <v>3898.61</v>
      </c>
      <c r="S26" s="14">
        <f t="shared" si="1"/>
        <v>0</v>
      </c>
      <c r="U26" s="14">
        <f t="shared" si="2"/>
        <v>0</v>
      </c>
      <c r="W26" s="14">
        <f t="shared" si="3"/>
        <v>3898.61</v>
      </c>
      <c r="Y26" s="14">
        <f t="shared" si="4"/>
        <v>0</v>
      </c>
      <c r="AA26" s="14">
        <f t="shared" si="5"/>
        <v>3898.61</v>
      </c>
      <c r="AC26" s="14">
        <f t="shared" si="6"/>
        <v>0</v>
      </c>
    </row>
    <row r="27" spans="1:29" x14ac:dyDescent="0.2">
      <c r="A27" s="71"/>
      <c r="B27" s="3" t="s">
        <v>159</v>
      </c>
      <c r="C27" s="14">
        <v>0</v>
      </c>
      <c r="E27" s="14">
        <v>0</v>
      </c>
      <c r="G27" s="14">
        <v>0</v>
      </c>
      <c r="I27" s="14">
        <v>0</v>
      </c>
      <c r="K27" s="14">
        <v>0</v>
      </c>
      <c r="M27" s="14">
        <v>0</v>
      </c>
      <c r="O27" s="14">
        <v>0</v>
      </c>
      <c r="Q27" s="14">
        <f t="shared" si="0"/>
        <v>0</v>
      </c>
      <c r="S27" s="14">
        <f t="shared" si="1"/>
        <v>0</v>
      </c>
      <c r="U27" s="14">
        <f t="shared" si="2"/>
        <v>0</v>
      </c>
      <c r="W27" s="14">
        <f t="shared" si="3"/>
        <v>0</v>
      </c>
      <c r="Y27" s="14">
        <f t="shared" si="4"/>
        <v>0</v>
      </c>
      <c r="AA27" s="14">
        <f t="shared" si="5"/>
        <v>0</v>
      </c>
      <c r="AC27" s="14">
        <f t="shared" si="6"/>
        <v>0</v>
      </c>
    </row>
    <row r="28" spans="1:29" x14ac:dyDescent="0.2">
      <c r="A28" s="71"/>
      <c r="B28" s="3" t="s">
        <v>160</v>
      </c>
      <c r="C28" s="14">
        <v>0</v>
      </c>
      <c r="E28" s="14">
        <v>0</v>
      </c>
      <c r="G28" s="14">
        <v>0</v>
      </c>
      <c r="I28" s="14">
        <v>0</v>
      </c>
      <c r="K28" s="14">
        <v>0</v>
      </c>
      <c r="M28" s="14">
        <v>0</v>
      </c>
      <c r="O28" s="14">
        <v>0</v>
      </c>
      <c r="Q28" s="14">
        <f t="shared" si="0"/>
        <v>0</v>
      </c>
      <c r="S28" s="14">
        <f t="shared" si="1"/>
        <v>0</v>
      </c>
      <c r="U28" s="14">
        <f t="shared" si="2"/>
        <v>0</v>
      </c>
      <c r="W28" s="14">
        <f t="shared" si="3"/>
        <v>0</v>
      </c>
      <c r="Y28" s="14">
        <f t="shared" si="4"/>
        <v>0</v>
      </c>
      <c r="AA28" s="14">
        <f t="shared" si="5"/>
        <v>0</v>
      </c>
      <c r="AC28" s="14">
        <f t="shared" si="6"/>
        <v>0</v>
      </c>
    </row>
    <row r="29" spans="1:29" x14ac:dyDescent="0.2">
      <c r="A29" s="71"/>
      <c r="B29" s="3" t="s">
        <v>161</v>
      </c>
      <c r="C29" s="14">
        <v>0</v>
      </c>
      <c r="E29" s="14">
        <v>0</v>
      </c>
      <c r="G29" s="14">
        <v>0</v>
      </c>
      <c r="I29" s="14">
        <v>0</v>
      </c>
      <c r="K29" s="14">
        <v>0</v>
      </c>
      <c r="M29" s="14">
        <v>0</v>
      </c>
      <c r="O29" s="14">
        <v>0</v>
      </c>
      <c r="Q29" s="14">
        <f t="shared" si="0"/>
        <v>0</v>
      </c>
      <c r="S29" s="14">
        <f t="shared" si="1"/>
        <v>0</v>
      </c>
      <c r="U29" s="14">
        <f t="shared" si="2"/>
        <v>0</v>
      </c>
      <c r="W29" s="14">
        <f t="shared" si="3"/>
        <v>0</v>
      </c>
      <c r="Y29" s="14">
        <f t="shared" si="4"/>
        <v>0</v>
      </c>
      <c r="AA29" s="14">
        <f t="shared" si="5"/>
        <v>0</v>
      </c>
      <c r="AC29" s="14">
        <f t="shared" si="6"/>
        <v>0</v>
      </c>
    </row>
    <row r="30" spans="1:29" x14ac:dyDescent="0.2">
      <c r="A30" s="71"/>
      <c r="B30" s="73" t="s">
        <v>162</v>
      </c>
      <c r="C30" s="14">
        <v>0</v>
      </c>
      <c r="E30" s="14">
        <v>0</v>
      </c>
      <c r="G30" s="14">
        <v>0</v>
      </c>
      <c r="I30" s="14">
        <v>0</v>
      </c>
      <c r="K30" s="14">
        <v>0</v>
      </c>
      <c r="M30" s="14">
        <v>0</v>
      </c>
      <c r="O30" s="14">
        <v>0</v>
      </c>
      <c r="Q30" s="14">
        <f t="shared" si="0"/>
        <v>0</v>
      </c>
      <c r="S30" s="14">
        <f t="shared" si="1"/>
        <v>0</v>
      </c>
      <c r="U30" s="14">
        <f t="shared" si="2"/>
        <v>0</v>
      </c>
      <c r="W30" s="14">
        <f t="shared" si="3"/>
        <v>0</v>
      </c>
      <c r="Y30" s="14">
        <f t="shared" si="4"/>
        <v>0</v>
      </c>
      <c r="AA30" s="14">
        <f t="shared" si="5"/>
        <v>0</v>
      </c>
      <c r="AC30" s="14">
        <f t="shared" si="6"/>
        <v>0</v>
      </c>
    </row>
    <row r="31" spans="1:29" x14ac:dyDescent="0.2">
      <c r="A31" s="71"/>
      <c r="B31" s="12" t="s">
        <v>163</v>
      </c>
      <c r="C31" s="18">
        <f>SUM(C15:C30)</f>
        <v>0</v>
      </c>
      <c r="E31" s="18">
        <f>SUM(E15:E30)</f>
        <v>0</v>
      </c>
      <c r="G31" s="18">
        <f>SUM(G15:G30)</f>
        <v>0</v>
      </c>
      <c r="I31" s="18">
        <f>SUM(I15:I30)</f>
        <v>0</v>
      </c>
      <c r="K31" s="18">
        <f>SUM(K15:K30)</f>
        <v>0</v>
      </c>
      <c r="M31" s="18">
        <f>SUM(M15:M30)</f>
        <v>0</v>
      </c>
      <c r="O31" s="18">
        <f>SUM(O15:O30)</f>
        <v>0</v>
      </c>
      <c r="Q31" s="18">
        <f>SUM(Q15:Q30)</f>
        <v>0</v>
      </c>
      <c r="S31" s="18">
        <f>SUM(S15:S30)</f>
        <v>0</v>
      </c>
      <c r="U31" s="18">
        <f>SUM(U15:U30)</f>
        <v>0</v>
      </c>
      <c r="W31" s="18">
        <f>SUM(W15:W30)</f>
        <v>0</v>
      </c>
      <c r="Y31" s="18">
        <f>SUM(Y15:Y30)</f>
        <v>0</v>
      </c>
      <c r="AA31" s="18">
        <f>SUM(AA15:AA30)</f>
        <v>0</v>
      </c>
      <c r="AC31" s="18">
        <f>+Q31-AA31</f>
        <v>0</v>
      </c>
    </row>
    <row r="32" spans="1:29" x14ac:dyDescent="0.2">
      <c r="A32" s="71"/>
      <c r="C32" s="14"/>
      <c r="E32" s="14"/>
      <c r="G32" s="14"/>
      <c r="I32" s="14"/>
      <c r="K32" s="14"/>
      <c r="M32" s="14"/>
      <c r="O32" s="14"/>
      <c r="Q32" s="14"/>
      <c r="S32" s="14"/>
      <c r="U32" s="14"/>
      <c r="W32" s="14"/>
      <c r="Y32" s="14"/>
      <c r="AA32" s="14"/>
      <c r="AC32" s="14"/>
    </row>
    <row r="33" spans="1:29" x14ac:dyDescent="0.2">
      <c r="A33" s="71"/>
      <c r="B33" s="12" t="s">
        <v>13</v>
      </c>
      <c r="C33" s="14"/>
      <c r="E33" s="14"/>
      <c r="G33" s="14"/>
      <c r="I33" s="14"/>
      <c r="K33" s="14"/>
      <c r="M33" s="14"/>
      <c r="O33" s="14"/>
      <c r="Q33" s="14"/>
      <c r="S33" s="14"/>
      <c r="U33" s="14"/>
      <c r="W33" s="14"/>
      <c r="Y33" s="14"/>
      <c r="AA33" s="14"/>
      <c r="AC33" s="14"/>
    </row>
    <row r="34" spans="1:29" x14ac:dyDescent="0.2">
      <c r="A34" s="71"/>
      <c r="B34" s="43" t="s">
        <v>164</v>
      </c>
      <c r="C34" s="14">
        <v>0</v>
      </c>
      <c r="E34" s="14">
        <v>0</v>
      </c>
      <c r="G34" s="14">
        <v>0</v>
      </c>
      <c r="I34" s="14">
        <v>0</v>
      </c>
      <c r="K34" s="14">
        <v>0</v>
      </c>
      <c r="M34" s="14">
        <v>0</v>
      </c>
      <c r="O34" s="14">
        <v>0</v>
      </c>
      <c r="Q34" s="14">
        <f t="shared" ref="Q34:Q49" si="7">SUM(C34:P34)</f>
        <v>0</v>
      </c>
      <c r="S34" s="14">
        <f t="shared" ref="S34:S49" si="8">SUMIF($C$9:$P$9,"=Addition",$C34:$P34)</f>
        <v>0</v>
      </c>
      <c r="U34" s="14">
        <f t="shared" ref="U34:U49" si="9">SUMIF($C$9:$P$9,"=Adjustment",$C34:$P34)</f>
        <v>0</v>
      </c>
      <c r="W34" s="14">
        <f t="shared" ref="W34:W49" si="10">SUMIF($C$9:$P$9,"=Transfer",$C34:$P34)</f>
        <v>0</v>
      </c>
      <c r="Y34" s="14">
        <f t="shared" ref="Y34:Y49" si="11">SUMIF($C$9:$P$9,"=Addition",$C34:$P34)</f>
        <v>0</v>
      </c>
      <c r="AA34" s="14">
        <f t="shared" ref="AA34:AA49" si="12">SUM(S34:Y34)</f>
        <v>0</v>
      </c>
      <c r="AC34" s="14">
        <f>+Q34-AA34</f>
        <v>0</v>
      </c>
    </row>
    <row r="35" spans="1:29" x14ac:dyDescent="0.2">
      <c r="A35" s="71"/>
      <c r="B35" s="3" t="s">
        <v>165</v>
      </c>
      <c r="C35" s="14">
        <v>0</v>
      </c>
      <c r="E35" s="14">
        <v>0</v>
      </c>
      <c r="G35" s="14">
        <v>0</v>
      </c>
      <c r="I35" s="14">
        <v>0</v>
      </c>
      <c r="K35" s="14">
        <v>0</v>
      </c>
      <c r="M35" s="14">
        <v>0</v>
      </c>
      <c r="O35" s="14">
        <v>0</v>
      </c>
      <c r="Q35" s="14">
        <f t="shared" si="7"/>
        <v>0</v>
      </c>
      <c r="S35" s="14">
        <f t="shared" si="8"/>
        <v>0</v>
      </c>
      <c r="U35" s="14">
        <f t="shared" si="9"/>
        <v>0</v>
      </c>
      <c r="W35" s="14">
        <f t="shared" si="10"/>
        <v>0</v>
      </c>
      <c r="Y35" s="14">
        <f t="shared" si="11"/>
        <v>0</v>
      </c>
      <c r="AA35" s="14">
        <f t="shared" si="12"/>
        <v>0</v>
      </c>
      <c r="AC35" s="14">
        <f t="shared" ref="AC35:AC49" si="13">+Q35-AA35</f>
        <v>0</v>
      </c>
    </row>
    <row r="36" spans="1:29" x14ac:dyDescent="0.2">
      <c r="A36" s="71"/>
      <c r="B36" s="3" t="s">
        <v>166</v>
      </c>
      <c r="C36" s="14">
        <v>0</v>
      </c>
      <c r="E36" s="14">
        <v>0</v>
      </c>
      <c r="G36" s="14">
        <v>0</v>
      </c>
      <c r="I36" s="14">
        <v>0</v>
      </c>
      <c r="K36" s="14">
        <v>0</v>
      </c>
      <c r="M36" s="14">
        <v>0</v>
      </c>
      <c r="O36" s="14">
        <v>0</v>
      </c>
      <c r="Q36" s="14">
        <f t="shared" si="7"/>
        <v>0</v>
      </c>
      <c r="S36" s="14">
        <f t="shared" si="8"/>
        <v>0</v>
      </c>
      <c r="U36" s="14">
        <f t="shared" si="9"/>
        <v>0</v>
      </c>
      <c r="W36" s="14">
        <f t="shared" si="10"/>
        <v>0</v>
      </c>
      <c r="Y36" s="14">
        <f t="shared" si="11"/>
        <v>0</v>
      </c>
      <c r="AA36" s="14">
        <f t="shared" si="12"/>
        <v>0</v>
      </c>
      <c r="AC36" s="14">
        <f t="shared" si="13"/>
        <v>0</v>
      </c>
    </row>
    <row r="37" spans="1:29" x14ac:dyDescent="0.2">
      <c r="A37" s="71"/>
      <c r="B37" s="3" t="s">
        <v>167</v>
      </c>
      <c r="C37" s="14">
        <v>0</v>
      </c>
      <c r="E37" s="14">
        <v>0</v>
      </c>
      <c r="G37" s="14">
        <v>0</v>
      </c>
      <c r="I37" s="14">
        <v>0</v>
      </c>
      <c r="K37" s="14">
        <v>0</v>
      </c>
      <c r="M37" s="14">
        <v>0</v>
      </c>
      <c r="O37" s="14">
        <v>0</v>
      </c>
      <c r="Q37" s="14">
        <f t="shared" si="7"/>
        <v>0</v>
      </c>
      <c r="S37" s="14">
        <f t="shared" si="8"/>
        <v>0</v>
      </c>
      <c r="U37" s="14">
        <f t="shared" si="9"/>
        <v>0</v>
      </c>
      <c r="W37" s="14">
        <f t="shared" si="10"/>
        <v>0</v>
      </c>
      <c r="Y37" s="14">
        <f t="shared" si="11"/>
        <v>0</v>
      </c>
      <c r="AA37" s="14">
        <f t="shared" si="12"/>
        <v>0</v>
      </c>
      <c r="AC37" s="14">
        <f t="shared" si="13"/>
        <v>0</v>
      </c>
    </row>
    <row r="38" spans="1:29" x14ac:dyDescent="0.2">
      <c r="A38" s="71"/>
      <c r="B38" s="3" t="s">
        <v>168</v>
      </c>
      <c r="C38" s="14">
        <v>0</v>
      </c>
      <c r="E38" s="14">
        <v>0</v>
      </c>
      <c r="G38" s="14">
        <v>0</v>
      </c>
      <c r="I38" s="14">
        <v>0</v>
      </c>
      <c r="K38" s="14">
        <v>0</v>
      </c>
      <c r="M38" s="14">
        <v>0</v>
      </c>
      <c r="O38" s="14">
        <v>0</v>
      </c>
      <c r="Q38" s="14">
        <f t="shared" si="7"/>
        <v>0</v>
      </c>
      <c r="S38" s="14">
        <f t="shared" si="8"/>
        <v>0</v>
      </c>
      <c r="U38" s="14">
        <f t="shared" si="9"/>
        <v>0</v>
      </c>
      <c r="W38" s="14">
        <f t="shared" si="10"/>
        <v>0</v>
      </c>
      <c r="Y38" s="14">
        <f t="shared" si="11"/>
        <v>0</v>
      </c>
      <c r="AA38" s="14">
        <f t="shared" si="12"/>
        <v>0</v>
      </c>
      <c r="AC38" s="14">
        <f t="shared" si="13"/>
        <v>0</v>
      </c>
    </row>
    <row r="39" spans="1:29" x14ac:dyDescent="0.2">
      <c r="A39" s="71"/>
      <c r="B39" s="3" t="s">
        <v>169</v>
      </c>
      <c r="C39" s="14">
        <v>0</v>
      </c>
      <c r="E39" s="14">
        <v>0</v>
      </c>
      <c r="G39" s="14">
        <v>0</v>
      </c>
      <c r="I39" s="14">
        <v>0</v>
      </c>
      <c r="K39" s="14">
        <v>0</v>
      </c>
      <c r="M39" s="14">
        <v>0</v>
      </c>
      <c r="O39" s="14">
        <v>0</v>
      </c>
      <c r="Q39" s="14">
        <f t="shared" si="7"/>
        <v>0</v>
      </c>
      <c r="S39" s="14">
        <f t="shared" si="8"/>
        <v>0</v>
      </c>
      <c r="U39" s="14">
        <f t="shared" si="9"/>
        <v>0</v>
      </c>
      <c r="W39" s="14">
        <f t="shared" si="10"/>
        <v>0</v>
      </c>
      <c r="Y39" s="14">
        <f t="shared" si="11"/>
        <v>0</v>
      </c>
      <c r="AA39" s="14">
        <f t="shared" si="12"/>
        <v>0</v>
      </c>
      <c r="AC39" s="14">
        <f t="shared" si="13"/>
        <v>0</v>
      </c>
    </row>
    <row r="40" spans="1:29" x14ac:dyDescent="0.2">
      <c r="A40" s="71"/>
      <c r="B40" s="3" t="s">
        <v>170</v>
      </c>
      <c r="C40" s="14">
        <v>0</v>
      </c>
      <c r="E40" s="14">
        <v>0</v>
      </c>
      <c r="G40" s="14">
        <v>0</v>
      </c>
      <c r="I40" s="14">
        <v>0</v>
      </c>
      <c r="K40" s="14">
        <v>0</v>
      </c>
      <c r="M40" s="14">
        <v>0</v>
      </c>
      <c r="O40" s="14">
        <v>0</v>
      </c>
      <c r="Q40" s="14">
        <f t="shared" si="7"/>
        <v>0</v>
      </c>
      <c r="S40" s="14">
        <f t="shared" si="8"/>
        <v>0</v>
      </c>
      <c r="U40" s="14">
        <f t="shared" si="9"/>
        <v>0</v>
      </c>
      <c r="W40" s="14">
        <f t="shared" si="10"/>
        <v>0</v>
      </c>
      <c r="Y40" s="14">
        <f t="shared" si="11"/>
        <v>0</v>
      </c>
      <c r="AA40" s="14">
        <f t="shared" si="12"/>
        <v>0</v>
      </c>
      <c r="AC40" s="14">
        <f t="shared" si="13"/>
        <v>0</v>
      </c>
    </row>
    <row r="41" spans="1:29" x14ac:dyDescent="0.2">
      <c r="A41" s="71"/>
      <c r="B41" s="3" t="s">
        <v>171</v>
      </c>
      <c r="C41" s="14">
        <v>0</v>
      </c>
      <c r="E41" s="14">
        <v>0</v>
      </c>
      <c r="G41" s="14">
        <v>0</v>
      </c>
      <c r="I41" s="14">
        <v>0</v>
      </c>
      <c r="K41" s="14">
        <v>0</v>
      </c>
      <c r="M41" s="14">
        <v>0</v>
      </c>
      <c r="O41" s="14">
        <v>0</v>
      </c>
      <c r="Q41" s="14">
        <f t="shared" si="7"/>
        <v>0</v>
      </c>
      <c r="S41" s="14">
        <f t="shared" si="8"/>
        <v>0</v>
      </c>
      <c r="U41" s="14">
        <f t="shared" si="9"/>
        <v>0</v>
      </c>
      <c r="W41" s="14">
        <f t="shared" si="10"/>
        <v>0</v>
      </c>
      <c r="Y41" s="14">
        <f t="shared" si="11"/>
        <v>0</v>
      </c>
      <c r="AA41" s="14">
        <f t="shared" si="12"/>
        <v>0</v>
      </c>
      <c r="AC41" s="14">
        <f t="shared" si="13"/>
        <v>0</v>
      </c>
    </row>
    <row r="42" spans="1:29" x14ac:dyDescent="0.2">
      <c r="A42" s="71"/>
      <c r="B42" s="3" t="s">
        <v>173</v>
      </c>
      <c r="C42" s="14">
        <v>0</v>
      </c>
      <c r="E42" s="14">
        <v>0</v>
      </c>
      <c r="G42" s="14">
        <v>0</v>
      </c>
      <c r="I42" s="14">
        <v>0</v>
      </c>
      <c r="K42" s="14">
        <v>0</v>
      </c>
      <c r="M42" s="14">
        <v>0</v>
      </c>
      <c r="O42" s="14">
        <v>0</v>
      </c>
      <c r="Q42" s="14">
        <f t="shared" si="7"/>
        <v>0</v>
      </c>
      <c r="S42" s="14">
        <f t="shared" si="8"/>
        <v>0</v>
      </c>
      <c r="U42" s="14">
        <f t="shared" si="9"/>
        <v>0</v>
      </c>
      <c r="W42" s="14">
        <f t="shared" si="10"/>
        <v>0</v>
      </c>
      <c r="Y42" s="14">
        <f t="shared" si="11"/>
        <v>0</v>
      </c>
      <c r="AA42" s="14">
        <f t="shared" si="12"/>
        <v>0</v>
      </c>
      <c r="AC42" s="14">
        <f t="shared" si="13"/>
        <v>0</v>
      </c>
    </row>
    <row r="43" spans="1:29" x14ac:dyDescent="0.2">
      <c r="A43" s="71"/>
      <c r="B43" s="3" t="s">
        <v>174</v>
      </c>
      <c r="C43" s="14">
        <v>0</v>
      </c>
      <c r="E43" s="14">
        <v>0</v>
      </c>
      <c r="G43" s="14">
        <v>0</v>
      </c>
      <c r="I43" s="14">
        <v>0</v>
      </c>
      <c r="K43" s="14">
        <v>0</v>
      </c>
      <c r="M43" s="14">
        <v>0</v>
      </c>
      <c r="O43" s="14">
        <v>0</v>
      </c>
      <c r="Q43" s="14">
        <f t="shared" si="7"/>
        <v>0</v>
      </c>
      <c r="S43" s="14">
        <f t="shared" si="8"/>
        <v>0</v>
      </c>
      <c r="U43" s="14">
        <f t="shared" si="9"/>
        <v>0</v>
      </c>
      <c r="W43" s="14">
        <f t="shared" si="10"/>
        <v>0</v>
      </c>
      <c r="Y43" s="14">
        <f t="shared" si="11"/>
        <v>0</v>
      </c>
      <c r="AA43" s="14">
        <f t="shared" si="12"/>
        <v>0</v>
      </c>
      <c r="AC43" s="14">
        <f t="shared" si="13"/>
        <v>0</v>
      </c>
    </row>
    <row r="44" spans="1:29" x14ac:dyDescent="0.2">
      <c r="A44" s="71"/>
      <c r="B44" s="3" t="s">
        <v>175</v>
      </c>
      <c r="C44" s="14">
        <v>0</v>
      </c>
      <c r="E44" s="14">
        <v>0</v>
      </c>
      <c r="G44" s="14">
        <v>0</v>
      </c>
      <c r="I44" s="14">
        <v>0</v>
      </c>
      <c r="K44" s="14">
        <v>0</v>
      </c>
      <c r="M44" s="14">
        <v>0</v>
      </c>
      <c r="O44" s="14">
        <v>0</v>
      </c>
      <c r="Q44" s="14">
        <f t="shared" si="7"/>
        <v>0</v>
      </c>
      <c r="S44" s="14">
        <f t="shared" si="8"/>
        <v>0</v>
      </c>
      <c r="U44" s="14">
        <f t="shared" si="9"/>
        <v>0</v>
      </c>
      <c r="W44" s="14">
        <f t="shared" si="10"/>
        <v>0</v>
      </c>
      <c r="Y44" s="14">
        <f t="shared" si="11"/>
        <v>0</v>
      </c>
      <c r="AA44" s="14">
        <f t="shared" si="12"/>
        <v>0</v>
      </c>
      <c r="AC44" s="14">
        <f t="shared" si="13"/>
        <v>0</v>
      </c>
    </row>
    <row r="45" spans="1:29" x14ac:dyDescent="0.2">
      <c r="A45" s="71"/>
      <c r="B45" s="3" t="s">
        <v>176</v>
      </c>
      <c r="C45" s="14">
        <v>0</v>
      </c>
      <c r="E45" s="14">
        <v>0</v>
      </c>
      <c r="G45" s="14">
        <v>0</v>
      </c>
      <c r="I45" s="14">
        <v>0</v>
      </c>
      <c r="K45" s="14">
        <v>0</v>
      </c>
      <c r="M45" s="14">
        <v>0</v>
      </c>
      <c r="O45" s="14">
        <v>0</v>
      </c>
      <c r="Q45" s="14">
        <f t="shared" si="7"/>
        <v>0</v>
      </c>
      <c r="S45" s="14">
        <f t="shared" si="8"/>
        <v>0</v>
      </c>
      <c r="U45" s="14">
        <f t="shared" si="9"/>
        <v>0</v>
      </c>
      <c r="W45" s="14">
        <f t="shared" si="10"/>
        <v>0</v>
      </c>
      <c r="Y45" s="14">
        <f t="shared" si="11"/>
        <v>0</v>
      </c>
      <c r="AA45" s="14">
        <f t="shared" si="12"/>
        <v>0</v>
      </c>
      <c r="AC45" s="14">
        <f t="shared" si="13"/>
        <v>0</v>
      </c>
    </row>
    <row r="46" spans="1:29" x14ac:dyDescent="0.2">
      <c r="A46" s="71"/>
      <c r="B46" s="43" t="s">
        <v>177</v>
      </c>
      <c r="C46" s="14">
        <v>0</v>
      </c>
      <c r="E46" s="14">
        <v>0</v>
      </c>
      <c r="G46" s="14">
        <v>0</v>
      </c>
      <c r="I46" s="14">
        <v>0</v>
      </c>
      <c r="K46" s="14">
        <v>0</v>
      </c>
      <c r="M46" s="14">
        <v>0</v>
      </c>
      <c r="O46" s="14">
        <v>0</v>
      </c>
      <c r="Q46" s="14">
        <f t="shared" si="7"/>
        <v>0</v>
      </c>
      <c r="S46" s="14">
        <f t="shared" si="8"/>
        <v>0</v>
      </c>
      <c r="U46" s="14">
        <f t="shared" si="9"/>
        <v>0</v>
      </c>
      <c r="W46" s="14">
        <f t="shared" si="10"/>
        <v>0</v>
      </c>
      <c r="Y46" s="14">
        <f t="shared" si="11"/>
        <v>0</v>
      </c>
      <c r="AA46" s="14">
        <f t="shared" si="12"/>
        <v>0</v>
      </c>
      <c r="AC46" s="14">
        <f t="shared" si="13"/>
        <v>0</v>
      </c>
    </row>
    <row r="47" spans="1:29" x14ac:dyDescent="0.2">
      <c r="A47" s="71"/>
      <c r="B47" s="43" t="s">
        <v>178</v>
      </c>
      <c r="C47" s="14">
        <v>0</v>
      </c>
      <c r="E47" s="14">
        <v>0</v>
      </c>
      <c r="G47" s="14">
        <v>0</v>
      </c>
      <c r="I47" s="14">
        <v>0</v>
      </c>
      <c r="K47" s="14">
        <v>0</v>
      </c>
      <c r="M47" s="14">
        <v>0</v>
      </c>
      <c r="O47" s="14">
        <v>0</v>
      </c>
      <c r="Q47" s="14">
        <f t="shared" si="7"/>
        <v>0</v>
      </c>
      <c r="S47" s="14">
        <f t="shared" si="8"/>
        <v>0</v>
      </c>
      <c r="U47" s="14">
        <f t="shared" si="9"/>
        <v>0</v>
      </c>
      <c r="W47" s="14">
        <f t="shared" si="10"/>
        <v>0</v>
      </c>
      <c r="Y47" s="14">
        <f t="shared" si="11"/>
        <v>0</v>
      </c>
      <c r="AA47" s="14">
        <f t="shared" si="12"/>
        <v>0</v>
      </c>
      <c r="AC47" s="14">
        <f t="shared" si="13"/>
        <v>0</v>
      </c>
    </row>
    <row r="48" spans="1:29" x14ac:dyDescent="0.2">
      <c r="A48" s="71"/>
      <c r="B48" s="3" t="s">
        <v>179</v>
      </c>
      <c r="C48" s="14">
        <v>0</v>
      </c>
      <c r="E48" s="14">
        <v>0</v>
      </c>
      <c r="G48" s="14">
        <v>0</v>
      </c>
      <c r="I48" s="14">
        <v>0</v>
      </c>
      <c r="K48" s="14">
        <v>0</v>
      </c>
      <c r="M48" s="14">
        <v>0</v>
      </c>
      <c r="O48" s="14">
        <v>0</v>
      </c>
      <c r="Q48" s="14">
        <f t="shared" si="7"/>
        <v>0</v>
      </c>
      <c r="S48" s="14">
        <f t="shared" si="8"/>
        <v>0</v>
      </c>
      <c r="U48" s="14">
        <f t="shared" si="9"/>
        <v>0</v>
      </c>
      <c r="W48" s="14">
        <f t="shared" si="10"/>
        <v>0</v>
      </c>
      <c r="Y48" s="14">
        <f t="shared" si="11"/>
        <v>0</v>
      </c>
      <c r="AA48" s="14">
        <f t="shared" si="12"/>
        <v>0</v>
      </c>
      <c r="AC48" s="14">
        <f t="shared" si="13"/>
        <v>0</v>
      </c>
    </row>
    <row r="49" spans="1:29" x14ac:dyDescent="0.2">
      <c r="A49" s="71"/>
      <c r="B49" s="3" t="s">
        <v>180</v>
      </c>
      <c r="C49" s="14">
        <v>0</v>
      </c>
      <c r="E49" s="14">
        <v>0</v>
      </c>
      <c r="G49" s="14">
        <v>0</v>
      </c>
      <c r="I49" s="14">
        <v>0</v>
      </c>
      <c r="K49" s="14">
        <v>0</v>
      </c>
      <c r="M49" s="14">
        <v>0</v>
      </c>
      <c r="O49" s="14">
        <v>0</v>
      </c>
      <c r="Q49" s="14">
        <f t="shared" si="7"/>
        <v>0</v>
      </c>
      <c r="S49" s="14">
        <f t="shared" si="8"/>
        <v>0</v>
      </c>
      <c r="U49" s="14">
        <f t="shared" si="9"/>
        <v>0</v>
      </c>
      <c r="W49" s="14">
        <f t="shared" si="10"/>
        <v>0</v>
      </c>
      <c r="Y49" s="14">
        <f t="shared" si="11"/>
        <v>0</v>
      </c>
      <c r="AA49" s="14">
        <f t="shared" si="12"/>
        <v>0</v>
      </c>
      <c r="AC49" s="14">
        <f t="shared" si="13"/>
        <v>0</v>
      </c>
    </row>
    <row r="50" spans="1:29" x14ac:dyDescent="0.2">
      <c r="A50" s="71"/>
      <c r="B50" s="12" t="s">
        <v>181</v>
      </c>
      <c r="C50" s="18">
        <f>SUM(C34:C49)</f>
        <v>0</v>
      </c>
      <c r="E50" s="18">
        <f>SUM(E34:E49)</f>
        <v>0</v>
      </c>
      <c r="G50" s="18">
        <f>SUM(G34:G49)</f>
        <v>0</v>
      </c>
      <c r="I50" s="18">
        <f>SUM(I34:I49)</f>
        <v>0</v>
      </c>
      <c r="K50" s="18">
        <f>SUM(K34:K49)</f>
        <v>0</v>
      </c>
      <c r="M50" s="18">
        <f>SUM(M34:M49)</f>
        <v>0</v>
      </c>
      <c r="O50" s="18">
        <f>SUM(O34:O49)</f>
        <v>0</v>
      </c>
      <c r="Q50" s="18">
        <f>SUM(Q34:Q49)</f>
        <v>0</v>
      </c>
      <c r="S50" s="18">
        <f>SUM(S34:S49)</f>
        <v>0</v>
      </c>
      <c r="U50" s="18">
        <f>SUM(U34:U49)</f>
        <v>0</v>
      </c>
      <c r="W50" s="18">
        <f>SUM(W34:W49)</f>
        <v>0</v>
      </c>
      <c r="Y50" s="18">
        <f>SUM(Y34:Y49)</f>
        <v>0</v>
      </c>
      <c r="AA50" s="18">
        <f>SUM(AA34:AA49)</f>
        <v>0</v>
      </c>
      <c r="AC50" s="18">
        <f>+Q50-AA50</f>
        <v>0</v>
      </c>
    </row>
    <row r="51" spans="1:29" x14ac:dyDescent="0.2">
      <c r="A51" s="71"/>
      <c r="C51" s="14"/>
      <c r="E51" s="14"/>
      <c r="G51" s="14"/>
      <c r="I51" s="14"/>
      <c r="K51" s="14"/>
      <c r="M51" s="14"/>
      <c r="O51" s="14"/>
      <c r="Q51" s="14"/>
      <c r="S51" s="14"/>
      <c r="U51" s="14"/>
      <c r="W51" s="14"/>
      <c r="Y51" s="14"/>
      <c r="AA51" s="14"/>
      <c r="AC51" s="14"/>
    </row>
    <row r="52" spans="1:29" x14ac:dyDescent="0.2">
      <c r="A52" s="71"/>
      <c r="B52" s="12" t="s">
        <v>15</v>
      </c>
      <c r="C52" s="14"/>
      <c r="E52" s="14"/>
      <c r="G52" s="14"/>
      <c r="I52" s="14"/>
      <c r="K52" s="14"/>
      <c r="M52" s="14"/>
      <c r="O52" s="14"/>
      <c r="Q52" s="14"/>
      <c r="S52" s="14"/>
      <c r="U52" s="14"/>
      <c r="W52" s="14"/>
      <c r="Y52" s="14"/>
      <c r="AA52" s="14"/>
      <c r="AC52" s="14"/>
    </row>
    <row r="53" spans="1:29" x14ac:dyDescent="0.2">
      <c r="A53" s="71"/>
      <c r="B53" s="43" t="s">
        <v>191</v>
      </c>
      <c r="C53" s="14">
        <v>0</v>
      </c>
      <c r="E53" s="14">
        <v>0</v>
      </c>
      <c r="G53" s="14">
        <v>0</v>
      </c>
      <c r="I53" s="14">
        <v>0</v>
      </c>
      <c r="K53" s="14">
        <v>0</v>
      </c>
      <c r="M53" s="14">
        <v>0</v>
      </c>
      <c r="O53" s="14">
        <v>0</v>
      </c>
      <c r="Q53" s="14">
        <f>SUM(C53:P53)</f>
        <v>0</v>
      </c>
      <c r="S53" s="14">
        <f>SUMIF($C$9:$P$9,"=Addition",$C53:$P53)</f>
        <v>0</v>
      </c>
      <c r="U53" s="14">
        <f>SUMIF($C$9:$P$9,"=Adjustment",$C53:$P53)</f>
        <v>0</v>
      </c>
      <c r="W53" s="14">
        <f>SUMIF($C$9:$P$9,"=Transfer",$C53:$P53)</f>
        <v>0</v>
      </c>
      <c r="Y53" s="14">
        <f>SUMIF($C$9:$P$9,"=Addition",$C53:$P53)</f>
        <v>0</v>
      </c>
      <c r="AA53" s="14">
        <f>SUM(S53:Y53)</f>
        <v>0</v>
      </c>
      <c r="AC53" s="14">
        <f>+Q53-AA53</f>
        <v>0</v>
      </c>
    </row>
    <row r="54" spans="1:29" x14ac:dyDescent="0.2">
      <c r="A54" s="71"/>
      <c r="B54" s="3" t="s">
        <v>192</v>
      </c>
      <c r="C54" s="14">
        <v>0</v>
      </c>
      <c r="E54" s="14">
        <v>0</v>
      </c>
      <c r="G54" s="14">
        <v>0</v>
      </c>
      <c r="I54" s="14">
        <v>0</v>
      </c>
      <c r="K54" s="14">
        <v>0</v>
      </c>
      <c r="M54" s="14">
        <v>0</v>
      </c>
      <c r="O54" s="14">
        <v>0</v>
      </c>
      <c r="Q54" s="14">
        <f>SUM(C54:P54)</f>
        <v>0</v>
      </c>
      <c r="S54" s="14">
        <f>SUMIF($C$9:$P$9,"=Addition",$C54:$P54)</f>
        <v>0</v>
      </c>
      <c r="U54" s="14">
        <f>SUMIF($C$9:$P$9,"=Adjustment",$C54:$P54)</f>
        <v>0</v>
      </c>
      <c r="W54" s="14">
        <f>SUMIF($C$9:$P$9,"=Transfer",$C54:$P54)</f>
        <v>0</v>
      </c>
      <c r="Y54" s="14">
        <f>SUMIF($C$9:$P$9,"=Addition",$C54:$P54)</f>
        <v>0</v>
      </c>
      <c r="AA54" s="14">
        <f>SUM(S54:Y54)</f>
        <v>0</v>
      </c>
      <c r="AC54" s="14">
        <f>+Q54-AA54</f>
        <v>0</v>
      </c>
    </row>
    <row r="55" spans="1:29" x14ac:dyDescent="0.2">
      <c r="A55" s="71"/>
      <c r="B55" s="3" t="s">
        <v>193</v>
      </c>
      <c r="C55" s="14">
        <v>0</v>
      </c>
      <c r="E55" s="14">
        <v>0</v>
      </c>
      <c r="G55" s="14">
        <v>0</v>
      </c>
      <c r="I55" s="14">
        <v>0</v>
      </c>
      <c r="K55" s="14">
        <v>0</v>
      </c>
      <c r="M55" s="14">
        <v>0</v>
      </c>
      <c r="O55" s="14">
        <v>0</v>
      </c>
      <c r="Q55" s="14">
        <f>SUM(C55:P55)</f>
        <v>0</v>
      </c>
      <c r="S55" s="14">
        <f>SUMIF($C$9:$P$9,"=Addition",$C55:$P55)</f>
        <v>0</v>
      </c>
      <c r="U55" s="14">
        <f>SUMIF($C$9:$P$9,"=Adjustment",$C55:$P55)</f>
        <v>0</v>
      </c>
      <c r="W55" s="14">
        <f>SUMIF($C$9:$P$9,"=Transfer",$C55:$P55)</f>
        <v>0</v>
      </c>
      <c r="Y55" s="14">
        <f>SUMIF($C$9:$P$9,"=Addition",$C55:$P55)</f>
        <v>0</v>
      </c>
      <c r="AA55" s="14">
        <f>SUM(S55:Y55)</f>
        <v>0</v>
      </c>
      <c r="AC55" s="14">
        <f>+Q55-AA55</f>
        <v>0</v>
      </c>
    </row>
    <row r="56" spans="1:29" x14ac:dyDescent="0.2">
      <c r="A56" s="71"/>
      <c r="B56" s="3" t="s">
        <v>194</v>
      </c>
      <c r="C56" s="14">
        <v>0</v>
      </c>
      <c r="E56" s="14">
        <v>0</v>
      </c>
      <c r="G56" s="14">
        <v>0</v>
      </c>
      <c r="I56" s="14">
        <v>0</v>
      </c>
      <c r="K56" s="14">
        <v>0</v>
      </c>
      <c r="M56" s="14">
        <v>0</v>
      </c>
      <c r="O56" s="14">
        <v>0</v>
      </c>
      <c r="Q56" s="14">
        <f>SUM(C56:P56)</f>
        <v>0</v>
      </c>
      <c r="S56" s="14">
        <f>SUMIF($C$9:$P$9,"=Addition",$C56:$P56)</f>
        <v>0</v>
      </c>
      <c r="U56" s="14">
        <f>SUMIF($C$9:$P$9,"=Adjustment",$C56:$P56)</f>
        <v>0</v>
      </c>
      <c r="W56" s="14">
        <f>SUMIF($C$9:$P$9,"=Transfer",$C56:$P56)</f>
        <v>0</v>
      </c>
      <c r="Y56" s="14">
        <f>SUMIF($C$9:$P$9,"=Addition",$C56:$P56)</f>
        <v>0</v>
      </c>
      <c r="AA56" s="14">
        <f>SUM(S56:Y56)</f>
        <v>0</v>
      </c>
      <c r="AC56" s="14">
        <f>+Q56-AA56</f>
        <v>0</v>
      </c>
    </row>
    <row r="57" spans="1:29" x14ac:dyDescent="0.2">
      <c r="A57" s="71"/>
      <c r="B57" s="12" t="s">
        <v>195</v>
      </c>
      <c r="C57" s="18">
        <f>SUM(C53:C56)</f>
        <v>0</v>
      </c>
      <c r="E57" s="18">
        <f>SUM(E53:E56)</f>
        <v>0</v>
      </c>
      <c r="G57" s="18">
        <f>SUM(G53:G56)</f>
        <v>0</v>
      </c>
      <c r="I57" s="18">
        <f>SUM(I53:I56)</f>
        <v>0</v>
      </c>
      <c r="K57" s="18">
        <f>SUM(K53:K56)</f>
        <v>0</v>
      </c>
      <c r="M57" s="18">
        <f>SUM(M53:M56)</f>
        <v>0</v>
      </c>
      <c r="O57" s="18">
        <f>SUM(O53:O56)</f>
        <v>0</v>
      </c>
      <c r="Q57" s="18">
        <f>SUM(Q53:Q56)</f>
        <v>0</v>
      </c>
      <c r="S57" s="18">
        <f>SUM(S53:S56)</f>
        <v>0</v>
      </c>
      <c r="U57" s="18">
        <f>SUM(U53:U56)</f>
        <v>0</v>
      </c>
      <c r="W57" s="18">
        <f>SUM(W53:W56)</f>
        <v>0</v>
      </c>
      <c r="Y57" s="18">
        <f>SUM(Y53:Y56)</f>
        <v>0</v>
      </c>
      <c r="AA57" s="18">
        <f>SUM(AA53:AA56)</f>
        <v>0</v>
      </c>
      <c r="AC57" s="18">
        <f>+Q57-AA57</f>
        <v>0</v>
      </c>
    </row>
    <row r="58" spans="1:29" x14ac:dyDescent="0.2">
      <c r="A58" s="71"/>
      <c r="C58" s="14"/>
      <c r="E58" s="14"/>
      <c r="G58" s="14"/>
      <c r="I58" s="14"/>
      <c r="K58" s="14"/>
      <c r="M58" s="14"/>
      <c r="O58" s="14"/>
      <c r="Q58" s="14"/>
      <c r="S58" s="14"/>
      <c r="U58" s="14"/>
      <c r="W58" s="14"/>
      <c r="Y58" s="14"/>
      <c r="AA58" s="14"/>
      <c r="AC58" s="14"/>
    </row>
    <row r="59" spans="1:29" x14ac:dyDescent="0.2">
      <c r="A59" s="8"/>
      <c r="B59" s="12" t="s">
        <v>18</v>
      </c>
      <c r="C59" s="14"/>
      <c r="E59" s="14"/>
      <c r="G59" s="14"/>
      <c r="I59" s="14"/>
      <c r="K59" s="14"/>
      <c r="M59" s="14"/>
      <c r="O59" s="14"/>
      <c r="Q59" s="14"/>
      <c r="S59" s="14"/>
      <c r="U59" s="14"/>
      <c r="W59" s="14"/>
      <c r="Y59" s="14"/>
      <c r="AA59" s="14"/>
      <c r="AC59" s="14"/>
    </row>
    <row r="60" spans="1:29" x14ac:dyDescent="0.2">
      <c r="A60" s="8"/>
      <c r="B60" s="3" t="s">
        <v>221</v>
      </c>
      <c r="C60" s="14">
        <v>0</v>
      </c>
      <c r="E60" s="14">
        <v>0</v>
      </c>
      <c r="G60" s="14">
        <v>0</v>
      </c>
      <c r="I60" s="14">
        <v>0</v>
      </c>
      <c r="K60" s="14">
        <v>0</v>
      </c>
      <c r="M60" s="14">
        <v>0</v>
      </c>
      <c r="O60" s="14">
        <v>0</v>
      </c>
      <c r="Q60" s="14">
        <f t="shared" ref="Q60:Q73" si="14">SUM(C60:P60)</f>
        <v>0</v>
      </c>
      <c r="S60" s="14">
        <f t="shared" ref="S60:S73" si="15">SUMIF($C$9:$P$9,"=Addition",$C60:$P60)</f>
        <v>0</v>
      </c>
      <c r="U60" s="14">
        <f t="shared" ref="U60:U73" si="16">SUMIF($C$9:$P$9,"=Adjustment",$C60:$P60)</f>
        <v>0</v>
      </c>
      <c r="W60" s="14">
        <f t="shared" ref="W60:W73" si="17">SUMIF($C$9:$P$9,"=Transfer",$C60:$P60)</f>
        <v>0</v>
      </c>
      <c r="Y60" s="14">
        <f t="shared" ref="Y60:Y73" si="18">SUMIF($C$9:$P$9,"=Addition",$C60:$P60)</f>
        <v>0</v>
      </c>
      <c r="AA60" s="14">
        <f t="shared" ref="AA60:AA73" si="19">SUM(S60:Y60)</f>
        <v>0</v>
      </c>
      <c r="AC60" s="14">
        <f>+Q60-AA60</f>
        <v>0</v>
      </c>
    </row>
    <row r="61" spans="1:29" x14ac:dyDescent="0.2">
      <c r="A61" s="8"/>
      <c r="B61" s="3" t="s">
        <v>222</v>
      </c>
      <c r="C61" s="14">
        <v>0</v>
      </c>
      <c r="E61" s="14">
        <v>0</v>
      </c>
      <c r="G61" s="14">
        <v>0</v>
      </c>
      <c r="I61" s="14">
        <v>0</v>
      </c>
      <c r="K61" s="14">
        <v>0</v>
      </c>
      <c r="M61" s="14">
        <v>0</v>
      </c>
      <c r="O61" s="14">
        <v>0</v>
      </c>
      <c r="Q61" s="14">
        <f t="shared" si="14"/>
        <v>0</v>
      </c>
      <c r="S61" s="14">
        <f t="shared" si="15"/>
        <v>0</v>
      </c>
      <c r="U61" s="14">
        <f t="shared" si="16"/>
        <v>0</v>
      </c>
      <c r="W61" s="14">
        <f t="shared" si="17"/>
        <v>0</v>
      </c>
      <c r="Y61" s="14">
        <f t="shared" si="18"/>
        <v>0</v>
      </c>
      <c r="AA61" s="14">
        <f t="shared" si="19"/>
        <v>0</v>
      </c>
      <c r="AC61" s="14">
        <f t="shared" ref="AC61:AC73" si="20">+Q61-AA61</f>
        <v>0</v>
      </c>
    </row>
    <row r="62" spans="1:29" x14ac:dyDescent="0.2">
      <c r="A62" s="8"/>
      <c r="B62" s="3" t="s">
        <v>223</v>
      </c>
      <c r="C62" s="14">
        <v>0</v>
      </c>
      <c r="E62" s="14">
        <v>0</v>
      </c>
      <c r="G62" s="14">
        <v>0</v>
      </c>
      <c r="I62" s="14">
        <v>0</v>
      </c>
      <c r="K62" s="14">
        <v>0</v>
      </c>
      <c r="M62" s="14">
        <v>0</v>
      </c>
      <c r="O62" s="14">
        <v>0</v>
      </c>
      <c r="Q62" s="14">
        <f t="shared" si="14"/>
        <v>0</v>
      </c>
      <c r="S62" s="14">
        <f t="shared" si="15"/>
        <v>0</v>
      </c>
      <c r="U62" s="14">
        <f t="shared" si="16"/>
        <v>0</v>
      </c>
      <c r="W62" s="14">
        <f t="shared" si="17"/>
        <v>0</v>
      </c>
      <c r="Y62" s="14">
        <f t="shared" si="18"/>
        <v>0</v>
      </c>
      <c r="AA62" s="14">
        <f t="shared" si="19"/>
        <v>0</v>
      </c>
      <c r="AC62" s="14">
        <f t="shared" si="20"/>
        <v>0</v>
      </c>
    </row>
    <row r="63" spans="1:29" x14ac:dyDescent="0.2">
      <c r="A63" s="8"/>
      <c r="B63" s="3" t="s">
        <v>224</v>
      </c>
      <c r="C63" s="14">
        <v>0</v>
      </c>
      <c r="E63" s="14">
        <v>0</v>
      </c>
      <c r="G63" s="14">
        <v>0</v>
      </c>
      <c r="I63" s="14">
        <v>0</v>
      </c>
      <c r="K63" s="14">
        <v>0</v>
      </c>
      <c r="M63" s="14">
        <v>0</v>
      </c>
      <c r="O63" s="14">
        <v>0</v>
      </c>
      <c r="Q63" s="14">
        <f t="shared" si="14"/>
        <v>0</v>
      </c>
      <c r="S63" s="14">
        <f t="shared" si="15"/>
        <v>0</v>
      </c>
      <c r="U63" s="14">
        <f t="shared" si="16"/>
        <v>0</v>
      </c>
      <c r="W63" s="14">
        <f t="shared" si="17"/>
        <v>0</v>
      </c>
      <c r="Y63" s="14">
        <f t="shared" si="18"/>
        <v>0</v>
      </c>
      <c r="AA63" s="14">
        <f t="shared" si="19"/>
        <v>0</v>
      </c>
      <c r="AC63" s="14">
        <f t="shared" si="20"/>
        <v>0</v>
      </c>
    </row>
    <row r="64" spans="1:29" x14ac:dyDescent="0.2">
      <c r="A64" s="8"/>
      <c r="B64" s="3" t="s">
        <v>225</v>
      </c>
      <c r="C64" s="14">
        <v>0</v>
      </c>
      <c r="E64" s="14">
        <v>0</v>
      </c>
      <c r="G64" s="14">
        <v>0</v>
      </c>
      <c r="I64" s="14">
        <v>0</v>
      </c>
      <c r="K64" s="14">
        <v>0</v>
      </c>
      <c r="M64" s="14">
        <v>0</v>
      </c>
      <c r="O64" s="14">
        <v>0</v>
      </c>
      <c r="Q64" s="14">
        <f t="shared" si="14"/>
        <v>0</v>
      </c>
      <c r="S64" s="14">
        <f t="shared" si="15"/>
        <v>0</v>
      </c>
      <c r="U64" s="14">
        <f t="shared" si="16"/>
        <v>0</v>
      </c>
      <c r="W64" s="14">
        <f t="shared" si="17"/>
        <v>0</v>
      </c>
      <c r="Y64" s="14">
        <f t="shared" si="18"/>
        <v>0</v>
      </c>
      <c r="AA64" s="14">
        <f t="shared" si="19"/>
        <v>0</v>
      </c>
      <c r="AC64" s="14">
        <f t="shared" si="20"/>
        <v>0</v>
      </c>
    </row>
    <row r="65" spans="1:29" x14ac:dyDescent="0.2">
      <c r="A65" s="8"/>
      <c r="B65" s="3" t="s">
        <v>226</v>
      </c>
      <c r="C65" s="14">
        <v>0</v>
      </c>
      <c r="E65" s="14">
        <v>0</v>
      </c>
      <c r="G65" s="14">
        <v>0</v>
      </c>
      <c r="I65" s="14">
        <v>0</v>
      </c>
      <c r="K65" s="14">
        <v>0</v>
      </c>
      <c r="M65" s="14">
        <v>0</v>
      </c>
      <c r="O65" s="14">
        <v>0</v>
      </c>
      <c r="Q65" s="14">
        <f t="shared" si="14"/>
        <v>0</v>
      </c>
      <c r="S65" s="14">
        <f t="shared" si="15"/>
        <v>0</v>
      </c>
      <c r="U65" s="14">
        <f t="shared" si="16"/>
        <v>0</v>
      </c>
      <c r="W65" s="14">
        <f t="shared" si="17"/>
        <v>0</v>
      </c>
      <c r="Y65" s="14">
        <f t="shared" si="18"/>
        <v>0</v>
      </c>
      <c r="AA65" s="14">
        <f t="shared" si="19"/>
        <v>0</v>
      </c>
      <c r="AC65" s="14">
        <f t="shared" si="20"/>
        <v>0</v>
      </c>
    </row>
    <row r="66" spans="1:29" x14ac:dyDescent="0.2">
      <c r="A66" s="8"/>
      <c r="B66" s="3" t="s">
        <v>227</v>
      </c>
      <c r="C66" s="14">
        <v>0</v>
      </c>
      <c r="E66" s="14">
        <v>0</v>
      </c>
      <c r="G66" s="14">
        <v>0</v>
      </c>
      <c r="I66" s="14">
        <v>0</v>
      </c>
      <c r="K66" s="14">
        <v>0</v>
      </c>
      <c r="M66" s="14">
        <v>0</v>
      </c>
      <c r="O66" s="14">
        <v>0</v>
      </c>
      <c r="Q66" s="14">
        <f t="shared" si="14"/>
        <v>0</v>
      </c>
      <c r="S66" s="14">
        <f t="shared" si="15"/>
        <v>0</v>
      </c>
      <c r="U66" s="14">
        <f t="shared" si="16"/>
        <v>0</v>
      </c>
      <c r="W66" s="14">
        <f t="shared" si="17"/>
        <v>0</v>
      </c>
      <c r="Y66" s="14">
        <f t="shared" si="18"/>
        <v>0</v>
      </c>
      <c r="AA66" s="14">
        <f t="shared" si="19"/>
        <v>0</v>
      </c>
      <c r="AC66" s="14">
        <f t="shared" si="20"/>
        <v>0</v>
      </c>
    </row>
    <row r="67" spans="1:29" x14ac:dyDescent="0.2">
      <c r="A67" s="8"/>
      <c r="B67" s="3" t="s">
        <v>228</v>
      </c>
      <c r="C67" s="14">
        <v>0</v>
      </c>
      <c r="E67" s="14">
        <v>0</v>
      </c>
      <c r="G67" s="14">
        <v>0</v>
      </c>
      <c r="I67" s="14">
        <v>0</v>
      </c>
      <c r="K67" s="14">
        <v>0</v>
      </c>
      <c r="M67" s="14">
        <v>0</v>
      </c>
      <c r="O67" s="14">
        <v>0</v>
      </c>
      <c r="Q67" s="14">
        <f t="shared" si="14"/>
        <v>0</v>
      </c>
      <c r="S67" s="14">
        <f t="shared" si="15"/>
        <v>0</v>
      </c>
      <c r="U67" s="14">
        <f t="shared" si="16"/>
        <v>0</v>
      </c>
      <c r="W67" s="14">
        <f t="shared" si="17"/>
        <v>0</v>
      </c>
      <c r="Y67" s="14">
        <f t="shared" si="18"/>
        <v>0</v>
      </c>
      <c r="AA67" s="14">
        <f t="shared" si="19"/>
        <v>0</v>
      </c>
      <c r="AC67" s="14">
        <f t="shared" si="20"/>
        <v>0</v>
      </c>
    </row>
    <row r="68" spans="1:29" x14ac:dyDescent="0.2">
      <c r="A68" s="8"/>
      <c r="B68" s="3" t="s">
        <v>229</v>
      </c>
      <c r="C68" s="14">
        <v>0</v>
      </c>
      <c r="E68" s="14">
        <v>0</v>
      </c>
      <c r="G68" s="14">
        <v>0</v>
      </c>
      <c r="I68" s="14">
        <v>0</v>
      </c>
      <c r="K68" s="14">
        <v>0</v>
      </c>
      <c r="M68" s="14">
        <v>0</v>
      </c>
      <c r="O68" s="14">
        <v>0</v>
      </c>
      <c r="Q68" s="14">
        <f t="shared" si="14"/>
        <v>0</v>
      </c>
      <c r="S68" s="14">
        <f t="shared" si="15"/>
        <v>0</v>
      </c>
      <c r="U68" s="14">
        <f t="shared" si="16"/>
        <v>0</v>
      </c>
      <c r="W68" s="14">
        <f t="shared" si="17"/>
        <v>0</v>
      </c>
      <c r="Y68" s="14">
        <f t="shared" si="18"/>
        <v>0</v>
      </c>
      <c r="AA68" s="14">
        <f t="shared" si="19"/>
        <v>0</v>
      </c>
      <c r="AC68" s="14">
        <f t="shared" si="20"/>
        <v>0</v>
      </c>
    </row>
    <row r="69" spans="1:29" x14ac:dyDescent="0.2">
      <c r="A69" s="8"/>
      <c r="B69" s="3" t="s">
        <v>230</v>
      </c>
      <c r="C69" s="14">
        <v>0</v>
      </c>
      <c r="E69" s="14">
        <v>0</v>
      </c>
      <c r="G69" s="14">
        <v>0</v>
      </c>
      <c r="I69" s="14">
        <v>0</v>
      </c>
      <c r="K69" s="14">
        <v>0</v>
      </c>
      <c r="M69" s="14">
        <v>0</v>
      </c>
      <c r="O69" s="14">
        <v>0</v>
      </c>
      <c r="Q69" s="14">
        <f t="shared" si="14"/>
        <v>0</v>
      </c>
      <c r="S69" s="14">
        <f t="shared" si="15"/>
        <v>0</v>
      </c>
      <c r="U69" s="14">
        <f t="shared" si="16"/>
        <v>0</v>
      </c>
      <c r="W69" s="14">
        <f t="shared" si="17"/>
        <v>0</v>
      </c>
      <c r="Y69" s="14">
        <f t="shared" si="18"/>
        <v>0</v>
      </c>
      <c r="AA69" s="14">
        <f t="shared" si="19"/>
        <v>0</v>
      </c>
      <c r="AC69" s="14">
        <f t="shared" si="20"/>
        <v>0</v>
      </c>
    </row>
    <row r="70" spans="1:29" x14ac:dyDescent="0.2">
      <c r="A70" s="8"/>
      <c r="B70" s="3" t="s">
        <v>231</v>
      </c>
      <c r="C70" s="14">
        <v>0</v>
      </c>
      <c r="E70" s="14">
        <v>0</v>
      </c>
      <c r="G70" s="14">
        <v>0</v>
      </c>
      <c r="I70" s="14">
        <v>0</v>
      </c>
      <c r="K70" s="14">
        <v>0</v>
      </c>
      <c r="M70" s="14">
        <v>0</v>
      </c>
      <c r="O70" s="14">
        <v>0</v>
      </c>
      <c r="Q70" s="14">
        <f t="shared" si="14"/>
        <v>0</v>
      </c>
      <c r="S70" s="14">
        <f t="shared" si="15"/>
        <v>0</v>
      </c>
      <c r="U70" s="14">
        <f t="shared" si="16"/>
        <v>0</v>
      </c>
      <c r="W70" s="14">
        <f t="shared" si="17"/>
        <v>0</v>
      </c>
      <c r="Y70" s="14">
        <f t="shared" si="18"/>
        <v>0</v>
      </c>
      <c r="AA70" s="14">
        <f t="shared" si="19"/>
        <v>0</v>
      </c>
      <c r="AC70" s="14">
        <f t="shared" si="20"/>
        <v>0</v>
      </c>
    </row>
    <row r="71" spans="1:29" x14ac:dyDescent="0.2">
      <c r="A71" s="8"/>
      <c r="B71" s="3" t="s">
        <v>232</v>
      </c>
      <c r="C71" s="14">
        <v>0</v>
      </c>
      <c r="E71" s="14">
        <v>0</v>
      </c>
      <c r="G71" s="14">
        <v>0</v>
      </c>
      <c r="I71" s="14">
        <v>0</v>
      </c>
      <c r="K71" s="14">
        <v>0</v>
      </c>
      <c r="M71" s="14">
        <v>0</v>
      </c>
      <c r="O71" s="14">
        <v>0</v>
      </c>
      <c r="Q71" s="14">
        <f t="shared" si="14"/>
        <v>0</v>
      </c>
      <c r="S71" s="14">
        <f t="shared" si="15"/>
        <v>0</v>
      </c>
      <c r="U71" s="14">
        <f t="shared" si="16"/>
        <v>0</v>
      </c>
      <c r="W71" s="14">
        <f t="shared" si="17"/>
        <v>0</v>
      </c>
      <c r="Y71" s="14">
        <f t="shared" si="18"/>
        <v>0</v>
      </c>
      <c r="AA71" s="14">
        <f t="shared" si="19"/>
        <v>0</v>
      </c>
      <c r="AC71" s="14">
        <f t="shared" si="20"/>
        <v>0</v>
      </c>
    </row>
    <row r="72" spans="1:29" x14ac:dyDescent="0.2">
      <c r="A72" s="8"/>
      <c r="B72" s="3" t="s">
        <v>233</v>
      </c>
      <c r="C72" s="14">
        <v>0</v>
      </c>
      <c r="E72" s="14">
        <v>0</v>
      </c>
      <c r="G72" s="14">
        <v>0</v>
      </c>
      <c r="I72" s="14">
        <v>0</v>
      </c>
      <c r="K72" s="14">
        <v>0</v>
      </c>
      <c r="M72" s="14">
        <v>0</v>
      </c>
      <c r="O72" s="14">
        <v>0</v>
      </c>
      <c r="Q72" s="14">
        <f t="shared" si="14"/>
        <v>0</v>
      </c>
      <c r="S72" s="14">
        <f t="shared" si="15"/>
        <v>0</v>
      </c>
      <c r="U72" s="14">
        <f t="shared" si="16"/>
        <v>0</v>
      </c>
      <c r="W72" s="14">
        <f t="shared" si="17"/>
        <v>0</v>
      </c>
      <c r="Y72" s="14">
        <f t="shared" si="18"/>
        <v>0</v>
      </c>
      <c r="AA72" s="14">
        <f t="shared" si="19"/>
        <v>0</v>
      </c>
      <c r="AC72" s="14">
        <f t="shared" si="20"/>
        <v>0</v>
      </c>
    </row>
    <row r="73" spans="1:29" x14ac:dyDescent="0.2">
      <c r="A73" s="8"/>
      <c r="B73" s="3" t="s">
        <v>234</v>
      </c>
      <c r="C73" s="14">
        <v>0</v>
      </c>
      <c r="E73" s="14">
        <v>0</v>
      </c>
      <c r="G73" s="14">
        <v>0</v>
      </c>
      <c r="I73" s="14">
        <v>0</v>
      </c>
      <c r="K73" s="14">
        <v>0</v>
      </c>
      <c r="M73" s="14">
        <v>0</v>
      </c>
      <c r="O73" s="14">
        <v>0</v>
      </c>
      <c r="Q73" s="14">
        <f t="shared" si="14"/>
        <v>0</v>
      </c>
      <c r="S73" s="14">
        <f t="shared" si="15"/>
        <v>0</v>
      </c>
      <c r="U73" s="14">
        <f t="shared" si="16"/>
        <v>0</v>
      </c>
      <c r="W73" s="14">
        <f t="shared" si="17"/>
        <v>0</v>
      </c>
      <c r="Y73" s="14">
        <f t="shared" si="18"/>
        <v>0</v>
      </c>
      <c r="AA73" s="14">
        <f t="shared" si="19"/>
        <v>0</v>
      </c>
      <c r="AC73" s="14">
        <f t="shared" si="20"/>
        <v>0</v>
      </c>
    </row>
    <row r="74" spans="1:29" x14ac:dyDescent="0.2">
      <c r="A74" s="8"/>
      <c r="B74" s="12" t="s">
        <v>235</v>
      </c>
      <c r="C74" s="18">
        <f>SUM(C60:C73)</f>
        <v>0</v>
      </c>
      <c r="E74" s="18">
        <f>SUM(E60:E73)</f>
        <v>0</v>
      </c>
      <c r="G74" s="18">
        <f>SUM(G60:G73)</f>
        <v>0</v>
      </c>
      <c r="I74" s="18">
        <f>SUM(I60:I73)</f>
        <v>0</v>
      </c>
      <c r="K74" s="18">
        <f>SUM(K60:K73)</f>
        <v>0</v>
      </c>
      <c r="M74" s="18">
        <f>SUM(M60:M73)</f>
        <v>0</v>
      </c>
      <c r="O74" s="18">
        <f>SUM(O60:O73)</f>
        <v>0</v>
      </c>
      <c r="Q74" s="18">
        <f>SUM(Q60:Q73)</f>
        <v>0</v>
      </c>
      <c r="S74" s="18">
        <f>SUM(S60:S73)</f>
        <v>0</v>
      </c>
      <c r="U74" s="18">
        <f>SUM(U60:U73)</f>
        <v>0</v>
      </c>
      <c r="W74" s="18">
        <f>SUM(W60:W73)</f>
        <v>0</v>
      </c>
      <c r="Y74" s="18">
        <f>SUM(Y60:Y73)</f>
        <v>0</v>
      </c>
      <c r="AA74" s="18">
        <f>SUM(AA60:AA73)</f>
        <v>0</v>
      </c>
      <c r="AC74" s="18">
        <f>+Q74-AA74</f>
        <v>0</v>
      </c>
    </row>
    <row r="75" spans="1:29" x14ac:dyDescent="0.2">
      <c r="A75" s="8"/>
      <c r="B75" s="12"/>
      <c r="C75" s="16"/>
      <c r="E75" s="16"/>
      <c r="G75" s="16"/>
      <c r="I75" s="16"/>
      <c r="K75" s="16"/>
      <c r="M75" s="16"/>
      <c r="O75" s="16"/>
      <c r="Q75" s="16"/>
      <c r="S75" s="16"/>
      <c r="U75" s="16"/>
      <c r="W75" s="16"/>
      <c r="Y75" s="16"/>
      <c r="AA75" s="16"/>
      <c r="AC75" s="16"/>
    </row>
    <row r="76" spans="1:29" x14ac:dyDescent="0.2">
      <c r="A76" s="8"/>
      <c r="C76" s="17"/>
      <c r="D76" s="14"/>
      <c r="E76" s="17"/>
      <c r="F76" s="14"/>
      <c r="G76" s="17"/>
      <c r="H76" s="14"/>
      <c r="I76" s="17"/>
      <c r="J76" s="14"/>
      <c r="K76" s="17"/>
      <c r="L76" s="14"/>
      <c r="M76" s="17"/>
      <c r="N76" s="14"/>
      <c r="O76" s="17"/>
      <c r="P76" s="14"/>
      <c r="Q76" s="17"/>
      <c r="R76" s="4"/>
      <c r="S76" s="17"/>
      <c r="T76" s="14"/>
      <c r="U76" s="17"/>
      <c r="V76" s="14"/>
      <c r="W76" s="17"/>
      <c r="X76" s="14"/>
      <c r="Y76" s="17"/>
      <c r="Z76" s="14"/>
      <c r="AA76" s="17"/>
      <c r="AB76" s="14"/>
      <c r="AC76" s="17"/>
    </row>
    <row r="77" spans="1:29" x14ac:dyDescent="0.2">
      <c r="A77" s="8"/>
      <c r="B77" s="12" t="s">
        <v>19</v>
      </c>
      <c r="C77" s="16">
        <f>+C31+C50+C57+C74</f>
        <v>0</v>
      </c>
      <c r="D77" s="14"/>
      <c r="E77" s="16">
        <f>+E31+E50+E57+E74</f>
        <v>0</v>
      </c>
      <c r="F77" s="14"/>
      <c r="G77" s="16">
        <f>+G31+G50+G57+G74</f>
        <v>0</v>
      </c>
      <c r="H77" s="14"/>
      <c r="I77" s="16">
        <f>+I31+I50+I57+I74</f>
        <v>0</v>
      </c>
      <c r="J77" s="14"/>
      <c r="K77" s="16">
        <f>+K31+K50+K57+K74</f>
        <v>0</v>
      </c>
      <c r="L77" s="14"/>
      <c r="M77" s="16">
        <f>+M31+M50+M57+M74</f>
        <v>0</v>
      </c>
      <c r="N77" s="14"/>
      <c r="O77" s="16">
        <f>+O31+O50+O57+O74</f>
        <v>0</v>
      </c>
      <c r="P77" s="14"/>
      <c r="Q77" s="16">
        <f>+Q31+Q50+Q57+Q74</f>
        <v>0</v>
      </c>
      <c r="R77" s="4"/>
      <c r="S77" s="16">
        <f>+S31+S50+S57+S74</f>
        <v>0</v>
      </c>
      <c r="T77" s="14"/>
      <c r="U77" s="16">
        <f>+U31+U50+U57+U74</f>
        <v>0</v>
      </c>
      <c r="V77" s="14"/>
      <c r="W77" s="16">
        <f>+W31+W50+W57+W74</f>
        <v>0</v>
      </c>
      <c r="X77" s="14"/>
      <c r="Y77" s="16">
        <f>+Y31+Y50+Y57+Y74</f>
        <v>0</v>
      </c>
      <c r="Z77" s="14"/>
      <c r="AA77" s="16">
        <f>+AA31+AA50+AA57+AA74</f>
        <v>0</v>
      </c>
      <c r="AB77" s="14"/>
      <c r="AC77" s="16">
        <f>+Q77-AA77</f>
        <v>0</v>
      </c>
    </row>
    <row r="78" spans="1:29" x14ac:dyDescent="0.2">
      <c r="A78" s="8"/>
      <c r="C78" s="12"/>
      <c r="D78" s="17"/>
      <c r="E78" s="12"/>
      <c r="F78" s="17"/>
      <c r="G78" s="12"/>
      <c r="H78" s="17"/>
      <c r="I78" s="12"/>
      <c r="J78" s="17"/>
      <c r="K78" s="12"/>
      <c r="L78" s="17"/>
      <c r="M78" s="12"/>
      <c r="N78" s="17"/>
      <c r="O78" s="12"/>
      <c r="P78" s="17"/>
      <c r="Q78" s="14"/>
      <c r="R78" s="17"/>
      <c r="S78" s="14"/>
      <c r="T78" s="17"/>
      <c r="U78" s="14"/>
      <c r="V78" s="17"/>
      <c r="W78" s="14"/>
      <c r="X78" s="17"/>
      <c r="Y78" s="14"/>
      <c r="Z78" s="17"/>
      <c r="AA78" s="14"/>
      <c r="AB78" s="17"/>
      <c r="AC78" s="14"/>
    </row>
    <row r="79" spans="1:29" x14ac:dyDescent="0.2">
      <c r="A79" s="71" t="s">
        <v>11</v>
      </c>
      <c r="B79" s="12"/>
    </row>
    <row r="80" spans="1:29" x14ac:dyDescent="0.2">
      <c r="A80" s="71"/>
      <c r="B80" s="12" t="s">
        <v>12</v>
      </c>
    </row>
    <row r="81" spans="1:29" x14ac:dyDescent="0.2">
      <c r="A81" s="71"/>
      <c r="B81" s="3" t="s">
        <v>148</v>
      </c>
      <c r="C81" s="14">
        <v>0</v>
      </c>
      <c r="E81" s="14">
        <v>0</v>
      </c>
      <c r="G81" s="14">
        <v>0</v>
      </c>
      <c r="I81" s="14">
        <v>0</v>
      </c>
      <c r="K81" s="14">
        <v>0</v>
      </c>
      <c r="M81" s="14">
        <v>0</v>
      </c>
      <c r="O81" s="14">
        <v>0</v>
      </c>
      <c r="Q81" s="14">
        <f t="shared" ref="Q81:Q89" si="21">SUM(C81:P81)</f>
        <v>0</v>
      </c>
      <c r="S81" s="14">
        <f t="shared" ref="S81:S89" si="22">SUMIF($C$9:$P$9,"=Addition",$C81:$P81)</f>
        <v>0</v>
      </c>
      <c r="U81" s="14">
        <f t="shared" ref="U81:U89" si="23">SUMIF($C$9:$P$9,"=Adjustment",$C81:$P81)</f>
        <v>0</v>
      </c>
      <c r="W81" s="14">
        <f t="shared" ref="W81:W89" si="24">SUMIF($C$9:$P$9,"=Transfer",$C81:$P81)</f>
        <v>0</v>
      </c>
      <c r="Y81" s="14">
        <f t="shared" ref="Y81:Y89" si="25">SUMIF($C$9:$P$9,"=Addition",$C81:$P81)</f>
        <v>0</v>
      </c>
      <c r="AA81" s="14">
        <f t="shared" ref="AA81:AA89" si="26">SUM(S81:Y81)</f>
        <v>0</v>
      </c>
      <c r="AC81" s="14">
        <f>+Q81-AA81</f>
        <v>0</v>
      </c>
    </row>
    <row r="82" spans="1:29" x14ac:dyDescent="0.2">
      <c r="A82" s="71"/>
      <c r="B82" s="3" t="s">
        <v>149</v>
      </c>
      <c r="C82" s="14">
        <v>0</v>
      </c>
      <c r="E82" s="14">
        <v>0</v>
      </c>
      <c r="G82" s="14">
        <v>0</v>
      </c>
      <c r="I82" s="14">
        <v>0</v>
      </c>
      <c r="K82" s="14">
        <v>0</v>
      </c>
      <c r="M82" s="14">
        <v>0</v>
      </c>
      <c r="O82" s="14">
        <v>0</v>
      </c>
      <c r="Q82" s="14">
        <f t="shared" si="21"/>
        <v>0</v>
      </c>
      <c r="S82" s="14">
        <f t="shared" si="22"/>
        <v>0</v>
      </c>
      <c r="U82" s="14">
        <f t="shared" si="23"/>
        <v>0</v>
      </c>
      <c r="W82" s="14">
        <f t="shared" si="24"/>
        <v>0</v>
      </c>
      <c r="Y82" s="14">
        <f t="shared" si="25"/>
        <v>0</v>
      </c>
      <c r="AA82" s="14">
        <f t="shared" si="26"/>
        <v>0</v>
      </c>
      <c r="AC82" s="14">
        <f t="shared" ref="AC82:AC89" si="27">+Q82-AA82</f>
        <v>0</v>
      </c>
    </row>
    <row r="83" spans="1:29" x14ac:dyDescent="0.2">
      <c r="A83" s="71"/>
      <c r="B83" s="3" t="s">
        <v>150</v>
      </c>
      <c r="C83" s="14">
        <v>0</v>
      </c>
      <c r="E83" s="14">
        <v>0</v>
      </c>
      <c r="G83" s="14">
        <v>0</v>
      </c>
      <c r="I83" s="14">
        <v>0</v>
      </c>
      <c r="K83" s="14">
        <v>0</v>
      </c>
      <c r="M83" s="14">
        <v>0</v>
      </c>
      <c r="O83" s="14">
        <v>0</v>
      </c>
      <c r="Q83" s="14">
        <f t="shared" si="21"/>
        <v>0</v>
      </c>
      <c r="S83" s="14">
        <f t="shared" si="22"/>
        <v>0</v>
      </c>
      <c r="U83" s="14">
        <f t="shared" si="23"/>
        <v>0</v>
      </c>
      <c r="W83" s="14">
        <f t="shared" si="24"/>
        <v>0</v>
      </c>
      <c r="Y83" s="14">
        <f t="shared" si="25"/>
        <v>0</v>
      </c>
      <c r="AA83" s="14">
        <f t="shared" si="26"/>
        <v>0</v>
      </c>
      <c r="AC83" s="14">
        <f t="shared" si="27"/>
        <v>0</v>
      </c>
    </row>
    <row r="84" spans="1:29" x14ac:dyDescent="0.2">
      <c r="A84" s="71"/>
      <c r="B84" s="3" t="s">
        <v>151</v>
      </c>
      <c r="C84" s="14">
        <v>0</v>
      </c>
      <c r="E84" s="14">
        <v>0</v>
      </c>
      <c r="G84" s="14">
        <v>0</v>
      </c>
      <c r="I84" s="14">
        <v>0</v>
      </c>
      <c r="K84" s="14">
        <v>0</v>
      </c>
      <c r="M84" s="14">
        <v>0</v>
      </c>
      <c r="O84" s="14">
        <v>0</v>
      </c>
      <c r="Q84" s="14">
        <f t="shared" si="21"/>
        <v>0</v>
      </c>
      <c r="S84" s="14">
        <f t="shared" si="22"/>
        <v>0</v>
      </c>
      <c r="U84" s="14">
        <f t="shared" si="23"/>
        <v>0</v>
      </c>
      <c r="W84" s="14">
        <f t="shared" si="24"/>
        <v>0</v>
      </c>
      <c r="Y84" s="14">
        <f t="shared" si="25"/>
        <v>0</v>
      </c>
      <c r="AA84" s="14">
        <f t="shared" si="26"/>
        <v>0</v>
      </c>
      <c r="AC84" s="14">
        <f t="shared" si="27"/>
        <v>0</v>
      </c>
    </row>
    <row r="85" spans="1:29" x14ac:dyDescent="0.2">
      <c r="A85" s="71"/>
      <c r="B85" s="3" t="s">
        <v>152</v>
      </c>
      <c r="C85" s="14">
        <v>0</v>
      </c>
      <c r="E85" s="14">
        <v>0</v>
      </c>
      <c r="G85" s="14">
        <v>0</v>
      </c>
      <c r="I85" s="14">
        <v>0</v>
      </c>
      <c r="K85" s="14">
        <v>0</v>
      </c>
      <c r="M85" s="14">
        <v>0</v>
      </c>
      <c r="O85" s="14">
        <v>0</v>
      </c>
      <c r="Q85" s="14">
        <f t="shared" si="21"/>
        <v>0</v>
      </c>
      <c r="S85" s="14">
        <f t="shared" si="22"/>
        <v>0</v>
      </c>
      <c r="U85" s="14">
        <f t="shared" si="23"/>
        <v>0</v>
      </c>
      <c r="W85" s="14">
        <f t="shared" si="24"/>
        <v>0</v>
      </c>
      <c r="Y85" s="14">
        <f t="shared" si="25"/>
        <v>0</v>
      </c>
      <c r="AA85" s="14">
        <f t="shared" si="26"/>
        <v>0</v>
      </c>
      <c r="AC85" s="14">
        <f t="shared" si="27"/>
        <v>0</v>
      </c>
    </row>
    <row r="86" spans="1:29" x14ac:dyDescent="0.2">
      <c r="A86" s="71"/>
      <c r="B86" s="3" t="s">
        <v>153</v>
      </c>
      <c r="C86" s="14">
        <v>0</v>
      </c>
      <c r="E86" s="14">
        <v>0</v>
      </c>
      <c r="G86" s="14">
        <v>0</v>
      </c>
      <c r="I86" s="14">
        <v>0</v>
      </c>
      <c r="K86" s="14">
        <v>0</v>
      </c>
      <c r="M86" s="14">
        <v>0</v>
      </c>
      <c r="O86" s="14">
        <v>0</v>
      </c>
      <c r="Q86" s="14">
        <f t="shared" si="21"/>
        <v>0</v>
      </c>
      <c r="S86" s="14">
        <f t="shared" si="22"/>
        <v>0</v>
      </c>
      <c r="U86" s="14">
        <f t="shared" si="23"/>
        <v>0</v>
      </c>
      <c r="W86" s="14">
        <f t="shared" si="24"/>
        <v>0</v>
      </c>
      <c r="Y86" s="14">
        <f t="shared" si="25"/>
        <v>0</v>
      </c>
      <c r="AA86" s="14">
        <f t="shared" si="26"/>
        <v>0</v>
      </c>
      <c r="AC86" s="14">
        <f t="shared" si="27"/>
        <v>0</v>
      </c>
    </row>
    <row r="87" spans="1:29" x14ac:dyDescent="0.2">
      <c r="A87" s="71"/>
      <c r="B87" s="3" t="s">
        <v>154</v>
      </c>
      <c r="C87" s="14">
        <v>0</v>
      </c>
      <c r="E87" s="14">
        <v>0</v>
      </c>
      <c r="G87" s="14">
        <v>0</v>
      </c>
      <c r="I87" s="14">
        <v>0</v>
      </c>
      <c r="K87" s="14">
        <v>0</v>
      </c>
      <c r="M87" s="14">
        <v>0</v>
      </c>
      <c r="O87" s="14">
        <v>0</v>
      </c>
      <c r="Q87" s="14">
        <f t="shared" si="21"/>
        <v>0</v>
      </c>
      <c r="S87" s="14">
        <f t="shared" si="22"/>
        <v>0</v>
      </c>
      <c r="U87" s="14">
        <f t="shared" si="23"/>
        <v>0</v>
      </c>
      <c r="W87" s="14">
        <f t="shared" si="24"/>
        <v>0</v>
      </c>
      <c r="Y87" s="14">
        <f t="shared" si="25"/>
        <v>0</v>
      </c>
      <c r="AA87" s="14">
        <f t="shared" si="26"/>
        <v>0</v>
      </c>
      <c r="AC87" s="14">
        <f t="shared" si="27"/>
        <v>0</v>
      </c>
    </row>
    <row r="88" spans="1:29" x14ac:dyDescent="0.2">
      <c r="A88" s="71"/>
      <c r="B88" s="3" t="s">
        <v>155</v>
      </c>
      <c r="C88" s="14">
        <v>0</v>
      </c>
      <c r="E88" s="14">
        <v>0</v>
      </c>
      <c r="G88" s="14">
        <v>0</v>
      </c>
      <c r="I88" s="14">
        <v>0</v>
      </c>
      <c r="K88" s="14">
        <v>0</v>
      </c>
      <c r="M88" s="14">
        <v>0</v>
      </c>
      <c r="O88" s="14">
        <v>0</v>
      </c>
      <c r="Q88" s="14">
        <f t="shared" si="21"/>
        <v>0</v>
      </c>
      <c r="S88" s="14">
        <f t="shared" si="22"/>
        <v>0</v>
      </c>
      <c r="U88" s="14">
        <f t="shared" si="23"/>
        <v>0</v>
      </c>
      <c r="W88" s="14">
        <f t="shared" si="24"/>
        <v>0</v>
      </c>
      <c r="Y88" s="14">
        <f t="shared" si="25"/>
        <v>0</v>
      </c>
      <c r="AA88" s="14">
        <f t="shared" si="26"/>
        <v>0</v>
      </c>
      <c r="AC88" s="14">
        <f t="shared" si="27"/>
        <v>0</v>
      </c>
    </row>
    <row r="89" spans="1:29" x14ac:dyDescent="0.2">
      <c r="A89" s="71"/>
      <c r="B89" s="3" t="s">
        <v>160</v>
      </c>
      <c r="C89" s="14">
        <v>0</v>
      </c>
      <c r="E89" s="14">
        <v>0</v>
      </c>
      <c r="G89" s="14">
        <v>0</v>
      </c>
      <c r="I89" s="14">
        <v>0</v>
      </c>
      <c r="K89" s="14">
        <v>0</v>
      </c>
      <c r="M89" s="14">
        <v>0</v>
      </c>
      <c r="O89" s="14">
        <v>0</v>
      </c>
      <c r="Q89" s="14">
        <f t="shared" si="21"/>
        <v>0</v>
      </c>
      <c r="S89" s="14">
        <f t="shared" si="22"/>
        <v>0</v>
      </c>
      <c r="U89" s="14">
        <f t="shared" si="23"/>
        <v>0</v>
      </c>
      <c r="W89" s="14">
        <f t="shared" si="24"/>
        <v>0</v>
      </c>
      <c r="Y89" s="14">
        <f t="shared" si="25"/>
        <v>0</v>
      </c>
      <c r="AA89" s="14">
        <f t="shared" si="26"/>
        <v>0</v>
      </c>
      <c r="AC89" s="14">
        <f t="shared" si="27"/>
        <v>0</v>
      </c>
    </row>
    <row r="90" spans="1:29" x14ac:dyDescent="0.2">
      <c r="A90" s="71"/>
      <c r="B90" s="74" t="s">
        <v>238</v>
      </c>
      <c r="C90" s="18">
        <f>SUM(C81:C89)</f>
        <v>0</v>
      </c>
      <c r="E90" s="18">
        <f>SUM(E81:E89)</f>
        <v>0</v>
      </c>
      <c r="G90" s="18">
        <f>SUM(G81:G89)</f>
        <v>0</v>
      </c>
      <c r="I90" s="18">
        <f>SUM(I81:I89)</f>
        <v>0</v>
      </c>
      <c r="K90" s="18">
        <f>SUM(K81:K89)</f>
        <v>0</v>
      </c>
      <c r="M90" s="18">
        <f>SUM(M81:M89)</f>
        <v>0</v>
      </c>
      <c r="O90" s="18">
        <f>SUM(O81:O89)</f>
        <v>0</v>
      </c>
      <c r="Q90" s="18">
        <f>SUM(Q81:Q89)</f>
        <v>0</v>
      </c>
      <c r="S90" s="18">
        <f>SUM(S81:S89)</f>
        <v>0</v>
      </c>
      <c r="U90" s="18">
        <f>SUM(U81:U89)</f>
        <v>0</v>
      </c>
      <c r="W90" s="18">
        <f>SUM(W81:W89)</f>
        <v>0</v>
      </c>
      <c r="Y90" s="18">
        <f>SUM(Y81:Y89)</f>
        <v>0</v>
      </c>
      <c r="AA90" s="18">
        <f>SUM(AA81:AA89)</f>
        <v>0</v>
      </c>
      <c r="AC90" s="18">
        <f>+Q90-AA90</f>
        <v>0</v>
      </c>
    </row>
    <row r="91" spans="1:29" x14ac:dyDescent="0.2">
      <c r="A91" s="71"/>
      <c r="C91" s="14"/>
      <c r="E91" s="14"/>
      <c r="G91" s="14"/>
      <c r="I91" s="14"/>
      <c r="K91" s="14"/>
      <c r="M91" s="14"/>
      <c r="O91" s="14"/>
      <c r="Q91" s="14"/>
      <c r="S91" s="14"/>
      <c r="U91" s="14"/>
      <c r="W91" s="14"/>
      <c r="Y91" s="14"/>
      <c r="AA91" s="14"/>
      <c r="AC91" s="14"/>
    </row>
    <row r="92" spans="1:29" x14ac:dyDescent="0.2">
      <c r="A92" s="71"/>
      <c r="B92" s="12" t="s">
        <v>13</v>
      </c>
      <c r="C92" s="14"/>
      <c r="E92" s="14"/>
      <c r="G92" s="14"/>
      <c r="I92" s="14"/>
      <c r="K92" s="14"/>
      <c r="M92" s="14"/>
      <c r="O92" s="14"/>
      <c r="Q92" s="14"/>
      <c r="S92" s="14"/>
      <c r="U92" s="14"/>
      <c r="W92" s="14"/>
      <c r="Y92" s="14"/>
      <c r="AA92" s="14"/>
      <c r="AC92" s="14"/>
    </row>
    <row r="93" spans="1:29" x14ac:dyDescent="0.2">
      <c r="A93" s="71"/>
      <c r="B93" s="3" t="s">
        <v>165</v>
      </c>
      <c r="C93" s="14">
        <v>0</v>
      </c>
      <c r="E93" s="14">
        <v>0</v>
      </c>
      <c r="G93" s="14">
        <v>0</v>
      </c>
      <c r="I93" s="14">
        <v>0</v>
      </c>
      <c r="K93" s="14">
        <v>0</v>
      </c>
      <c r="M93" s="14">
        <v>0</v>
      </c>
      <c r="O93" s="14">
        <v>0</v>
      </c>
      <c r="Q93" s="14">
        <f>SUM(C93:P93)</f>
        <v>0</v>
      </c>
      <c r="S93" s="14">
        <f>SUMIF($C$9:$P$9,"=Addition",$C93:$P93)</f>
        <v>0</v>
      </c>
      <c r="U93" s="14">
        <f>SUMIF($C$9:$P$9,"=Adjustment",$C93:$P93)</f>
        <v>0</v>
      </c>
      <c r="W93" s="14">
        <f>SUMIF($C$9:$P$9,"=Transfer",$C93:$P93)</f>
        <v>0</v>
      </c>
      <c r="Y93" s="14">
        <f>SUMIF($C$9:$P$9,"=Addition",$C93:$P93)</f>
        <v>0</v>
      </c>
      <c r="AA93" s="14">
        <f>SUM(S93:Y93)</f>
        <v>0</v>
      </c>
      <c r="AC93" s="14">
        <f>+Q93-AA93</f>
        <v>0</v>
      </c>
    </row>
    <row r="94" spans="1:29" x14ac:dyDescent="0.2">
      <c r="A94" s="71"/>
      <c r="B94" s="3" t="s">
        <v>174</v>
      </c>
      <c r="C94" s="14">
        <v>0</v>
      </c>
      <c r="E94" s="14">
        <v>0</v>
      </c>
      <c r="G94" s="14">
        <v>0</v>
      </c>
      <c r="I94" s="14">
        <v>0</v>
      </c>
      <c r="K94" s="14">
        <v>0</v>
      </c>
      <c r="M94" s="14">
        <v>0</v>
      </c>
      <c r="O94" s="14">
        <v>0</v>
      </c>
      <c r="Q94" s="14">
        <f>SUM(C94:P94)</f>
        <v>0</v>
      </c>
      <c r="S94" s="14">
        <f>SUMIF($C$9:$P$9,"=Addition",$C94:$P94)</f>
        <v>0</v>
      </c>
      <c r="U94" s="14">
        <f>SUMIF($C$9:$P$9,"=Adjustment",$C94:$P94)</f>
        <v>0</v>
      </c>
      <c r="W94" s="14">
        <f>SUMIF($C$9:$P$9,"=Transfer",$C94:$P94)</f>
        <v>0</v>
      </c>
      <c r="Y94" s="14">
        <f>SUMIF($C$9:$P$9,"=Addition",$C94:$P94)</f>
        <v>0</v>
      </c>
      <c r="AA94" s="14">
        <f>SUM(S94:Y94)</f>
        <v>0</v>
      </c>
      <c r="AC94" s="14">
        <f>+Q94-AA94</f>
        <v>0</v>
      </c>
    </row>
    <row r="95" spans="1:29" x14ac:dyDescent="0.2">
      <c r="A95" s="71"/>
      <c r="B95" s="3" t="s">
        <v>176</v>
      </c>
      <c r="C95" s="14">
        <v>0</v>
      </c>
      <c r="E95" s="14">
        <v>0</v>
      </c>
      <c r="G95" s="14">
        <v>0</v>
      </c>
      <c r="I95" s="14">
        <v>0</v>
      </c>
      <c r="K95" s="14">
        <v>0</v>
      </c>
      <c r="M95" s="14">
        <v>0</v>
      </c>
      <c r="O95" s="14">
        <v>0</v>
      </c>
      <c r="Q95" s="14">
        <f>SUM(C95:P95)</f>
        <v>0</v>
      </c>
      <c r="S95" s="14">
        <f>SUMIF($C$9:$P$9,"=Addition",$C95:$P95)</f>
        <v>0</v>
      </c>
      <c r="U95" s="14">
        <f>SUMIF($C$9:$P$9,"=Adjustment",$C95:$P95)</f>
        <v>0</v>
      </c>
      <c r="W95" s="14">
        <f>SUMIF($C$9:$P$9,"=Transfer",$C95:$P95)</f>
        <v>0</v>
      </c>
      <c r="Y95" s="14">
        <f>SUMIF($C$9:$P$9,"=Addition",$C95:$P95)</f>
        <v>0</v>
      </c>
      <c r="AA95" s="14">
        <f>SUM(S95:Y95)</f>
        <v>0</v>
      </c>
      <c r="AC95" s="14">
        <f>+Q95-AA95</f>
        <v>0</v>
      </c>
    </row>
    <row r="96" spans="1:29" x14ac:dyDescent="0.2">
      <c r="A96" s="71"/>
      <c r="B96" s="43" t="s">
        <v>177</v>
      </c>
      <c r="C96" s="14">
        <v>0</v>
      </c>
      <c r="E96" s="14">
        <v>0</v>
      </c>
      <c r="G96" s="14">
        <v>0</v>
      </c>
      <c r="I96" s="14">
        <v>0</v>
      </c>
      <c r="K96" s="14">
        <v>0</v>
      </c>
      <c r="M96" s="14">
        <v>0</v>
      </c>
      <c r="O96" s="14">
        <v>0</v>
      </c>
      <c r="Q96" s="14">
        <f>SUM(C96:P96)</f>
        <v>0</v>
      </c>
      <c r="S96" s="14">
        <f>SUMIF($C$9:$P$9,"=Addition",$C96:$P96)</f>
        <v>0</v>
      </c>
      <c r="U96" s="14">
        <f>SUMIF($C$9:$P$9,"=Adjustment",$C96:$P96)</f>
        <v>0</v>
      </c>
      <c r="W96" s="14">
        <f>SUMIF($C$9:$P$9,"=Transfer",$C96:$P96)</f>
        <v>0</v>
      </c>
      <c r="Y96" s="14">
        <f>SUMIF($C$9:$P$9,"=Addition",$C96:$P96)</f>
        <v>0</v>
      </c>
      <c r="AA96" s="14">
        <f>SUM(S96:Y96)</f>
        <v>0</v>
      </c>
      <c r="AC96" s="14">
        <f>+Q96-AA96</f>
        <v>0</v>
      </c>
    </row>
    <row r="97" spans="1:29" x14ac:dyDescent="0.2">
      <c r="A97" s="71"/>
      <c r="B97" s="43" t="s">
        <v>178</v>
      </c>
      <c r="C97" s="14">
        <v>0</v>
      </c>
      <c r="E97" s="14">
        <v>0</v>
      </c>
      <c r="G97" s="14">
        <v>0</v>
      </c>
      <c r="I97" s="14">
        <v>0</v>
      </c>
      <c r="K97" s="14">
        <v>0</v>
      </c>
      <c r="M97" s="14">
        <v>0</v>
      </c>
      <c r="O97" s="14">
        <v>0</v>
      </c>
      <c r="Q97" s="14">
        <f>SUM(C97:P97)</f>
        <v>0</v>
      </c>
      <c r="S97" s="14">
        <f>SUMIF($C$9:$P$9,"=Addition",$C97:$P97)</f>
        <v>0</v>
      </c>
      <c r="U97" s="14">
        <f>SUMIF($C$9:$P$9,"=Adjustment",$C97:$P97)</f>
        <v>0</v>
      </c>
      <c r="W97" s="14">
        <f>SUMIF($C$9:$P$9,"=Transfer",$C97:$P97)</f>
        <v>0</v>
      </c>
      <c r="Y97" s="14">
        <f>SUMIF($C$9:$P$9,"=Addition",$C97:$P97)</f>
        <v>0</v>
      </c>
      <c r="AA97" s="14">
        <f>SUM(S97:Y97)</f>
        <v>0</v>
      </c>
      <c r="AC97" s="14">
        <f>+Q97-AA97</f>
        <v>0</v>
      </c>
    </row>
    <row r="98" spans="1:29" x14ac:dyDescent="0.2">
      <c r="A98" s="71"/>
      <c r="B98" s="74" t="s">
        <v>239</v>
      </c>
      <c r="C98" s="18">
        <f>SUM(C93:C97)</f>
        <v>0</v>
      </c>
      <c r="E98" s="18">
        <f>SUM(E93:E97)</f>
        <v>0</v>
      </c>
      <c r="G98" s="18">
        <f>SUM(G93:G97)</f>
        <v>0</v>
      </c>
      <c r="I98" s="18">
        <f>SUM(I93:I97)</f>
        <v>0</v>
      </c>
      <c r="K98" s="18">
        <f>SUM(K93:K97)</f>
        <v>0</v>
      </c>
      <c r="M98" s="18">
        <f>SUM(M93:M97)</f>
        <v>0</v>
      </c>
      <c r="O98" s="18">
        <f>SUM(O93:O97)</f>
        <v>0</v>
      </c>
      <c r="Q98" s="18">
        <f>SUM(Q93:Q97)</f>
        <v>0</v>
      </c>
      <c r="S98" s="18">
        <f>SUM(S93:S97)</f>
        <v>0</v>
      </c>
      <c r="U98" s="18">
        <f>SUM(U93:U97)</f>
        <v>0</v>
      </c>
      <c r="W98" s="18">
        <f>SUM(W93:W97)</f>
        <v>0</v>
      </c>
      <c r="Y98" s="18">
        <f>SUM(Y93:Y97)</f>
        <v>0</v>
      </c>
      <c r="AA98" s="18">
        <f>SUM(AA93:AA97)</f>
        <v>0</v>
      </c>
      <c r="AC98" s="18">
        <f>+Q98+AA98</f>
        <v>0</v>
      </c>
    </row>
    <row r="99" spans="1:29" x14ac:dyDescent="0.2">
      <c r="A99" s="71"/>
      <c r="C99" s="14"/>
      <c r="E99" s="14"/>
      <c r="G99" s="14"/>
      <c r="I99" s="14"/>
      <c r="K99" s="14"/>
      <c r="M99" s="14"/>
      <c r="O99" s="14"/>
      <c r="Q99" s="14"/>
      <c r="S99" s="14"/>
      <c r="U99" s="14"/>
      <c r="W99" s="14"/>
      <c r="Y99" s="14"/>
      <c r="AA99" s="14"/>
      <c r="AC99" s="14"/>
    </row>
    <row r="100" spans="1:29" x14ac:dyDescent="0.2">
      <c r="A100" s="8"/>
      <c r="B100" s="12" t="s">
        <v>18</v>
      </c>
      <c r="C100" s="14"/>
      <c r="E100" s="14"/>
      <c r="G100" s="14"/>
      <c r="I100" s="14"/>
      <c r="K100" s="14"/>
      <c r="M100" s="14"/>
      <c r="O100" s="14"/>
      <c r="Q100" s="14"/>
      <c r="S100" s="14"/>
      <c r="U100" s="14"/>
      <c r="W100" s="14"/>
      <c r="Y100" s="14"/>
      <c r="AA100" s="14"/>
      <c r="AC100" s="14"/>
    </row>
    <row r="101" spans="1:29" x14ac:dyDescent="0.2">
      <c r="A101" s="8"/>
      <c r="B101" s="3" t="s">
        <v>223</v>
      </c>
      <c r="C101" s="14">
        <v>0</v>
      </c>
      <c r="E101" s="14">
        <v>0</v>
      </c>
      <c r="G101" s="14">
        <v>0</v>
      </c>
      <c r="I101" s="14">
        <v>0</v>
      </c>
      <c r="K101" s="14">
        <v>0</v>
      </c>
      <c r="M101" s="14">
        <v>0</v>
      </c>
      <c r="O101" s="14">
        <v>0</v>
      </c>
      <c r="Q101" s="14">
        <f>SUM(C101:P101)</f>
        <v>0</v>
      </c>
      <c r="S101" s="14">
        <f>SUMIF($C$9:$P$9,"=Addition",$C101:$P101)</f>
        <v>0</v>
      </c>
      <c r="U101" s="14">
        <f>SUMIF($C$9:$P$9,"=Adjustment",$C101:$P101)</f>
        <v>0</v>
      </c>
      <c r="W101" s="14">
        <f>SUMIF($C$9:$P$9,"=Transfer",$C101:$P101)</f>
        <v>0</v>
      </c>
      <c r="Y101" s="14">
        <f>SUMIF($C$9:$P$9,"=Addition",$C101:$P101)</f>
        <v>0</v>
      </c>
      <c r="AA101" s="14">
        <f>SUM(S101:Y101)</f>
        <v>0</v>
      </c>
      <c r="AC101" s="14">
        <f>+Q101-AA101</f>
        <v>0</v>
      </c>
    </row>
    <row r="102" spans="1:29" x14ac:dyDescent="0.2">
      <c r="A102" s="8"/>
      <c r="B102" s="3" t="s">
        <v>225</v>
      </c>
      <c r="C102" s="14">
        <v>0</v>
      </c>
      <c r="E102" s="14">
        <v>0</v>
      </c>
      <c r="G102" s="14">
        <v>0</v>
      </c>
      <c r="I102" s="14">
        <v>0</v>
      </c>
      <c r="K102" s="14">
        <v>0</v>
      </c>
      <c r="M102" s="14">
        <v>0</v>
      </c>
      <c r="O102" s="14">
        <v>0</v>
      </c>
      <c r="Q102" s="14">
        <f>SUM(C102:P102)</f>
        <v>0</v>
      </c>
      <c r="S102" s="14">
        <f>SUMIF($C$9:$P$9,"=Addition",$C102:$P102)</f>
        <v>0</v>
      </c>
      <c r="U102" s="14">
        <f>SUMIF($C$9:$P$9,"=Adjustment",$C102:$P102)</f>
        <v>0</v>
      </c>
      <c r="W102" s="14">
        <f>SUMIF($C$9:$P$9,"=Transfer",$C102:$P102)</f>
        <v>0</v>
      </c>
      <c r="Y102" s="14">
        <f>SUMIF($C$9:$P$9,"=Addition",$C102:$P102)</f>
        <v>0</v>
      </c>
      <c r="AA102" s="14">
        <f>SUM(S102:Y102)</f>
        <v>0</v>
      </c>
      <c r="AC102" s="14">
        <f>+Q102-AA102</f>
        <v>0</v>
      </c>
    </row>
    <row r="103" spans="1:29" x14ac:dyDescent="0.2">
      <c r="A103" s="8"/>
      <c r="B103" s="3" t="s">
        <v>229</v>
      </c>
      <c r="C103" s="14">
        <v>0</v>
      </c>
      <c r="E103" s="14">
        <v>0</v>
      </c>
      <c r="G103" s="14">
        <v>0</v>
      </c>
      <c r="I103" s="14">
        <v>0</v>
      </c>
      <c r="K103" s="14">
        <v>0</v>
      </c>
      <c r="M103" s="14">
        <v>0</v>
      </c>
      <c r="O103" s="14">
        <v>0</v>
      </c>
      <c r="Q103" s="14">
        <f>SUM(C103:P103)</f>
        <v>0</v>
      </c>
      <c r="S103" s="14">
        <f>SUMIF($C$9:$P$9,"=Addition",$C103:$P103)</f>
        <v>0</v>
      </c>
      <c r="U103" s="14">
        <f>SUMIF($C$9:$P$9,"=Adjustment",$C103:$P103)</f>
        <v>0</v>
      </c>
      <c r="W103" s="14">
        <f>SUMIF($C$9:$P$9,"=Transfer",$C103:$P103)</f>
        <v>0</v>
      </c>
      <c r="Y103" s="14">
        <f>SUMIF($C$9:$P$9,"=Addition",$C103:$P103)</f>
        <v>0</v>
      </c>
      <c r="AA103" s="14">
        <f>SUM(S103:Y103)</f>
        <v>0</v>
      </c>
      <c r="AC103" s="14">
        <f>+Q103-AA103</f>
        <v>0</v>
      </c>
    </row>
    <row r="104" spans="1:29" x14ac:dyDescent="0.2">
      <c r="A104" s="8"/>
      <c r="B104" s="3" t="s">
        <v>230</v>
      </c>
      <c r="C104" s="14">
        <v>0</v>
      </c>
      <c r="E104" s="14">
        <v>0</v>
      </c>
      <c r="G104" s="14">
        <v>0</v>
      </c>
      <c r="I104" s="14">
        <v>0</v>
      </c>
      <c r="K104" s="14">
        <v>0</v>
      </c>
      <c r="M104" s="14">
        <v>0</v>
      </c>
      <c r="O104" s="14">
        <v>0</v>
      </c>
      <c r="Q104" s="14">
        <f>SUM(C104:P104)</f>
        <v>0</v>
      </c>
      <c r="S104" s="14">
        <f>SUMIF($C$9:$P$9,"=Addition",$C104:$P104)</f>
        <v>0</v>
      </c>
      <c r="U104" s="14">
        <f>SUMIF($C$9:$P$9,"=Adjustment",$C104:$P104)</f>
        <v>0</v>
      </c>
      <c r="W104" s="14">
        <f>SUMIF($C$9:$P$9,"=Transfer",$C104:$P104)</f>
        <v>0</v>
      </c>
      <c r="Y104" s="14">
        <f>SUMIF($C$9:$P$9,"=Addition",$C104:$P104)</f>
        <v>0</v>
      </c>
      <c r="AA104" s="14">
        <f>SUM(S104:Y104)</f>
        <v>0</v>
      </c>
      <c r="AC104" s="14">
        <f>+Q104-AA104</f>
        <v>0</v>
      </c>
    </row>
    <row r="105" spans="1:29" ht="13.5" customHeight="1" x14ac:dyDescent="0.2">
      <c r="A105" s="8"/>
      <c r="B105" s="74" t="s">
        <v>244</v>
      </c>
      <c r="C105" s="18">
        <f>SUM(C101:C104)</f>
        <v>0</v>
      </c>
      <c r="E105" s="18">
        <f>SUM(E101:E104)</f>
        <v>0</v>
      </c>
      <c r="G105" s="18">
        <f>SUM(G101:G104)</f>
        <v>0</v>
      </c>
      <c r="I105" s="18">
        <f>SUM(I101:I104)</f>
        <v>0</v>
      </c>
      <c r="K105" s="18">
        <f>SUM(K101:K104)</f>
        <v>0</v>
      </c>
      <c r="M105" s="18">
        <f>SUM(M101:M104)</f>
        <v>0</v>
      </c>
      <c r="O105" s="18">
        <f>SUM(O101:O104)</f>
        <v>0</v>
      </c>
      <c r="Q105" s="18">
        <f>SUM(Q101:Q104)</f>
        <v>0</v>
      </c>
      <c r="S105" s="18">
        <f>SUM(S101:S104)</f>
        <v>0</v>
      </c>
      <c r="U105" s="18">
        <f>SUM(U101:U104)</f>
        <v>0</v>
      </c>
      <c r="W105" s="18">
        <f>SUM(W101:W104)</f>
        <v>0</v>
      </c>
      <c r="Y105" s="18">
        <f>SUM(Y101:Y104)</f>
        <v>0</v>
      </c>
      <c r="AA105" s="18">
        <f>SUM(AA101:AA104)</f>
        <v>0</v>
      </c>
      <c r="AC105" s="18">
        <f>+Q105+AA105</f>
        <v>0</v>
      </c>
    </row>
    <row r="106" spans="1:29" ht="13.5" customHeight="1" x14ac:dyDescent="0.2">
      <c r="A106" s="8"/>
      <c r="B106" s="74"/>
      <c r="C106" s="17"/>
      <c r="E106" s="17"/>
      <c r="G106" s="17"/>
      <c r="I106" s="17"/>
      <c r="K106" s="17"/>
      <c r="M106" s="17"/>
      <c r="O106" s="17"/>
      <c r="Q106" s="17"/>
      <c r="S106" s="17"/>
      <c r="U106" s="17"/>
      <c r="W106" s="17"/>
      <c r="Y106" s="17"/>
      <c r="AA106" s="17"/>
      <c r="AC106" s="17"/>
    </row>
    <row r="107" spans="1:29" x14ac:dyDescent="0.2">
      <c r="A107" s="8"/>
      <c r="B107" s="74" t="s">
        <v>26</v>
      </c>
      <c r="C107" s="16">
        <f>+C90+C98+C105</f>
        <v>0</v>
      </c>
      <c r="D107" s="14"/>
      <c r="E107" s="16">
        <f>+E90+E98+E105</f>
        <v>0</v>
      </c>
      <c r="F107" s="14"/>
      <c r="G107" s="16">
        <f>+G90+G98+G105</f>
        <v>0</v>
      </c>
      <c r="H107" s="14"/>
      <c r="I107" s="16">
        <f>+I90+I98+I105</f>
        <v>0</v>
      </c>
      <c r="J107" s="14"/>
      <c r="K107" s="16">
        <f>+K90+K98+K105</f>
        <v>0</v>
      </c>
      <c r="L107" s="14"/>
      <c r="M107" s="16">
        <f>+M90+M98+M105</f>
        <v>0</v>
      </c>
      <c r="N107" s="14"/>
      <c r="O107" s="16">
        <f>+O90+O98+O105</f>
        <v>0</v>
      </c>
      <c r="P107" s="14"/>
      <c r="Q107" s="16">
        <f>+Q90+Q98+Q105</f>
        <v>0</v>
      </c>
      <c r="S107" s="16">
        <f>+S90+S98++S105</f>
        <v>0</v>
      </c>
      <c r="T107" s="14"/>
      <c r="U107" s="16">
        <f>+U90+U98+U105</f>
        <v>0</v>
      </c>
      <c r="V107" s="14"/>
      <c r="W107" s="16">
        <f>+W90+W98+W105</f>
        <v>0</v>
      </c>
      <c r="X107" s="14"/>
      <c r="Y107" s="16">
        <f>+Y90+Y98+Y105</f>
        <v>0</v>
      </c>
      <c r="Z107" s="14"/>
      <c r="AA107" s="16">
        <f>+AA90+AA98+AA105</f>
        <v>0</v>
      </c>
      <c r="AB107" s="14"/>
      <c r="AC107" s="16">
        <f>+Q107-AA107</f>
        <v>0</v>
      </c>
    </row>
    <row r="108" spans="1:29" x14ac:dyDescent="0.2">
      <c r="A108" s="8"/>
      <c r="B108" s="12"/>
      <c r="C108" s="17"/>
      <c r="D108" s="14"/>
      <c r="E108" s="17"/>
      <c r="F108" s="14"/>
      <c r="G108" s="17"/>
      <c r="H108" s="14"/>
      <c r="I108" s="17"/>
      <c r="J108" s="14"/>
      <c r="K108" s="17"/>
      <c r="L108" s="14"/>
      <c r="M108" s="17"/>
      <c r="N108" s="14"/>
      <c r="O108" s="17"/>
      <c r="P108" s="14"/>
      <c r="Q108" s="17"/>
      <c r="R108" s="146"/>
      <c r="S108" s="17"/>
      <c r="T108" s="14"/>
      <c r="U108" s="17"/>
      <c r="V108" s="14"/>
      <c r="W108" s="17"/>
      <c r="X108" s="14"/>
      <c r="Y108" s="17"/>
      <c r="Z108" s="14"/>
      <c r="AA108" s="17"/>
      <c r="AB108" s="14"/>
      <c r="AC108" s="17"/>
    </row>
    <row r="109" spans="1:29" ht="13.5" thickBot="1" x14ac:dyDescent="0.25">
      <c r="A109" s="8"/>
      <c r="B109" s="12" t="s">
        <v>245</v>
      </c>
      <c r="C109" s="78">
        <f>C77+C107</f>
        <v>0</v>
      </c>
      <c r="D109" s="78">
        <f t="shared" ref="D109:AB109" si="28">D77+D107</f>
        <v>0</v>
      </c>
      <c r="E109" s="78">
        <f t="shared" si="28"/>
        <v>0</v>
      </c>
      <c r="F109" s="78">
        <f t="shared" si="28"/>
        <v>0</v>
      </c>
      <c r="G109" s="78">
        <f>G77+G107</f>
        <v>0</v>
      </c>
      <c r="H109" s="78">
        <f t="shared" si="28"/>
        <v>0</v>
      </c>
      <c r="I109" s="78">
        <f t="shared" si="28"/>
        <v>0</v>
      </c>
      <c r="J109" s="78">
        <f t="shared" si="28"/>
        <v>0</v>
      </c>
      <c r="K109" s="78">
        <f t="shared" si="28"/>
        <v>0</v>
      </c>
      <c r="L109" s="78">
        <f t="shared" si="28"/>
        <v>0</v>
      </c>
      <c r="M109" s="78">
        <f t="shared" si="28"/>
        <v>0</v>
      </c>
      <c r="N109" s="78">
        <f t="shared" si="28"/>
        <v>0</v>
      </c>
      <c r="O109" s="78">
        <f t="shared" si="28"/>
        <v>0</v>
      </c>
      <c r="P109" s="78">
        <f t="shared" si="28"/>
        <v>0</v>
      </c>
      <c r="Q109" s="78">
        <f t="shared" si="28"/>
        <v>0</v>
      </c>
      <c r="R109" s="17"/>
      <c r="S109" s="78">
        <f t="shared" si="28"/>
        <v>0</v>
      </c>
      <c r="T109" s="78">
        <f t="shared" si="28"/>
        <v>0</v>
      </c>
      <c r="U109" s="78">
        <f t="shared" si="28"/>
        <v>0</v>
      </c>
      <c r="V109" s="78">
        <f t="shared" si="28"/>
        <v>0</v>
      </c>
      <c r="W109" s="78">
        <f t="shared" si="28"/>
        <v>0</v>
      </c>
      <c r="X109" s="78">
        <f t="shared" si="28"/>
        <v>0</v>
      </c>
      <c r="Y109" s="78">
        <f t="shared" si="28"/>
        <v>0</v>
      </c>
      <c r="Z109" s="78">
        <f t="shared" si="28"/>
        <v>0</v>
      </c>
      <c r="AA109" s="78">
        <f t="shared" si="28"/>
        <v>0</v>
      </c>
      <c r="AB109" s="78">
        <f t="shared" si="28"/>
        <v>0</v>
      </c>
      <c r="AC109" s="78">
        <f>AC77-AC107</f>
        <v>0</v>
      </c>
    </row>
    <row r="110" spans="1:29" ht="13.5" thickTop="1" x14ac:dyDescent="0.2">
      <c r="A110" s="8"/>
      <c r="B110" s="12"/>
      <c r="C110" s="17"/>
      <c r="D110" s="14"/>
      <c r="E110" s="17"/>
      <c r="F110" s="14"/>
      <c r="G110" s="17"/>
      <c r="H110" s="14"/>
      <c r="I110" s="17"/>
      <c r="J110" s="14"/>
      <c r="K110" s="17"/>
      <c r="L110" s="14"/>
      <c r="M110" s="17"/>
      <c r="N110" s="14"/>
      <c r="O110" s="17"/>
      <c r="P110" s="14"/>
      <c r="Q110" s="17"/>
      <c r="R110" s="146"/>
      <c r="S110" s="17"/>
      <c r="T110" s="14"/>
      <c r="U110" s="17"/>
      <c r="V110" s="14"/>
      <c r="W110" s="17"/>
      <c r="X110" s="14"/>
      <c r="Y110" s="17"/>
      <c r="Z110" s="14"/>
      <c r="AA110" s="17"/>
      <c r="AB110" s="14"/>
      <c r="AC110" s="17"/>
    </row>
    <row r="111" spans="1:29" x14ac:dyDescent="0.2">
      <c r="A111" s="8"/>
      <c r="B111" s="12"/>
      <c r="C111" s="17"/>
      <c r="D111" s="14"/>
      <c r="E111" s="17"/>
      <c r="F111" s="14"/>
      <c r="G111" s="17"/>
      <c r="H111" s="14"/>
      <c r="I111" s="17"/>
      <c r="J111" s="14"/>
      <c r="K111" s="17"/>
      <c r="L111" s="14"/>
      <c r="M111" s="17"/>
      <c r="N111" s="14"/>
      <c r="O111" s="17"/>
      <c r="P111" s="14"/>
      <c r="Q111" s="17"/>
      <c r="R111" s="146"/>
      <c r="S111" s="17"/>
      <c r="T111" s="14"/>
      <c r="U111" s="17"/>
      <c r="V111" s="14"/>
      <c r="W111" s="17"/>
      <c r="X111" s="14"/>
      <c r="Y111" s="17"/>
      <c r="Z111" s="14"/>
      <c r="AA111" s="17"/>
      <c r="AB111" s="14"/>
      <c r="AC111" s="17"/>
    </row>
    <row r="112" spans="1:29" x14ac:dyDescent="0.2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147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29" x14ac:dyDescent="0.2">
      <c r="A113" s="79" t="s">
        <v>256</v>
      </c>
      <c r="B113" s="43" t="s">
        <v>257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spans="1:29" x14ac:dyDescent="0.2">
      <c r="A114" s="80"/>
      <c r="B114" s="76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spans="1:29" x14ac:dyDescent="0.2">
      <c r="A115" s="148"/>
      <c r="B115" s="4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spans="1:29" x14ac:dyDescent="0.2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spans="1:29" x14ac:dyDescent="0.2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spans="1:29" x14ac:dyDescent="0.2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spans="1:29" x14ac:dyDescent="0.2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spans="1:29" x14ac:dyDescent="0.2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spans="1:29" x14ac:dyDescent="0.2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29" x14ac:dyDescent="0.2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spans="1:29" x14ac:dyDescent="0.2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spans="1:29" x14ac:dyDescent="0.2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spans="1:29" x14ac:dyDescent="0.2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spans="1:29" x14ac:dyDescent="0.2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spans="1:29" x14ac:dyDescent="0.2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x14ac:dyDescent="0.2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3:29" x14ac:dyDescent="0.2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3:29" x14ac:dyDescent="0.2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3:29" x14ac:dyDescent="0.2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spans="3:29" x14ac:dyDescent="0.2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spans="3:29" x14ac:dyDescent="0.2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3:29" x14ac:dyDescent="0.2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spans="3:29" x14ac:dyDescent="0.2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spans="3:29" x14ac:dyDescent="0.2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3:29" x14ac:dyDescent="0.2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spans="3:29" x14ac:dyDescent="0.2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spans="3:29" x14ac:dyDescent="0.2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spans="3:29" x14ac:dyDescent="0.2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spans="3:29" x14ac:dyDescent="0.2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spans="3:29" x14ac:dyDescent="0.2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spans="3:29" x14ac:dyDescent="0.2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spans="3:29" x14ac:dyDescent="0.2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spans="3:29" x14ac:dyDescent="0.2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spans="3:29" x14ac:dyDescent="0.2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3:29" x14ac:dyDescent="0.2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spans="3:29" x14ac:dyDescent="0.2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spans="3:29" x14ac:dyDescent="0.2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spans="3:29" x14ac:dyDescent="0.2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spans="3:29" x14ac:dyDescent="0.2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spans="3:29" x14ac:dyDescent="0.2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spans="3:29" x14ac:dyDescent="0.2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spans="3:29" x14ac:dyDescent="0.2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spans="3:29" x14ac:dyDescent="0.2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spans="3:29" x14ac:dyDescent="0.2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3:29" x14ac:dyDescent="0.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spans="3:29" x14ac:dyDescent="0.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spans="3:29" x14ac:dyDescent="0.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3:29" x14ac:dyDescent="0.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spans="3:29" x14ac:dyDescent="0.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spans="3:29" x14ac:dyDescent="0.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3:29" x14ac:dyDescent="0.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spans="3:29" x14ac:dyDescent="0.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spans="3:29" x14ac:dyDescent="0.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3:29" x14ac:dyDescent="0.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spans="3:29" x14ac:dyDescent="0.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spans="3:29" x14ac:dyDescent="0.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3:29" x14ac:dyDescent="0.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spans="3:29" x14ac:dyDescent="0.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spans="3:29" x14ac:dyDescent="0.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3:29" x14ac:dyDescent="0.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spans="3:29" x14ac:dyDescent="0.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spans="3:29" x14ac:dyDescent="0.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3:29" x14ac:dyDescent="0.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spans="3:29" x14ac:dyDescent="0.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3:29" x14ac:dyDescent="0.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3:29" x14ac:dyDescent="0.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spans="3:29" x14ac:dyDescent="0.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spans="3:29" x14ac:dyDescent="0.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3:29" x14ac:dyDescent="0.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spans="3:29" x14ac:dyDescent="0.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spans="3:29" x14ac:dyDescent="0.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3:29" x14ac:dyDescent="0.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spans="3:29" x14ac:dyDescent="0.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spans="3:29" x14ac:dyDescent="0.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3:29" x14ac:dyDescent="0.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3:29" x14ac:dyDescent="0.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spans="3:29" x14ac:dyDescent="0.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3:29" x14ac:dyDescent="0.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spans="3:29" x14ac:dyDescent="0.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spans="3:29" x14ac:dyDescent="0.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3:29" x14ac:dyDescent="0.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spans="3:29" x14ac:dyDescent="0.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spans="3:29" x14ac:dyDescent="0.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3:29" x14ac:dyDescent="0.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spans="3:29" x14ac:dyDescent="0.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spans="3:29" x14ac:dyDescent="0.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3:29" x14ac:dyDescent="0.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spans="3:29" x14ac:dyDescent="0.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spans="3:29" x14ac:dyDescent="0.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spans="3:29" x14ac:dyDescent="0.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spans="3:29" x14ac:dyDescent="0.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spans="3:29" x14ac:dyDescent="0.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spans="3:29" x14ac:dyDescent="0.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spans="3:29" x14ac:dyDescent="0.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spans="3:29" x14ac:dyDescent="0.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spans="3:29" x14ac:dyDescent="0.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3:29" x14ac:dyDescent="0.2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spans="3:29" x14ac:dyDescent="0.2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spans="3:29" x14ac:dyDescent="0.2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3:29" x14ac:dyDescent="0.2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spans="3:29" x14ac:dyDescent="0.2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spans="3:29" x14ac:dyDescent="0.2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3:29" x14ac:dyDescent="0.2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spans="3:29" x14ac:dyDescent="0.2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spans="3:29" x14ac:dyDescent="0.2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3:29" x14ac:dyDescent="0.2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spans="3:29" x14ac:dyDescent="0.2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spans="3:29" x14ac:dyDescent="0.2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3:29" x14ac:dyDescent="0.2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spans="3:29" x14ac:dyDescent="0.2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spans="3:29" x14ac:dyDescent="0.2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3:29" x14ac:dyDescent="0.2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spans="3:29" x14ac:dyDescent="0.2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3:29" x14ac:dyDescent="0.2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3:29" x14ac:dyDescent="0.2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spans="3:29" x14ac:dyDescent="0.2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spans="3:29" x14ac:dyDescent="0.2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spans="3:29" x14ac:dyDescent="0.2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spans="3:29" x14ac:dyDescent="0.2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spans="3:29" x14ac:dyDescent="0.2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spans="3:29" x14ac:dyDescent="0.2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  <row r="234" spans="3:29" x14ac:dyDescent="0.2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</row>
  </sheetData>
  <mergeCells count="3">
    <mergeCell ref="A1:Q1"/>
    <mergeCell ref="A2:Q2"/>
    <mergeCell ref="A3:Q3"/>
  </mergeCells>
  <dataValidations count="1">
    <dataValidation type="list" allowBlank="1" showInputMessage="1" showErrorMessage="1" sqref="O9 C9 M9 G9 I9 K9 E9">
      <formula1>$AC$1:$AC$4</formula1>
    </dataValidation>
  </dataValidation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selection sqref="A1:N1"/>
    </sheetView>
  </sheetViews>
  <sheetFormatPr defaultRowHeight="15.75" x14ac:dyDescent="0.25"/>
  <cols>
    <col min="1" max="1" width="9.140625" style="126"/>
    <col min="2" max="2" width="5.140625" style="126" customWidth="1"/>
    <col min="3" max="3" width="35.28515625" style="126" customWidth="1"/>
    <col min="4" max="4" width="4" style="126" customWidth="1"/>
    <col min="5" max="5" width="14.42578125" style="85" customWidth="1"/>
    <col min="6" max="6" width="2.85546875" style="85" customWidth="1"/>
    <col min="7" max="7" width="14.7109375" style="85" customWidth="1"/>
    <col min="8" max="8" width="2.7109375" style="85" customWidth="1"/>
    <col min="9" max="9" width="14.5703125" style="85" bestFit="1" customWidth="1"/>
    <col min="10" max="10" width="2.28515625" style="126" customWidth="1"/>
    <col min="11" max="11" width="15.28515625" style="126" bestFit="1" customWidth="1"/>
    <col min="12" max="12" width="3.140625" style="126" customWidth="1"/>
    <col min="13" max="13" width="12.28515625" style="126" bestFit="1" customWidth="1"/>
    <col min="14" max="14" width="12" style="126" bestFit="1" customWidth="1"/>
    <col min="15" max="255" width="9.140625" style="126"/>
    <col min="256" max="256" width="5.140625" style="126" customWidth="1"/>
    <col min="257" max="257" width="19.85546875" style="126" customWidth="1"/>
    <col min="258" max="258" width="4" style="126" customWidth="1"/>
    <col min="259" max="259" width="14.42578125" style="126" customWidth="1"/>
    <col min="260" max="260" width="2.85546875" style="126" customWidth="1"/>
    <col min="261" max="261" width="14.7109375" style="126" customWidth="1"/>
    <col min="262" max="262" width="2.7109375" style="126" customWidth="1"/>
    <col min="263" max="263" width="14.5703125" style="126" bestFit="1" customWidth="1"/>
    <col min="264" max="264" width="2.28515625" style="126" customWidth="1"/>
    <col min="265" max="265" width="15.28515625" style="126" bestFit="1" customWidth="1"/>
    <col min="266" max="266" width="13.5703125" style="126" bestFit="1" customWidth="1"/>
    <col min="267" max="267" width="14" style="126" bestFit="1" customWidth="1"/>
    <col min="268" max="268" width="13.42578125" style="126" bestFit="1" customWidth="1"/>
    <col min="269" max="511" width="9.140625" style="126"/>
    <col min="512" max="512" width="5.140625" style="126" customWidth="1"/>
    <col min="513" max="513" width="19.85546875" style="126" customWidth="1"/>
    <col min="514" max="514" width="4" style="126" customWidth="1"/>
    <col min="515" max="515" width="14.42578125" style="126" customWidth="1"/>
    <col min="516" max="516" width="2.85546875" style="126" customWidth="1"/>
    <col min="517" max="517" width="14.7109375" style="126" customWidth="1"/>
    <col min="518" max="518" width="2.7109375" style="126" customWidth="1"/>
    <col min="519" max="519" width="14.5703125" style="126" bestFit="1" customWidth="1"/>
    <col min="520" max="520" width="2.28515625" style="126" customWidth="1"/>
    <col min="521" max="521" width="15.28515625" style="126" bestFit="1" customWidth="1"/>
    <col min="522" max="522" width="13.5703125" style="126" bestFit="1" customWidth="1"/>
    <col min="523" max="523" width="14" style="126" bestFit="1" customWidth="1"/>
    <col min="524" max="524" width="13.42578125" style="126" bestFit="1" customWidth="1"/>
    <col min="525" max="767" width="9.140625" style="126"/>
    <col min="768" max="768" width="5.140625" style="126" customWidth="1"/>
    <col min="769" max="769" width="19.85546875" style="126" customWidth="1"/>
    <col min="770" max="770" width="4" style="126" customWidth="1"/>
    <col min="771" max="771" width="14.42578125" style="126" customWidth="1"/>
    <col min="772" max="772" width="2.85546875" style="126" customWidth="1"/>
    <col min="773" max="773" width="14.7109375" style="126" customWidth="1"/>
    <col min="774" max="774" width="2.7109375" style="126" customWidth="1"/>
    <col min="775" max="775" width="14.5703125" style="126" bestFit="1" customWidth="1"/>
    <col min="776" max="776" width="2.28515625" style="126" customWidth="1"/>
    <col min="777" max="777" width="15.28515625" style="126" bestFit="1" customWidth="1"/>
    <col min="778" max="778" width="13.5703125" style="126" bestFit="1" customWidth="1"/>
    <col min="779" max="779" width="14" style="126" bestFit="1" customWidth="1"/>
    <col min="780" max="780" width="13.42578125" style="126" bestFit="1" customWidth="1"/>
    <col min="781" max="1023" width="9.140625" style="126"/>
    <col min="1024" max="1024" width="5.140625" style="126" customWidth="1"/>
    <col min="1025" max="1025" width="19.85546875" style="126" customWidth="1"/>
    <col min="1026" max="1026" width="4" style="126" customWidth="1"/>
    <col min="1027" max="1027" width="14.42578125" style="126" customWidth="1"/>
    <col min="1028" max="1028" width="2.85546875" style="126" customWidth="1"/>
    <col min="1029" max="1029" width="14.7109375" style="126" customWidth="1"/>
    <col min="1030" max="1030" width="2.7109375" style="126" customWidth="1"/>
    <col min="1031" max="1031" width="14.5703125" style="126" bestFit="1" customWidth="1"/>
    <col min="1032" max="1032" width="2.28515625" style="126" customWidth="1"/>
    <col min="1033" max="1033" width="15.28515625" style="126" bestFit="1" customWidth="1"/>
    <col min="1034" max="1034" width="13.5703125" style="126" bestFit="1" customWidth="1"/>
    <col min="1035" max="1035" width="14" style="126" bestFit="1" customWidth="1"/>
    <col min="1036" max="1036" width="13.42578125" style="126" bestFit="1" customWidth="1"/>
    <col min="1037" max="1279" width="9.140625" style="126"/>
    <col min="1280" max="1280" width="5.140625" style="126" customWidth="1"/>
    <col min="1281" max="1281" width="19.85546875" style="126" customWidth="1"/>
    <col min="1282" max="1282" width="4" style="126" customWidth="1"/>
    <col min="1283" max="1283" width="14.42578125" style="126" customWidth="1"/>
    <col min="1284" max="1284" width="2.85546875" style="126" customWidth="1"/>
    <col min="1285" max="1285" width="14.7109375" style="126" customWidth="1"/>
    <col min="1286" max="1286" width="2.7109375" style="126" customWidth="1"/>
    <col min="1287" max="1287" width="14.5703125" style="126" bestFit="1" customWidth="1"/>
    <col min="1288" max="1288" width="2.28515625" style="126" customWidth="1"/>
    <col min="1289" max="1289" width="15.28515625" style="126" bestFit="1" customWidth="1"/>
    <col min="1290" max="1290" width="13.5703125" style="126" bestFit="1" customWidth="1"/>
    <col min="1291" max="1291" width="14" style="126" bestFit="1" customWidth="1"/>
    <col min="1292" max="1292" width="13.42578125" style="126" bestFit="1" customWidth="1"/>
    <col min="1293" max="1535" width="9.140625" style="126"/>
    <col min="1536" max="1536" width="5.140625" style="126" customWidth="1"/>
    <col min="1537" max="1537" width="19.85546875" style="126" customWidth="1"/>
    <col min="1538" max="1538" width="4" style="126" customWidth="1"/>
    <col min="1539" max="1539" width="14.42578125" style="126" customWidth="1"/>
    <col min="1540" max="1540" width="2.85546875" style="126" customWidth="1"/>
    <col min="1541" max="1541" width="14.7109375" style="126" customWidth="1"/>
    <col min="1542" max="1542" width="2.7109375" style="126" customWidth="1"/>
    <col min="1543" max="1543" width="14.5703125" style="126" bestFit="1" customWidth="1"/>
    <col min="1544" max="1544" width="2.28515625" style="126" customWidth="1"/>
    <col min="1545" max="1545" width="15.28515625" style="126" bestFit="1" customWidth="1"/>
    <col min="1546" max="1546" width="13.5703125" style="126" bestFit="1" customWidth="1"/>
    <col min="1547" max="1547" width="14" style="126" bestFit="1" customWidth="1"/>
    <col min="1548" max="1548" width="13.42578125" style="126" bestFit="1" customWidth="1"/>
    <col min="1549" max="1791" width="9.140625" style="126"/>
    <col min="1792" max="1792" width="5.140625" style="126" customWidth="1"/>
    <col min="1793" max="1793" width="19.85546875" style="126" customWidth="1"/>
    <col min="1794" max="1794" width="4" style="126" customWidth="1"/>
    <col min="1795" max="1795" width="14.42578125" style="126" customWidth="1"/>
    <col min="1796" max="1796" width="2.85546875" style="126" customWidth="1"/>
    <col min="1797" max="1797" width="14.7109375" style="126" customWidth="1"/>
    <col min="1798" max="1798" width="2.7109375" style="126" customWidth="1"/>
    <col min="1799" max="1799" width="14.5703125" style="126" bestFit="1" customWidth="1"/>
    <col min="1800" max="1800" width="2.28515625" style="126" customWidth="1"/>
    <col min="1801" max="1801" width="15.28515625" style="126" bestFit="1" customWidth="1"/>
    <col min="1802" max="1802" width="13.5703125" style="126" bestFit="1" customWidth="1"/>
    <col min="1803" max="1803" width="14" style="126" bestFit="1" customWidth="1"/>
    <col min="1804" max="1804" width="13.42578125" style="126" bestFit="1" customWidth="1"/>
    <col min="1805" max="2047" width="9.140625" style="126"/>
    <col min="2048" max="2048" width="5.140625" style="126" customWidth="1"/>
    <col min="2049" max="2049" width="19.85546875" style="126" customWidth="1"/>
    <col min="2050" max="2050" width="4" style="126" customWidth="1"/>
    <col min="2051" max="2051" width="14.42578125" style="126" customWidth="1"/>
    <col min="2052" max="2052" width="2.85546875" style="126" customWidth="1"/>
    <col min="2053" max="2053" width="14.7109375" style="126" customWidth="1"/>
    <col min="2054" max="2054" width="2.7109375" style="126" customWidth="1"/>
    <col min="2055" max="2055" width="14.5703125" style="126" bestFit="1" customWidth="1"/>
    <col min="2056" max="2056" width="2.28515625" style="126" customWidth="1"/>
    <col min="2057" max="2057" width="15.28515625" style="126" bestFit="1" customWidth="1"/>
    <col min="2058" max="2058" width="13.5703125" style="126" bestFit="1" customWidth="1"/>
    <col min="2059" max="2059" width="14" style="126" bestFit="1" customWidth="1"/>
    <col min="2060" max="2060" width="13.42578125" style="126" bestFit="1" customWidth="1"/>
    <col min="2061" max="2303" width="9.140625" style="126"/>
    <col min="2304" max="2304" width="5.140625" style="126" customWidth="1"/>
    <col min="2305" max="2305" width="19.85546875" style="126" customWidth="1"/>
    <col min="2306" max="2306" width="4" style="126" customWidth="1"/>
    <col min="2307" max="2307" width="14.42578125" style="126" customWidth="1"/>
    <col min="2308" max="2308" width="2.85546875" style="126" customWidth="1"/>
    <col min="2309" max="2309" width="14.7109375" style="126" customWidth="1"/>
    <col min="2310" max="2310" width="2.7109375" style="126" customWidth="1"/>
    <col min="2311" max="2311" width="14.5703125" style="126" bestFit="1" customWidth="1"/>
    <col min="2312" max="2312" width="2.28515625" style="126" customWidth="1"/>
    <col min="2313" max="2313" width="15.28515625" style="126" bestFit="1" customWidth="1"/>
    <col min="2314" max="2314" width="13.5703125" style="126" bestFit="1" customWidth="1"/>
    <col min="2315" max="2315" width="14" style="126" bestFit="1" customWidth="1"/>
    <col min="2316" max="2316" width="13.42578125" style="126" bestFit="1" customWidth="1"/>
    <col min="2317" max="2559" width="9.140625" style="126"/>
    <col min="2560" max="2560" width="5.140625" style="126" customWidth="1"/>
    <col min="2561" max="2561" width="19.85546875" style="126" customWidth="1"/>
    <col min="2562" max="2562" width="4" style="126" customWidth="1"/>
    <col min="2563" max="2563" width="14.42578125" style="126" customWidth="1"/>
    <col min="2564" max="2564" width="2.85546875" style="126" customWidth="1"/>
    <col min="2565" max="2565" width="14.7109375" style="126" customWidth="1"/>
    <col min="2566" max="2566" width="2.7109375" style="126" customWidth="1"/>
    <col min="2567" max="2567" width="14.5703125" style="126" bestFit="1" customWidth="1"/>
    <col min="2568" max="2568" width="2.28515625" style="126" customWidth="1"/>
    <col min="2569" max="2569" width="15.28515625" style="126" bestFit="1" customWidth="1"/>
    <col min="2570" max="2570" width="13.5703125" style="126" bestFit="1" customWidth="1"/>
    <col min="2571" max="2571" width="14" style="126" bestFit="1" customWidth="1"/>
    <col min="2572" max="2572" width="13.42578125" style="126" bestFit="1" customWidth="1"/>
    <col min="2573" max="2815" width="9.140625" style="126"/>
    <col min="2816" max="2816" width="5.140625" style="126" customWidth="1"/>
    <col min="2817" max="2817" width="19.85546875" style="126" customWidth="1"/>
    <col min="2818" max="2818" width="4" style="126" customWidth="1"/>
    <col min="2819" max="2819" width="14.42578125" style="126" customWidth="1"/>
    <col min="2820" max="2820" width="2.85546875" style="126" customWidth="1"/>
    <col min="2821" max="2821" width="14.7109375" style="126" customWidth="1"/>
    <col min="2822" max="2822" width="2.7109375" style="126" customWidth="1"/>
    <col min="2823" max="2823" width="14.5703125" style="126" bestFit="1" customWidth="1"/>
    <col min="2824" max="2824" width="2.28515625" style="126" customWidth="1"/>
    <col min="2825" max="2825" width="15.28515625" style="126" bestFit="1" customWidth="1"/>
    <col min="2826" max="2826" width="13.5703125" style="126" bestFit="1" customWidth="1"/>
    <col min="2827" max="2827" width="14" style="126" bestFit="1" customWidth="1"/>
    <col min="2828" max="2828" width="13.42578125" style="126" bestFit="1" customWidth="1"/>
    <col min="2829" max="3071" width="9.140625" style="126"/>
    <col min="3072" max="3072" width="5.140625" style="126" customWidth="1"/>
    <col min="3073" max="3073" width="19.85546875" style="126" customWidth="1"/>
    <col min="3074" max="3074" width="4" style="126" customWidth="1"/>
    <col min="3075" max="3075" width="14.42578125" style="126" customWidth="1"/>
    <col min="3076" max="3076" width="2.85546875" style="126" customWidth="1"/>
    <col min="3077" max="3077" width="14.7109375" style="126" customWidth="1"/>
    <col min="3078" max="3078" width="2.7109375" style="126" customWidth="1"/>
    <col min="3079" max="3079" width="14.5703125" style="126" bestFit="1" customWidth="1"/>
    <col min="3080" max="3080" width="2.28515625" style="126" customWidth="1"/>
    <col min="3081" max="3081" width="15.28515625" style="126" bestFit="1" customWidth="1"/>
    <col min="3082" max="3082" width="13.5703125" style="126" bestFit="1" customWidth="1"/>
    <col min="3083" max="3083" width="14" style="126" bestFit="1" customWidth="1"/>
    <col min="3084" max="3084" width="13.42578125" style="126" bestFit="1" customWidth="1"/>
    <col min="3085" max="3327" width="9.140625" style="126"/>
    <col min="3328" max="3328" width="5.140625" style="126" customWidth="1"/>
    <col min="3329" max="3329" width="19.85546875" style="126" customWidth="1"/>
    <col min="3330" max="3330" width="4" style="126" customWidth="1"/>
    <col min="3331" max="3331" width="14.42578125" style="126" customWidth="1"/>
    <col min="3332" max="3332" width="2.85546875" style="126" customWidth="1"/>
    <col min="3333" max="3333" width="14.7109375" style="126" customWidth="1"/>
    <col min="3334" max="3334" width="2.7109375" style="126" customWidth="1"/>
    <col min="3335" max="3335" width="14.5703125" style="126" bestFit="1" customWidth="1"/>
    <col min="3336" max="3336" width="2.28515625" style="126" customWidth="1"/>
    <col min="3337" max="3337" width="15.28515625" style="126" bestFit="1" customWidth="1"/>
    <col min="3338" max="3338" width="13.5703125" style="126" bestFit="1" customWidth="1"/>
    <col min="3339" max="3339" width="14" style="126" bestFit="1" customWidth="1"/>
    <col min="3340" max="3340" width="13.42578125" style="126" bestFit="1" customWidth="1"/>
    <col min="3341" max="3583" width="9.140625" style="126"/>
    <col min="3584" max="3584" width="5.140625" style="126" customWidth="1"/>
    <col min="3585" max="3585" width="19.85546875" style="126" customWidth="1"/>
    <col min="3586" max="3586" width="4" style="126" customWidth="1"/>
    <col min="3587" max="3587" width="14.42578125" style="126" customWidth="1"/>
    <col min="3588" max="3588" width="2.85546875" style="126" customWidth="1"/>
    <col min="3589" max="3589" width="14.7109375" style="126" customWidth="1"/>
    <col min="3590" max="3590" width="2.7109375" style="126" customWidth="1"/>
    <col min="3591" max="3591" width="14.5703125" style="126" bestFit="1" customWidth="1"/>
    <col min="3592" max="3592" width="2.28515625" style="126" customWidth="1"/>
    <col min="3593" max="3593" width="15.28515625" style="126" bestFit="1" customWidth="1"/>
    <col min="3594" max="3594" width="13.5703125" style="126" bestFit="1" customWidth="1"/>
    <col min="3595" max="3595" width="14" style="126" bestFit="1" customWidth="1"/>
    <col min="3596" max="3596" width="13.42578125" style="126" bestFit="1" customWidth="1"/>
    <col min="3597" max="3839" width="9.140625" style="126"/>
    <col min="3840" max="3840" width="5.140625" style="126" customWidth="1"/>
    <col min="3841" max="3841" width="19.85546875" style="126" customWidth="1"/>
    <col min="3842" max="3842" width="4" style="126" customWidth="1"/>
    <col min="3843" max="3843" width="14.42578125" style="126" customWidth="1"/>
    <col min="3844" max="3844" width="2.85546875" style="126" customWidth="1"/>
    <col min="3845" max="3845" width="14.7109375" style="126" customWidth="1"/>
    <col min="3846" max="3846" width="2.7109375" style="126" customWidth="1"/>
    <col min="3847" max="3847" width="14.5703125" style="126" bestFit="1" customWidth="1"/>
    <col min="3848" max="3848" width="2.28515625" style="126" customWidth="1"/>
    <col min="3849" max="3849" width="15.28515625" style="126" bestFit="1" customWidth="1"/>
    <col min="3850" max="3850" width="13.5703125" style="126" bestFit="1" customWidth="1"/>
    <col min="3851" max="3851" width="14" style="126" bestFit="1" customWidth="1"/>
    <col min="3852" max="3852" width="13.42578125" style="126" bestFit="1" customWidth="1"/>
    <col min="3853" max="4095" width="9.140625" style="126"/>
    <col min="4096" max="4096" width="5.140625" style="126" customWidth="1"/>
    <col min="4097" max="4097" width="19.85546875" style="126" customWidth="1"/>
    <col min="4098" max="4098" width="4" style="126" customWidth="1"/>
    <col min="4099" max="4099" width="14.42578125" style="126" customWidth="1"/>
    <col min="4100" max="4100" width="2.85546875" style="126" customWidth="1"/>
    <col min="4101" max="4101" width="14.7109375" style="126" customWidth="1"/>
    <col min="4102" max="4102" width="2.7109375" style="126" customWidth="1"/>
    <col min="4103" max="4103" width="14.5703125" style="126" bestFit="1" customWidth="1"/>
    <col min="4104" max="4104" width="2.28515625" style="126" customWidth="1"/>
    <col min="4105" max="4105" width="15.28515625" style="126" bestFit="1" customWidth="1"/>
    <col min="4106" max="4106" width="13.5703125" style="126" bestFit="1" customWidth="1"/>
    <col min="4107" max="4107" width="14" style="126" bestFit="1" customWidth="1"/>
    <col min="4108" max="4108" width="13.42578125" style="126" bestFit="1" customWidth="1"/>
    <col min="4109" max="4351" width="9.140625" style="126"/>
    <col min="4352" max="4352" width="5.140625" style="126" customWidth="1"/>
    <col min="4353" max="4353" width="19.85546875" style="126" customWidth="1"/>
    <col min="4354" max="4354" width="4" style="126" customWidth="1"/>
    <col min="4355" max="4355" width="14.42578125" style="126" customWidth="1"/>
    <col min="4356" max="4356" width="2.85546875" style="126" customWidth="1"/>
    <col min="4357" max="4357" width="14.7109375" style="126" customWidth="1"/>
    <col min="4358" max="4358" width="2.7109375" style="126" customWidth="1"/>
    <col min="4359" max="4359" width="14.5703125" style="126" bestFit="1" customWidth="1"/>
    <col min="4360" max="4360" width="2.28515625" style="126" customWidth="1"/>
    <col min="4361" max="4361" width="15.28515625" style="126" bestFit="1" customWidth="1"/>
    <col min="4362" max="4362" width="13.5703125" style="126" bestFit="1" customWidth="1"/>
    <col min="4363" max="4363" width="14" style="126" bestFit="1" customWidth="1"/>
    <col min="4364" max="4364" width="13.42578125" style="126" bestFit="1" customWidth="1"/>
    <col min="4365" max="4607" width="9.140625" style="126"/>
    <col min="4608" max="4608" width="5.140625" style="126" customWidth="1"/>
    <col min="4609" max="4609" width="19.85546875" style="126" customWidth="1"/>
    <col min="4610" max="4610" width="4" style="126" customWidth="1"/>
    <col min="4611" max="4611" width="14.42578125" style="126" customWidth="1"/>
    <col min="4612" max="4612" width="2.85546875" style="126" customWidth="1"/>
    <col min="4613" max="4613" width="14.7109375" style="126" customWidth="1"/>
    <col min="4614" max="4614" width="2.7109375" style="126" customWidth="1"/>
    <col min="4615" max="4615" width="14.5703125" style="126" bestFit="1" customWidth="1"/>
    <col min="4616" max="4616" width="2.28515625" style="126" customWidth="1"/>
    <col min="4617" max="4617" width="15.28515625" style="126" bestFit="1" customWidth="1"/>
    <col min="4618" max="4618" width="13.5703125" style="126" bestFit="1" customWidth="1"/>
    <col min="4619" max="4619" width="14" style="126" bestFit="1" customWidth="1"/>
    <col min="4620" max="4620" width="13.42578125" style="126" bestFit="1" customWidth="1"/>
    <col min="4621" max="4863" width="9.140625" style="126"/>
    <col min="4864" max="4864" width="5.140625" style="126" customWidth="1"/>
    <col min="4865" max="4865" width="19.85546875" style="126" customWidth="1"/>
    <col min="4866" max="4866" width="4" style="126" customWidth="1"/>
    <col min="4867" max="4867" width="14.42578125" style="126" customWidth="1"/>
    <col min="4868" max="4868" width="2.85546875" style="126" customWidth="1"/>
    <col min="4869" max="4869" width="14.7109375" style="126" customWidth="1"/>
    <col min="4870" max="4870" width="2.7109375" style="126" customWidth="1"/>
    <col min="4871" max="4871" width="14.5703125" style="126" bestFit="1" customWidth="1"/>
    <col min="4872" max="4872" width="2.28515625" style="126" customWidth="1"/>
    <col min="4873" max="4873" width="15.28515625" style="126" bestFit="1" customWidth="1"/>
    <col min="4874" max="4874" width="13.5703125" style="126" bestFit="1" customWidth="1"/>
    <col min="4875" max="4875" width="14" style="126" bestFit="1" customWidth="1"/>
    <col min="4876" max="4876" width="13.42578125" style="126" bestFit="1" customWidth="1"/>
    <col min="4877" max="5119" width="9.140625" style="126"/>
    <col min="5120" max="5120" width="5.140625" style="126" customWidth="1"/>
    <col min="5121" max="5121" width="19.85546875" style="126" customWidth="1"/>
    <col min="5122" max="5122" width="4" style="126" customWidth="1"/>
    <col min="5123" max="5123" width="14.42578125" style="126" customWidth="1"/>
    <col min="5124" max="5124" width="2.85546875" style="126" customWidth="1"/>
    <col min="5125" max="5125" width="14.7109375" style="126" customWidth="1"/>
    <col min="5126" max="5126" width="2.7109375" style="126" customWidth="1"/>
    <col min="5127" max="5127" width="14.5703125" style="126" bestFit="1" customWidth="1"/>
    <col min="5128" max="5128" width="2.28515625" style="126" customWidth="1"/>
    <col min="5129" max="5129" width="15.28515625" style="126" bestFit="1" customWidth="1"/>
    <col min="5130" max="5130" width="13.5703125" style="126" bestFit="1" customWidth="1"/>
    <col min="5131" max="5131" width="14" style="126" bestFit="1" customWidth="1"/>
    <col min="5132" max="5132" width="13.42578125" style="126" bestFit="1" customWidth="1"/>
    <col min="5133" max="5375" width="9.140625" style="126"/>
    <col min="5376" max="5376" width="5.140625" style="126" customWidth="1"/>
    <col min="5377" max="5377" width="19.85546875" style="126" customWidth="1"/>
    <col min="5378" max="5378" width="4" style="126" customWidth="1"/>
    <col min="5379" max="5379" width="14.42578125" style="126" customWidth="1"/>
    <col min="5380" max="5380" width="2.85546875" style="126" customWidth="1"/>
    <col min="5381" max="5381" width="14.7109375" style="126" customWidth="1"/>
    <col min="5382" max="5382" width="2.7109375" style="126" customWidth="1"/>
    <col min="5383" max="5383" width="14.5703125" style="126" bestFit="1" customWidth="1"/>
    <col min="5384" max="5384" width="2.28515625" style="126" customWidth="1"/>
    <col min="5385" max="5385" width="15.28515625" style="126" bestFit="1" customWidth="1"/>
    <col min="5386" max="5386" width="13.5703125" style="126" bestFit="1" customWidth="1"/>
    <col min="5387" max="5387" width="14" style="126" bestFit="1" customWidth="1"/>
    <col min="5388" max="5388" width="13.42578125" style="126" bestFit="1" customWidth="1"/>
    <col min="5389" max="5631" width="9.140625" style="126"/>
    <col min="5632" max="5632" width="5.140625" style="126" customWidth="1"/>
    <col min="5633" max="5633" width="19.85546875" style="126" customWidth="1"/>
    <col min="5634" max="5634" width="4" style="126" customWidth="1"/>
    <col min="5635" max="5635" width="14.42578125" style="126" customWidth="1"/>
    <col min="5636" max="5636" width="2.85546875" style="126" customWidth="1"/>
    <col min="5637" max="5637" width="14.7109375" style="126" customWidth="1"/>
    <col min="5638" max="5638" width="2.7109375" style="126" customWidth="1"/>
    <col min="5639" max="5639" width="14.5703125" style="126" bestFit="1" customWidth="1"/>
    <col min="5640" max="5640" width="2.28515625" style="126" customWidth="1"/>
    <col min="5641" max="5641" width="15.28515625" style="126" bestFit="1" customWidth="1"/>
    <col min="5642" max="5642" width="13.5703125" style="126" bestFit="1" customWidth="1"/>
    <col min="5643" max="5643" width="14" style="126" bestFit="1" customWidth="1"/>
    <col min="5644" max="5644" width="13.42578125" style="126" bestFit="1" customWidth="1"/>
    <col min="5645" max="5887" width="9.140625" style="126"/>
    <col min="5888" max="5888" width="5.140625" style="126" customWidth="1"/>
    <col min="5889" max="5889" width="19.85546875" style="126" customWidth="1"/>
    <col min="5890" max="5890" width="4" style="126" customWidth="1"/>
    <col min="5891" max="5891" width="14.42578125" style="126" customWidth="1"/>
    <col min="5892" max="5892" width="2.85546875" style="126" customWidth="1"/>
    <col min="5893" max="5893" width="14.7109375" style="126" customWidth="1"/>
    <col min="5894" max="5894" width="2.7109375" style="126" customWidth="1"/>
    <col min="5895" max="5895" width="14.5703125" style="126" bestFit="1" customWidth="1"/>
    <col min="5896" max="5896" width="2.28515625" style="126" customWidth="1"/>
    <col min="5897" max="5897" width="15.28515625" style="126" bestFit="1" customWidth="1"/>
    <col min="5898" max="5898" width="13.5703125" style="126" bestFit="1" customWidth="1"/>
    <col min="5899" max="5899" width="14" style="126" bestFit="1" customWidth="1"/>
    <col min="5900" max="5900" width="13.42578125" style="126" bestFit="1" customWidth="1"/>
    <col min="5901" max="6143" width="9.140625" style="126"/>
    <col min="6144" max="6144" width="5.140625" style="126" customWidth="1"/>
    <col min="6145" max="6145" width="19.85546875" style="126" customWidth="1"/>
    <col min="6146" max="6146" width="4" style="126" customWidth="1"/>
    <col min="6147" max="6147" width="14.42578125" style="126" customWidth="1"/>
    <col min="6148" max="6148" width="2.85546875" style="126" customWidth="1"/>
    <col min="6149" max="6149" width="14.7109375" style="126" customWidth="1"/>
    <col min="6150" max="6150" width="2.7109375" style="126" customWidth="1"/>
    <col min="6151" max="6151" width="14.5703125" style="126" bestFit="1" customWidth="1"/>
    <col min="6152" max="6152" width="2.28515625" style="126" customWidth="1"/>
    <col min="6153" max="6153" width="15.28515625" style="126" bestFit="1" customWidth="1"/>
    <col min="6154" max="6154" width="13.5703125" style="126" bestFit="1" customWidth="1"/>
    <col min="6155" max="6155" width="14" style="126" bestFit="1" customWidth="1"/>
    <col min="6156" max="6156" width="13.42578125" style="126" bestFit="1" customWidth="1"/>
    <col min="6157" max="6399" width="9.140625" style="126"/>
    <col min="6400" max="6400" width="5.140625" style="126" customWidth="1"/>
    <col min="6401" max="6401" width="19.85546875" style="126" customWidth="1"/>
    <col min="6402" max="6402" width="4" style="126" customWidth="1"/>
    <col min="6403" max="6403" width="14.42578125" style="126" customWidth="1"/>
    <col min="6404" max="6404" width="2.85546875" style="126" customWidth="1"/>
    <col min="6405" max="6405" width="14.7109375" style="126" customWidth="1"/>
    <col min="6406" max="6406" width="2.7109375" style="126" customWidth="1"/>
    <col min="6407" max="6407" width="14.5703125" style="126" bestFit="1" customWidth="1"/>
    <col min="6408" max="6408" width="2.28515625" style="126" customWidth="1"/>
    <col min="6409" max="6409" width="15.28515625" style="126" bestFit="1" customWidth="1"/>
    <col min="6410" max="6410" width="13.5703125" style="126" bestFit="1" customWidth="1"/>
    <col min="6411" max="6411" width="14" style="126" bestFit="1" customWidth="1"/>
    <col min="6412" max="6412" width="13.42578125" style="126" bestFit="1" customWidth="1"/>
    <col min="6413" max="6655" width="9.140625" style="126"/>
    <col min="6656" max="6656" width="5.140625" style="126" customWidth="1"/>
    <col min="6657" max="6657" width="19.85546875" style="126" customWidth="1"/>
    <col min="6658" max="6658" width="4" style="126" customWidth="1"/>
    <col min="6659" max="6659" width="14.42578125" style="126" customWidth="1"/>
    <col min="6660" max="6660" width="2.85546875" style="126" customWidth="1"/>
    <col min="6661" max="6661" width="14.7109375" style="126" customWidth="1"/>
    <col min="6662" max="6662" width="2.7109375" style="126" customWidth="1"/>
    <col min="6663" max="6663" width="14.5703125" style="126" bestFit="1" customWidth="1"/>
    <col min="6664" max="6664" width="2.28515625" style="126" customWidth="1"/>
    <col min="6665" max="6665" width="15.28515625" style="126" bestFit="1" customWidth="1"/>
    <col min="6666" max="6666" width="13.5703125" style="126" bestFit="1" customWidth="1"/>
    <col min="6667" max="6667" width="14" style="126" bestFit="1" customWidth="1"/>
    <col min="6668" max="6668" width="13.42578125" style="126" bestFit="1" customWidth="1"/>
    <col min="6669" max="6911" width="9.140625" style="126"/>
    <col min="6912" max="6912" width="5.140625" style="126" customWidth="1"/>
    <col min="6913" max="6913" width="19.85546875" style="126" customWidth="1"/>
    <col min="6914" max="6914" width="4" style="126" customWidth="1"/>
    <col min="6915" max="6915" width="14.42578125" style="126" customWidth="1"/>
    <col min="6916" max="6916" width="2.85546875" style="126" customWidth="1"/>
    <col min="6917" max="6917" width="14.7109375" style="126" customWidth="1"/>
    <col min="6918" max="6918" width="2.7109375" style="126" customWidth="1"/>
    <col min="6919" max="6919" width="14.5703125" style="126" bestFit="1" customWidth="1"/>
    <col min="6920" max="6920" width="2.28515625" style="126" customWidth="1"/>
    <col min="6921" max="6921" width="15.28515625" style="126" bestFit="1" customWidth="1"/>
    <col min="6922" max="6922" width="13.5703125" style="126" bestFit="1" customWidth="1"/>
    <col min="6923" max="6923" width="14" style="126" bestFit="1" customWidth="1"/>
    <col min="6924" max="6924" width="13.42578125" style="126" bestFit="1" customWidth="1"/>
    <col min="6925" max="7167" width="9.140625" style="126"/>
    <col min="7168" max="7168" width="5.140625" style="126" customWidth="1"/>
    <col min="7169" max="7169" width="19.85546875" style="126" customWidth="1"/>
    <col min="7170" max="7170" width="4" style="126" customWidth="1"/>
    <col min="7171" max="7171" width="14.42578125" style="126" customWidth="1"/>
    <col min="7172" max="7172" width="2.85546875" style="126" customWidth="1"/>
    <col min="7173" max="7173" width="14.7109375" style="126" customWidth="1"/>
    <col min="7174" max="7174" width="2.7109375" style="126" customWidth="1"/>
    <col min="7175" max="7175" width="14.5703125" style="126" bestFit="1" customWidth="1"/>
    <col min="7176" max="7176" width="2.28515625" style="126" customWidth="1"/>
    <col min="7177" max="7177" width="15.28515625" style="126" bestFit="1" customWidth="1"/>
    <col min="7178" max="7178" width="13.5703125" style="126" bestFit="1" customWidth="1"/>
    <col min="7179" max="7179" width="14" style="126" bestFit="1" customWidth="1"/>
    <col min="7180" max="7180" width="13.42578125" style="126" bestFit="1" customWidth="1"/>
    <col min="7181" max="7423" width="9.140625" style="126"/>
    <col min="7424" max="7424" width="5.140625" style="126" customWidth="1"/>
    <col min="7425" max="7425" width="19.85546875" style="126" customWidth="1"/>
    <col min="7426" max="7426" width="4" style="126" customWidth="1"/>
    <col min="7427" max="7427" width="14.42578125" style="126" customWidth="1"/>
    <col min="7428" max="7428" width="2.85546875" style="126" customWidth="1"/>
    <col min="7429" max="7429" width="14.7109375" style="126" customWidth="1"/>
    <col min="7430" max="7430" width="2.7109375" style="126" customWidth="1"/>
    <col min="7431" max="7431" width="14.5703125" style="126" bestFit="1" customWidth="1"/>
    <col min="7432" max="7432" width="2.28515625" style="126" customWidth="1"/>
    <col min="7433" max="7433" width="15.28515625" style="126" bestFit="1" customWidth="1"/>
    <col min="7434" max="7434" width="13.5703125" style="126" bestFit="1" customWidth="1"/>
    <col min="7435" max="7435" width="14" style="126" bestFit="1" customWidth="1"/>
    <col min="7436" max="7436" width="13.42578125" style="126" bestFit="1" customWidth="1"/>
    <col min="7437" max="7679" width="9.140625" style="126"/>
    <col min="7680" max="7680" width="5.140625" style="126" customWidth="1"/>
    <col min="7681" max="7681" width="19.85546875" style="126" customWidth="1"/>
    <col min="7682" max="7682" width="4" style="126" customWidth="1"/>
    <col min="7683" max="7683" width="14.42578125" style="126" customWidth="1"/>
    <col min="7684" max="7684" width="2.85546875" style="126" customWidth="1"/>
    <col min="7685" max="7685" width="14.7109375" style="126" customWidth="1"/>
    <col min="7686" max="7686" width="2.7109375" style="126" customWidth="1"/>
    <col min="7687" max="7687" width="14.5703125" style="126" bestFit="1" customWidth="1"/>
    <col min="7688" max="7688" width="2.28515625" style="126" customWidth="1"/>
    <col min="7689" max="7689" width="15.28515625" style="126" bestFit="1" customWidth="1"/>
    <col min="7690" max="7690" width="13.5703125" style="126" bestFit="1" customWidth="1"/>
    <col min="7691" max="7691" width="14" style="126" bestFit="1" customWidth="1"/>
    <col min="7692" max="7692" width="13.42578125" style="126" bestFit="1" customWidth="1"/>
    <col min="7693" max="7935" width="9.140625" style="126"/>
    <col min="7936" max="7936" width="5.140625" style="126" customWidth="1"/>
    <col min="7937" max="7937" width="19.85546875" style="126" customWidth="1"/>
    <col min="7938" max="7938" width="4" style="126" customWidth="1"/>
    <col min="7939" max="7939" width="14.42578125" style="126" customWidth="1"/>
    <col min="7940" max="7940" width="2.85546875" style="126" customWidth="1"/>
    <col min="7941" max="7941" width="14.7109375" style="126" customWidth="1"/>
    <col min="7942" max="7942" width="2.7109375" style="126" customWidth="1"/>
    <col min="7943" max="7943" width="14.5703125" style="126" bestFit="1" customWidth="1"/>
    <col min="7944" max="7944" width="2.28515625" style="126" customWidth="1"/>
    <col min="7945" max="7945" width="15.28515625" style="126" bestFit="1" customWidth="1"/>
    <col min="7946" max="7946" width="13.5703125" style="126" bestFit="1" customWidth="1"/>
    <col min="7947" max="7947" width="14" style="126" bestFit="1" customWidth="1"/>
    <col min="7948" max="7948" width="13.42578125" style="126" bestFit="1" customWidth="1"/>
    <col min="7949" max="8191" width="9.140625" style="126"/>
    <col min="8192" max="8192" width="5.140625" style="126" customWidth="1"/>
    <col min="8193" max="8193" width="19.85546875" style="126" customWidth="1"/>
    <col min="8194" max="8194" width="4" style="126" customWidth="1"/>
    <col min="8195" max="8195" width="14.42578125" style="126" customWidth="1"/>
    <col min="8196" max="8196" width="2.85546875" style="126" customWidth="1"/>
    <col min="8197" max="8197" width="14.7109375" style="126" customWidth="1"/>
    <col min="8198" max="8198" width="2.7109375" style="126" customWidth="1"/>
    <col min="8199" max="8199" width="14.5703125" style="126" bestFit="1" customWidth="1"/>
    <col min="8200" max="8200" width="2.28515625" style="126" customWidth="1"/>
    <col min="8201" max="8201" width="15.28515625" style="126" bestFit="1" customWidth="1"/>
    <col min="8202" max="8202" width="13.5703125" style="126" bestFit="1" customWidth="1"/>
    <col min="8203" max="8203" width="14" style="126" bestFit="1" customWidth="1"/>
    <col min="8204" max="8204" width="13.42578125" style="126" bestFit="1" customWidth="1"/>
    <col min="8205" max="8447" width="9.140625" style="126"/>
    <col min="8448" max="8448" width="5.140625" style="126" customWidth="1"/>
    <col min="8449" max="8449" width="19.85546875" style="126" customWidth="1"/>
    <col min="8450" max="8450" width="4" style="126" customWidth="1"/>
    <col min="8451" max="8451" width="14.42578125" style="126" customWidth="1"/>
    <col min="8452" max="8452" width="2.85546875" style="126" customWidth="1"/>
    <col min="8453" max="8453" width="14.7109375" style="126" customWidth="1"/>
    <col min="8454" max="8454" width="2.7109375" style="126" customWidth="1"/>
    <col min="8455" max="8455" width="14.5703125" style="126" bestFit="1" customWidth="1"/>
    <col min="8456" max="8456" width="2.28515625" style="126" customWidth="1"/>
    <col min="8457" max="8457" width="15.28515625" style="126" bestFit="1" customWidth="1"/>
    <col min="8458" max="8458" width="13.5703125" style="126" bestFit="1" customWidth="1"/>
    <col min="8459" max="8459" width="14" style="126" bestFit="1" customWidth="1"/>
    <col min="8460" max="8460" width="13.42578125" style="126" bestFit="1" customWidth="1"/>
    <col min="8461" max="8703" width="9.140625" style="126"/>
    <col min="8704" max="8704" width="5.140625" style="126" customWidth="1"/>
    <col min="8705" max="8705" width="19.85546875" style="126" customWidth="1"/>
    <col min="8706" max="8706" width="4" style="126" customWidth="1"/>
    <col min="8707" max="8707" width="14.42578125" style="126" customWidth="1"/>
    <col min="8708" max="8708" width="2.85546875" style="126" customWidth="1"/>
    <col min="8709" max="8709" width="14.7109375" style="126" customWidth="1"/>
    <col min="8710" max="8710" width="2.7109375" style="126" customWidth="1"/>
    <col min="8711" max="8711" width="14.5703125" style="126" bestFit="1" customWidth="1"/>
    <col min="8712" max="8712" width="2.28515625" style="126" customWidth="1"/>
    <col min="8713" max="8713" width="15.28515625" style="126" bestFit="1" customWidth="1"/>
    <col min="8714" max="8714" width="13.5703125" style="126" bestFit="1" customWidth="1"/>
    <col min="8715" max="8715" width="14" style="126" bestFit="1" customWidth="1"/>
    <col min="8716" max="8716" width="13.42578125" style="126" bestFit="1" customWidth="1"/>
    <col min="8717" max="8959" width="9.140625" style="126"/>
    <col min="8960" max="8960" width="5.140625" style="126" customWidth="1"/>
    <col min="8961" max="8961" width="19.85546875" style="126" customWidth="1"/>
    <col min="8962" max="8962" width="4" style="126" customWidth="1"/>
    <col min="8963" max="8963" width="14.42578125" style="126" customWidth="1"/>
    <col min="8964" max="8964" width="2.85546875" style="126" customWidth="1"/>
    <col min="8965" max="8965" width="14.7109375" style="126" customWidth="1"/>
    <col min="8966" max="8966" width="2.7109375" style="126" customWidth="1"/>
    <col min="8967" max="8967" width="14.5703125" style="126" bestFit="1" customWidth="1"/>
    <col min="8968" max="8968" width="2.28515625" style="126" customWidth="1"/>
    <col min="8969" max="8969" width="15.28515625" style="126" bestFit="1" customWidth="1"/>
    <col min="8970" max="8970" width="13.5703125" style="126" bestFit="1" customWidth="1"/>
    <col min="8971" max="8971" width="14" style="126" bestFit="1" customWidth="1"/>
    <col min="8972" max="8972" width="13.42578125" style="126" bestFit="1" customWidth="1"/>
    <col min="8973" max="9215" width="9.140625" style="126"/>
    <col min="9216" max="9216" width="5.140625" style="126" customWidth="1"/>
    <col min="9217" max="9217" width="19.85546875" style="126" customWidth="1"/>
    <col min="9218" max="9218" width="4" style="126" customWidth="1"/>
    <col min="9219" max="9219" width="14.42578125" style="126" customWidth="1"/>
    <col min="9220" max="9220" width="2.85546875" style="126" customWidth="1"/>
    <col min="9221" max="9221" width="14.7109375" style="126" customWidth="1"/>
    <col min="9222" max="9222" width="2.7109375" style="126" customWidth="1"/>
    <col min="9223" max="9223" width="14.5703125" style="126" bestFit="1" customWidth="1"/>
    <col min="9224" max="9224" width="2.28515625" style="126" customWidth="1"/>
    <col min="9225" max="9225" width="15.28515625" style="126" bestFit="1" customWidth="1"/>
    <col min="9226" max="9226" width="13.5703125" style="126" bestFit="1" customWidth="1"/>
    <col min="9227" max="9227" width="14" style="126" bestFit="1" customWidth="1"/>
    <col min="9228" max="9228" width="13.42578125" style="126" bestFit="1" customWidth="1"/>
    <col min="9229" max="9471" width="9.140625" style="126"/>
    <col min="9472" max="9472" width="5.140625" style="126" customWidth="1"/>
    <col min="9473" max="9473" width="19.85546875" style="126" customWidth="1"/>
    <col min="9474" max="9474" width="4" style="126" customWidth="1"/>
    <col min="9475" max="9475" width="14.42578125" style="126" customWidth="1"/>
    <col min="9476" max="9476" width="2.85546875" style="126" customWidth="1"/>
    <col min="9477" max="9477" width="14.7109375" style="126" customWidth="1"/>
    <col min="9478" max="9478" width="2.7109375" style="126" customWidth="1"/>
    <col min="9479" max="9479" width="14.5703125" style="126" bestFit="1" customWidth="1"/>
    <col min="9480" max="9480" width="2.28515625" style="126" customWidth="1"/>
    <col min="9481" max="9481" width="15.28515625" style="126" bestFit="1" customWidth="1"/>
    <col min="9482" max="9482" width="13.5703125" style="126" bestFit="1" customWidth="1"/>
    <col min="9483" max="9483" width="14" style="126" bestFit="1" customWidth="1"/>
    <col min="9484" max="9484" width="13.42578125" style="126" bestFit="1" customWidth="1"/>
    <col min="9485" max="9727" width="9.140625" style="126"/>
    <col min="9728" max="9728" width="5.140625" style="126" customWidth="1"/>
    <col min="9729" max="9729" width="19.85546875" style="126" customWidth="1"/>
    <col min="9730" max="9730" width="4" style="126" customWidth="1"/>
    <col min="9731" max="9731" width="14.42578125" style="126" customWidth="1"/>
    <col min="9732" max="9732" width="2.85546875" style="126" customWidth="1"/>
    <col min="9733" max="9733" width="14.7109375" style="126" customWidth="1"/>
    <col min="9734" max="9734" width="2.7109375" style="126" customWidth="1"/>
    <col min="9735" max="9735" width="14.5703125" style="126" bestFit="1" customWidth="1"/>
    <col min="9736" max="9736" width="2.28515625" style="126" customWidth="1"/>
    <col min="9737" max="9737" width="15.28515625" style="126" bestFit="1" customWidth="1"/>
    <col min="9738" max="9738" width="13.5703125" style="126" bestFit="1" customWidth="1"/>
    <col min="9739" max="9739" width="14" style="126" bestFit="1" customWidth="1"/>
    <col min="9740" max="9740" width="13.42578125" style="126" bestFit="1" customWidth="1"/>
    <col min="9741" max="9983" width="9.140625" style="126"/>
    <col min="9984" max="9984" width="5.140625" style="126" customWidth="1"/>
    <col min="9985" max="9985" width="19.85546875" style="126" customWidth="1"/>
    <col min="9986" max="9986" width="4" style="126" customWidth="1"/>
    <col min="9987" max="9987" width="14.42578125" style="126" customWidth="1"/>
    <col min="9988" max="9988" width="2.85546875" style="126" customWidth="1"/>
    <col min="9989" max="9989" width="14.7109375" style="126" customWidth="1"/>
    <col min="9990" max="9990" width="2.7109375" style="126" customWidth="1"/>
    <col min="9991" max="9991" width="14.5703125" style="126" bestFit="1" customWidth="1"/>
    <col min="9992" max="9992" width="2.28515625" style="126" customWidth="1"/>
    <col min="9993" max="9993" width="15.28515625" style="126" bestFit="1" customWidth="1"/>
    <col min="9994" max="9994" width="13.5703125" style="126" bestFit="1" customWidth="1"/>
    <col min="9995" max="9995" width="14" style="126" bestFit="1" customWidth="1"/>
    <col min="9996" max="9996" width="13.42578125" style="126" bestFit="1" customWidth="1"/>
    <col min="9997" max="10239" width="9.140625" style="126"/>
    <col min="10240" max="10240" width="5.140625" style="126" customWidth="1"/>
    <col min="10241" max="10241" width="19.85546875" style="126" customWidth="1"/>
    <col min="10242" max="10242" width="4" style="126" customWidth="1"/>
    <col min="10243" max="10243" width="14.42578125" style="126" customWidth="1"/>
    <col min="10244" max="10244" width="2.85546875" style="126" customWidth="1"/>
    <col min="10245" max="10245" width="14.7109375" style="126" customWidth="1"/>
    <col min="10246" max="10246" width="2.7109375" style="126" customWidth="1"/>
    <col min="10247" max="10247" width="14.5703125" style="126" bestFit="1" customWidth="1"/>
    <col min="10248" max="10248" width="2.28515625" style="126" customWidth="1"/>
    <col min="10249" max="10249" width="15.28515625" style="126" bestFit="1" customWidth="1"/>
    <col min="10250" max="10250" width="13.5703125" style="126" bestFit="1" customWidth="1"/>
    <col min="10251" max="10251" width="14" style="126" bestFit="1" customWidth="1"/>
    <col min="10252" max="10252" width="13.42578125" style="126" bestFit="1" customWidth="1"/>
    <col min="10253" max="10495" width="9.140625" style="126"/>
    <col min="10496" max="10496" width="5.140625" style="126" customWidth="1"/>
    <col min="10497" max="10497" width="19.85546875" style="126" customWidth="1"/>
    <col min="10498" max="10498" width="4" style="126" customWidth="1"/>
    <col min="10499" max="10499" width="14.42578125" style="126" customWidth="1"/>
    <col min="10500" max="10500" width="2.85546875" style="126" customWidth="1"/>
    <col min="10501" max="10501" width="14.7109375" style="126" customWidth="1"/>
    <col min="10502" max="10502" width="2.7109375" style="126" customWidth="1"/>
    <col min="10503" max="10503" width="14.5703125" style="126" bestFit="1" customWidth="1"/>
    <col min="10504" max="10504" width="2.28515625" style="126" customWidth="1"/>
    <col min="10505" max="10505" width="15.28515625" style="126" bestFit="1" customWidth="1"/>
    <col min="10506" max="10506" width="13.5703125" style="126" bestFit="1" customWidth="1"/>
    <col min="10507" max="10507" width="14" style="126" bestFit="1" customWidth="1"/>
    <col min="10508" max="10508" width="13.42578125" style="126" bestFit="1" customWidth="1"/>
    <col min="10509" max="10751" width="9.140625" style="126"/>
    <col min="10752" max="10752" width="5.140625" style="126" customWidth="1"/>
    <col min="10753" max="10753" width="19.85546875" style="126" customWidth="1"/>
    <col min="10754" max="10754" width="4" style="126" customWidth="1"/>
    <col min="10755" max="10755" width="14.42578125" style="126" customWidth="1"/>
    <col min="10756" max="10756" width="2.85546875" style="126" customWidth="1"/>
    <col min="10757" max="10757" width="14.7109375" style="126" customWidth="1"/>
    <col min="10758" max="10758" width="2.7109375" style="126" customWidth="1"/>
    <col min="10759" max="10759" width="14.5703125" style="126" bestFit="1" customWidth="1"/>
    <col min="10760" max="10760" width="2.28515625" style="126" customWidth="1"/>
    <col min="10761" max="10761" width="15.28515625" style="126" bestFit="1" customWidth="1"/>
    <col min="10762" max="10762" width="13.5703125" style="126" bestFit="1" customWidth="1"/>
    <col min="10763" max="10763" width="14" style="126" bestFit="1" customWidth="1"/>
    <col min="10764" max="10764" width="13.42578125" style="126" bestFit="1" customWidth="1"/>
    <col min="10765" max="11007" width="9.140625" style="126"/>
    <col min="11008" max="11008" width="5.140625" style="126" customWidth="1"/>
    <col min="11009" max="11009" width="19.85546875" style="126" customWidth="1"/>
    <col min="11010" max="11010" width="4" style="126" customWidth="1"/>
    <col min="11011" max="11011" width="14.42578125" style="126" customWidth="1"/>
    <col min="11012" max="11012" width="2.85546875" style="126" customWidth="1"/>
    <col min="11013" max="11013" width="14.7109375" style="126" customWidth="1"/>
    <col min="11014" max="11014" width="2.7109375" style="126" customWidth="1"/>
    <col min="11015" max="11015" width="14.5703125" style="126" bestFit="1" customWidth="1"/>
    <col min="11016" max="11016" width="2.28515625" style="126" customWidth="1"/>
    <col min="11017" max="11017" width="15.28515625" style="126" bestFit="1" customWidth="1"/>
    <col min="11018" max="11018" width="13.5703125" style="126" bestFit="1" customWidth="1"/>
    <col min="11019" max="11019" width="14" style="126" bestFit="1" customWidth="1"/>
    <col min="11020" max="11020" width="13.42578125" style="126" bestFit="1" customWidth="1"/>
    <col min="11021" max="11263" width="9.140625" style="126"/>
    <col min="11264" max="11264" width="5.140625" style="126" customWidth="1"/>
    <col min="11265" max="11265" width="19.85546875" style="126" customWidth="1"/>
    <col min="11266" max="11266" width="4" style="126" customWidth="1"/>
    <col min="11267" max="11267" width="14.42578125" style="126" customWidth="1"/>
    <col min="11268" max="11268" width="2.85546875" style="126" customWidth="1"/>
    <col min="11269" max="11269" width="14.7109375" style="126" customWidth="1"/>
    <col min="11270" max="11270" width="2.7109375" style="126" customWidth="1"/>
    <col min="11271" max="11271" width="14.5703125" style="126" bestFit="1" customWidth="1"/>
    <col min="11272" max="11272" width="2.28515625" style="126" customWidth="1"/>
    <col min="11273" max="11273" width="15.28515625" style="126" bestFit="1" customWidth="1"/>
    <col min="11274" max="11274" width="13.5703125" style="126" bestFit="1" customWidth="1"/>
    <col min="11275" max="11275" width="14" style="126" bestFit="1" customWidth="1"/>
    <col min="11276" max="11276" width="13.42578125" style="126" bestFit="1" customWidth="1"/>
    <col min="11277" max="11519" width="9.140625" style="126"/>
    <col min="11520" max="11520" width="5.140625" style="126" customWidth="1"/>
    <col min="11521" max="11521" width="19.85546875" style="126" customWidth="1"/>
    <col min="11522" max="11522" width="4" style="126" customWidth="1"/>
    <col min="11523" max="11523" width="14.42578125" style="126" customWidth="1"/>
    <col min="11524" max="11524" width="2.85546875" style="126" customWidth="1"/>
    <col min="11525" max="11525" width="14.7109375" style="126" customWidth="1"/>
    <col min="11526" max="11526" width="2.7109375" style="126" customWidth="1"/>
    <col min="11527" max="11527" width="14.5703125" style="126" bestFit="1" customWidth="1"/>
    <col min="11528" max="11528" width="2.28515625" style="126" customWidth="1"/>
    <col min="11529" max="11529" width="15.28515625" style="126" bestFit="1" customWidth="1"/>
    <col min="11530" max="11530" width="13.5703125" style="126" bestFit="1" customWidth="1"/>
    <col min="11531" max="11531" width="14" style="126" bestFit="1" customWidth="1"/>
    <col min="11532" max="11532" width="13.42578125" style="126" bestFit="1" customWidth="1"/>
    <col min="11533" max="11775" width="9.140625" style="126"/>
    <col min="11776" max="11776" width="5.140625" style="126" customWidth="1"/>
    <col min="11777" max="11777" width="19.85546875" style="126" customWidth="1"/>
    <col min="11778" max="11778" width="4" style="126" customWidth="1"/>
    <col min="11779" max="11779" width="14.42578125" style="126" customWidth="1"/>
    <col min="11780" max="11780" width="2.85546875" style="126" customWidth="1"/>
    <col min="11781" max="11781" width="14.7109375" style="126" customWidth="1"/>
    <col min="11782" max="11782" width="2.7109375" style="126" customWidth="1"/>
    <col min="11783" max="11783" width="14.5703125" style="126" bestFit="1" customWidth="1"/>
    <col min="11784" max="11784" width="2.28515625" style="126" customWidth="1"/>
    <col min="11785" max="11785" width="15.28515625" style="126" bestFit="1" customWidth="1"/>
    <col min="11786" max="11786" width="13.5703125" style="126" bestFit="1" customWidth="1"/>
    <col min="11787" max="11787" width="14" style="126" bestFit="1" customWidth="1"/>
    <col min="11788" max="11788" width="13.42578125" style="126" bestFit="1" customWidth="1"/>
    <col min="11789" max="12031" width="9.140625" style="126"/>
    <col min="12032" max="12032" width="5.140625" style="126" customWidth="1"/>
    <col min="12033" max="12033" width="19.85546875" style="126" customWidth="1"/>
    <col min="12034" max="12034" width="4" style="126" customWidth="1"/>
    <col min="12035" max="12035" width="14.42578125" style="126" customWidth="1"/>
    <col min="12036" max="12036" width="2.85546875" style="126" customWidth="1"/>
    <col min="12037" max="12037" width="14.7109375" style="126" customWidth="1"/>
    <col min="12038" max="12038" width="2.7109375" style="126" customWidth="1"/>
    <col min="12039" max="12039" width="14.5703125" style="126" bestFit="1" customWidth="1"/>
    <col min="12040" max="12040" width="2.28515625" style="126" customWidth="1"/>
    <col min="12041" max="12041" width="15.28515625" style="126" bestFit="1" customWidth="1"/>
    <col min="12042" max="12042" width="13.5703125" style="126" bestFit="1" customWidth="1"/>
    <col min="12043" max="12043" width="14" style="126" bestFit="1" customWidth="1"/>
    <col min="12044" max="12044" width="13.42578125" style="126" bestFit="1" customWidth="1"/>
    <col min="12045" max="12287" width="9.140625" style="126"/>
    <col min="12288" max="12288" width="5.140625" style="126" customWidth="1"/>
    <col min="12289" max="12289" width="19.85546875" style="126" customWidth="1"/>
    <col min="12290" max="12290" width="4" style="126" customWidth="1"/>
    <col min="12291" max="12291" width="14.42578125" style="126" customWidth="1"/>
    <col min="12292" max="12292" width="2.85546875" style="126" customWidth="1"/>
    <col min="12293" max="12293" width="14.7109375" style="126" customWidth="1"/>
    <col min="12294" max="12294" width="2.7109375" style="126" customWidth="1"/>
    <col min="12295" max="12295" width="14.5703125" style="126" bestFit="1" customWidth="1"/>
    <col min="12296" max="12296" width="2.28515625" style="126" customWidth="1"/>
    <col min="12297" max="12297" width="15.28515625" style="126" bestFit="1" customWidth="1"/>
    <col min="12298" max="12298" width="13.5703125" style="126" bestFit="1" customWidth="1"/>
    <col min="12299" max="12299" width="14" style="126" bestFit="1" customWidth="1"/>
    <col min="12300" max="12300" width="13.42578125" style="126" bestFit="1" customWidth="1"/>
    <col min="12301" max="12543" width="9.140625" style="126"/>
    <col min="12544" max="12544" width="5.140625" style="126" customWidth="1"/>
    <col min="12545" max="12545" width="19.85546875" style="126" customWidth="1"/>
    <col min="12546" max="12546" width="4" style="126" customWidth="1"/>
    <col min="12547" max="12547" width="14.42578125" style="126" customWidth="1"/>
    <col min="12548" max="12548" width="2.85546875" style="126" customWidth="1"/>
    <col min="12549" max="12549" width="14.7109375" style="126" customWidth="1"/>
    <col min="12550" max="12550" width="2.7109375" style="126" customWidth="1"/>
    <col min="12551" max="12551" width="14.5703125" style="126" bestFit="1" customWidth="1"/>
    <col min="12552" max="12552" width="2.28515625" style="126" customWidth="1"/>
    <col min="12553" max="12553" width="15.28515625" style="126" bestFit="1" customWidth="1"/>
    <col min="12554" max="12554" width="13.5703125" style="126" bestFit="1" customWidth="1"/>
    <col min="12555" max="12555" width="14" style="126" bestFit="1" customWidth="1"/>
    <col min="12556" max="12556" width="13.42578125" style="126" bestFit="1" customWidth="1"/>
    <col min="12557" max="12799" width="9.140625" style="126"/>
    <col min="12800" max="12800" width="5.140625" style="126" customWidth="1"/>
    <col min="12801" max="12801" width="19.85546875" style="126" customWidth="1"/>
    <col min="12802" max="12802" width="4" style="126" customWidth="1"/>
    <col min="12803" max="12803" width="14.42578125" style="126" customWidth="1"/>
    <col min="12804" max="12804" width="2.85546875" style="126" customWidth="1"/>
    <col min="12805" max="12805" width="14.7109375" style="126" customWidth="1"/>
    <col min="12806" max="12806" width="2.7109375" style="126" customWidth="1"/>
    <col min="12807" max="12807" width="14.5703125" style="126" bestFit="1" customWidth="1"/>
    <col min="12808" max="12808" width="2.28515625" style="126" customWidth="1"/>
    <col min="12809" max="12809" width="15.28515625" style="126" bestFit="1" customWidth="1"/>
    <col min="12810" max="12810" width="13.5703125" style="126" bestFit="1" customWidth="1"/>
    <col min="12811" max="12811" width="14" style="126" bestFit="1" customWidth="1"/>
    <col min="12812" max="12812" width="13.42578125" style="126" bestFit="1" customWidth="1"/>
    <col min="12813" max="13055" width="9.140625" style="126"/>
    <col min="13056" max="13056" width="5.140625" style="126" customWidth="1"/>
    <col min="13057" max="13057" width="19.85546875" style="126" customWidth="1"/>
    <col min="13058" max="13058" width="4" style="126" customWidth="1"/>
    <col min="13059" max="13059" width="14.42578125" style="126" customWidth="1"/>
    <col min="13060" max="13060" width="2.85546875" style="126" customWidth="1"/>
    <col min="13061" max="13061" width="14.7109375" style="126" customWidth="1"/>
    <col min="13062" max="13062" width="2.7109375" style="126" customWidth="1"/>
    <col min="13063" max="13063" width="14.5703125" style="126" bestFit="1" customWidth="1"/>
    <col min="13064" max="13064" width="2.28515625" style="126" customWidth="1"/>
    <col min="13065" max="13065" width="15.28515625" style="126" bestFit="1" customWidth="1"/>
    <col min="13066" max="13066" width="13.5703125" style="126" bestFit="1" customWidth="1"/>
    <col min="13067" max="13067" width="14" style="126" bestFit="1" customWidth="1"/>
    <col min="13068" max="13068" width="13.42578125" style="126" bestFit="1" customWidth="1"/>
    <col min="13069" max="13311" width="9.140625" style="126"/>
    <col min="13312" max="13312" width="5.140625" style="126" customWidth="1"/>
    <col min="13313" max="13313" width="19.85546875" style="126" customWidth="1"/>
    <col min="13314" max="13314" width="4" style="126" customWidth="1"/>
    <col min="13315" max="13315" width="14.42578125" style="126" customWidth="1"/>
    <col min="13316" max="13316" width="2.85546875" style="126" customWidth="1"/>
    <col min="13317" max="13317" width="14.7109375" style="126" customWidth="1"/>
    <col min="13318" max="13318" width="2.7109375" style="126" customWidth="1"/>
    <col min="13319" max="13319" width="14.5703125" style="126" bestFit="1" customWidth="1"/>
    <col min="13320" max="13320" width="2.28515625" style="126" customWidth="1"/>
    <col min="13321" max="13321" width="15.28515625" style="126" bestFit="1" customWidth="1"/>
    <col min="13322" max="13322" width="13.5703125" style="126" bestFit="1" customWidth="1"/>
    <col min="13323" max="13323" width="14" style="126" bestFit="1" customWidth="1"/>
    <col min="13324" max="13324" width="13.42578125" style="126" bestFit="1" customWidth="1"/>
    <col min="13325" max="13567" width="9.140625" style="126"/>
    <col min="13568" max="13568" width="5.140625" style="126" customWidth="1"/>
    <col min="13569" max="13569" width="19.85546875" style="126" customWidth="1"/>
    <col min="13570" max="13570" width="4" style="126" customWidth="1"/>
    <col min="13571" max="13571" width="14.42578125" style="126" customWidth="1"/>
    <col min="13572" max="13572" width="2.85546875" style="126" customWidth="1"/>
    <col min="13573" max="13573" width="14.7109375" style="126" customWidth="1"/>
    <col min="13574" max="13574" width="2.7109375" style="126" customWidth="1"/>
    <col min="13575" max="13575" width="14.5703125" style="126" bestFit="1" customWidth="1"/>
    <col min="13576" max="13576" width="2.28515625" style="126" customWidth="1"/>
    <col min="13577" max="13577" width="15.28515625" style="126" bestFit="1" customWidth="1"/>
    <col min="13578" max="13578" width="13.5703125" style="126" bestFit="1" customWidth="1"/>
    <col min="13579" max="13579" width="14" style="126" bestFit="1" customWidth="1"/>
    <col min="13580" max="13580" width="13.42578125" style="126" bestFit="1" customWidth="1"/>
    <col min="13581" max="13823" width="9.140625" style="126"/>
    <col min="13824" max="13824" width="5.140625" style="126" customWidth="1"/>
    <col min="13825" max="13825" width="19.85546875" style="126" customWidth="1"/>
    <col min="13826" max="13826" width="4" style="126" customWidth="1"/>
    <col min="13827" max="13827" width="14.42578125" style="126" customWidth="1"/>
    <col min="13828" max="13828" width="2.85546875" style="126" customWidth="1"/>
    <col min="13829" max="13829" width="14.7109375" style="126" customWidth="1"/>
    <col min="13830" max="13830" width="2.7109375" style="126" customWidth="1"/>
    <col min="13831" max="13831" width="14.5703125" style="126" bestFit="1" customWidth="1"/>
    <col min="13832" max="13832" width="2.28515625" style="126" customWidth="1"/>
    <col min="13833" max="13833" width="15.28515625" style="126" bestFit="1" customWidth="1"/>
    <col min="13834" max="13834" width="13.5703125" style="126" bestFit="1" customWidth="1"/>
    <col min="13835" max="13835" width="14" style="126" bestFit="1" customWidth="1"/>
    <col min="13836" max="13836" width="13.42578125" style="126" bestFit="1" customWidth="1"/>
    <col min="13837" max="14079" width="9.140625" style="126"/>
    <col min="14080" max="14080" width="5.140625" style="126" customWidth="1"/>
    <col min="14081" max="14081" width="19.85546875" style="126" customWidth="1"/>
    <col min="14082" max="14082" width="4" style="126" customWidth="1"/>
    <col min="14083" max="14083" width="14.42578125" style="126" customWidth="1"/>
    <col min="14084" max="14084" width="2.85546875" style="126" customWidth="1"/>
    <col min="14085" max="14085" width="14.7109375" style="126" customWidth="1"/>
    <col min="14086" max="14086" width="2.7109375" style="126" customWidth="1"/>
    <col min="14087" max="14087" width="14.5703125" style="126" bestFit="1" customWidth="1"/>
    <col min="14088" max="14088" width="2.28515625" style="126" customWidth="1"/>
    <col min="14089" max="14089" width="15.28515625" style="126" bestFit="1" customWidth="1"/>
    <col min="14090" max="14090" width="13.5703125" style="126" bestFit="1" customWidth="1"/>
    <col min="14091" max="14091" width="14" style="126" bestFit="1" customWidth="1"/>
    <col min="14092" max="14092" width="13.42578125" style="126" bestFit="1" customWidth="1"/>
    <col min="14093" max="14335" width="9.140625" style="126"/>
    <col min="14336" max="14336" width="5.140625" style="126" customWidth="1"/>
    <col min="14337" max="14337" width="19.85546875" style="126" customWidth="1"/>
    <col min="14338" max="14338" width="4" style="126" customWidth="1"/>
    <col min="14339" max="14339" width="14.42578125" style="126" customWidth="1"/>
    <col min="14340" max="14340" width="2.85546875" style="126" customWidth="1"/>
    <col min="14341" max="14341" width="14.7109375" style="126" customWidth="1"/>
    <col min="14342" max="14342" width="2.7109375" style="126" customWidth="1"/>
    <col min="14343" max="14343" width="14.5703125" style="126" bestFit="1" customWidth="1"/>
    <col min="14344" max="14344" width="2.28515625" style="126" customWidth="1"/>
    <col min="14345" max="14345" width="15.28515625" style="126" bestFit="1" customWidth="1"/>
    <col min="14346" max="14346" width="13.5703125" style="126" bestFit="1" customWidth="1"/>
    <col min="14347" max="14347" width="14" style="126" bestFit="1" customWidth="1"/>
    <col min="14348" max="14348" width="13.42578125" style="126" bestFit="1" customWidth="1"/>
    <col min="14349" max="14591" width="9.140625" style="126"/>
    <col min="14592" max="14592" width="5.140625" style="126" customWidth="1"/>
    <col min="14593" max="14593" width="19.85546875" style="126" customWidth="1"/>
    <col min="14594" max="14594" width="4" style="126" customWidth="1"/>
    <col min="14595" max="14595" width="14.42578125" style="126" customWidth="1"/>
    <col min="14596" max="14596" width="2.85546875" style="126" customWidth="1"/>
    <col min="14597" max="14597" width="14.7109375" style="126" customWidth="1"/>
    <col min="14598" max="14598" width="2.7109375" style="126" customWidth="1"/>
    <col min="14599" max="14599" width="14.5703125" style="126" bestFit="1" customWidth="1"/>
    <col min="14600" max="14600" width="2.28515625" style="126" customWidth="1"/>
    <col min="14601" max="14601" width="15.28515625" style="126" bestFit="1" customWidth="1"/>
    <col min="14602" max="14602" width="13.5703125" style="126" bestFit="1" customWidth="1"/>
    <col min="14603" max="14603" width="14" style="126" bestFit="1" customWidth="1"/>
    <col min="14604" max="14604" width="13.42578125" style="126" bestFit="1" customWidth="1"/>
    <col min="14605" max="14847" width="9.140625" style="126"/>
    <col min="14848" max="14848" width="5.140625" style="126" customWidth="1"/>
    <col min="14849" max="14849" width="19.85546875" style="126" customWidth="1"/>
    <col min="14850" max="14850" width="4" style="126" customWidth="1"/>
    <col min="14851" max="14851" width="14.42578125" style="126" customWidth="1"/>
    <col min="14852" max="14852" width="2.85546875" style="126" customWidth="1"/>
    <col min="14853" max="14853" width="14.7109375" style="126" customWidth="1"/>
    <col min="14854" max="14854" width="2.7109375" style="126" customWidth="1"/>
    <col min="14855" max="14855" width="14.5703125" style="126" bestFit="1" customWidth="1"/>
    <col min="14856" max="14856" width="2.28515625" style="126" customWidth="1"/>
    <col min="14857" max="14857" width="15.28515625" style="126" bestFit="1" customWidth="1"/>
    <col min="14858" max="14858" width="13.5703125" style="126" bestFit="1" customWidth="1"/>
    <col min="14859" max="14859" width="14" style="126" bestFit="1" customWidth="1"/>
    <col min="14860" max="14860" width="13.42578125" style="126" bestFit="1" customWidth="1"/>
    <col min="14861" max="15103" width="9.140625" style="126"/>
    <col min="15104" max="15104" width="5.140625" style="126" customWidth="1"/>
    <col min="15105" max="15105" width="19.85546875" style="126" customWidth="1"/>
    <col min="15106" max="15106" width="4" style="126" customWidth="1"/>
    <col min="15107" max="15107" width="14.42578125" style="126" customWidth="1"/>
    <col min="15108" max="15108" width="2.85546875" style="126" customWidth="1"/>
    <col min="15109" max="15109" width="14.7109375" style="126" customWidth="1"/>
    <col min="15110" max="15110" width="2.7109375" style="126" customWidth="1"/>
    <col min="15111" max="15111" width="14.5703125" style="126" bestFit="1" customWidth="1"/>
    <col min="15112" max="15112" width="2.28515625" style="126" customWidth="1"/>
    <col min="15113" max="15113" width="15.28515625" style="126" bestFit="1" customWidth="1"/>
    <col min="15114" max="15114" width="13.5703125" style="126" bestFit="1" customWidth="1"/>
    <col min="15115" max="15115" width="14" style="126" bestFit="1" customWidth="1"/>
    <col min="15116" max="15116" width="13.42578125" style="126" bestFit="1" customWidth="1"/>
    <col min="15117" max="15359" width="9.140625" style="126"/>
    <col min="15360" max="15360" width="5.140625" style="126" customWidth="1"/>
    <col min="15361" max="15361" width="19.85546875" style="126" customWidth="1"/>
    <col min="15362" max="15362" width="4" style="126" customWidth="1"/>
    <col min="15363" max="15363" width="14.42578125" style="126" customWidth="1"/>
    <col min="15364" max="15364" width="2.85546875" style="126" customWidth="1"/>
    <col min="15365" max="15365" width="14.7109375" style="126" customWidth="1"/>
    <col min="15366" max="15366" width="2.7109375" style="126" customWidth="1"/>
    <col min="15367" max="15367" width="14.5703125" style="126" bestFit="1" customWidth="1"/>
    <col min="15368" max="15368" width="2.28515625" style="126" customWidth="1"/>
    <col min="15369" max="15369" width="15.28515625" style="126" bestFit="1" customWidth="1"/>
    <col min="15370" max="15370" width="13.5703125" style="126" bestFit="1" customWidth="1"/>
    <col min="15371" max="15371" width="14" style="126" bestFit="1" customWidth="1"/>
    <col min="15372" max="15372" width="13.42578125" style="126" bestFit="1" customWidth="1"/>
    <col min="15373" max="15615" width="9.140625" style="126"/>
    <col min="15616" max="15616" width="5.140625" style="126" customWidth="1"/>
    <col min="15617" max="15617" width="19.85546875" style="126" customWidth="1"/>
    <col min="15618" max="15618" width="4" style="126" customWidth="1"/>
    <col min="15619" max="15619" width="14.42578125" style="126" customWidth="1"/>
    <col min="15620" max="15620" width="2.85546875" style="126" customWidth="1"/>
    <col min="15621" max="15621" width="14.7109375" style="126" customWidth="1"/>
    <col min="15622" max="15622" width="2.7109375" style="126" customWidth="1"/>
    <col min="15623" max="15623" width="14.5703125" style="126" bestFit="1" customWidth="1"/>
    <col min="15624" max="15624" width="2.28515625" style="126" customWidth="1"/>
    <col min="15625" max="15625" width="15.28515625" style="126" bestFit="1" customWidth="1"/>
    <col min="15626" max="15626" width="13.5703125" style="126" bestFit="1" customWidth="1"/>
    <col min="15627" max="15627" width="14" style="126" bestFit="1" customWidth="1"/>
    <col min="15628" max="15628" width="13.42578125" style="126" bestFit="1" customWidth="1"/>
    <col min="15629" max="15871" width="9.140625" style="126"/>
    <col min="15872" max="15872" width="5.140625" style="126" customWidth="1"/>
    <col min="15873" max="15873" width="19.85546875" style="126" customWidth="1"/>
    <col min="15874" max="15874" width="4" style="126" customWidth="1"/>
    <col min="15875" max="15875" width="14.42578125" style="126" customWidth="1"/>
    <col min="15876" max="15876" width="2.85546875" style="126" customWidth="1"/>
    <col min="15877" max="15877" width="14.7109375" style="126" customWidth="1"/>
    <col min="15878" max="15878" width="2.7109375" style="126" customWidth="1"/>
    <col min="15879" max="15879" width="14.5703125" style="126" bestFit="1" customWidth="1"/>
    <col min="15880" max="15880" width="2.28515625" style="126" customWidth="1"/>
    <col min="15881" max="15881" width="15.28515625" style="126" bestFit="1" customWidth="1"/>
    <col min="15882" max="15882" width="13.5703125" style="126" bestFit="1" customWidth="1"/>
    <col min="15883" max="15883" width="14" style="126" bestFit="1" customWidth="1"/>
    <col min="15884" max="15884" width="13.42578125" style="126" bestFit="1" customWidth="1"/>
    <col min="15885" max="16127" width="9.140625" style="126"/>
    <col min="16128" max="16128" width="5.140625" style="126" customWidth="1"/>
    <col min="16129" max="16129" width="19.85546875" style="126" customWidth="1"/>
    <col min="16130" max="16130" width="4" style="126" customWidth="1"/>
    <col min="16131" max="16131" width="14.42578125" style="126" customWidth="1"/>
    <col min="16132" max="16132" width="2.85546875" style="126" customWidth="1"/>
    <col min="16133" max="16133" width="14.7109375" style="126" customWidth="1"/>
    <col min="16134" max="16134" width="2.7109375" style="126" customWidth="1"/>
    <col min="16135" max="16135" width="14.5703125" style="126" bestFit="1" customWidth="1"/>
    <col min="16136" max="16136" width="2.28515625" style="126" customWidth="1"/>
    <col min="16137" max="16137" width="15.28515625" style="126" bestFit="1" customWidth="1"/>
    <col min="16138" max="16138" width="13.5703125" style="126" bestFit="1" customWidth="1"/>
    <col min="16139" max="16139" width="14" style="126" bestFit="1" customWidth="1"/>
    <col min="16140" max="16140" width="13.42578125" style="126" bestFit="1" customWidth="1"/>
    <col min="16141" max="16384" width="9.140625" style="126"/>
  </cols>
  <sheetData>
    <row r="1" spans="1:33" s="126" customFormat="1" x14ac:dyDescent="0.25"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</row>
    <row r="2" spans="1:33" s="126" customFormat="1" x14ac:dyDescent="0.25">
      <c r="B2" s="128" t="s">
        <v>272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33" s="126" customFormat="1" x14ac:dyDescent="0.25">
      <c r="B3" s="129"/>
      <c r="C3" s="129"/>
      <c r="D3" s="129"/>
      <c r="E3" s="130"/>
      <c r="F3" s="130"/>
      <c r="G3" s="130"/>
      <c r="H3" s="130"/>
      <c r="I3" s="130"/>
      <c r="J3" s="129"/>
      <c r="K3" s="129"/>
    </row>
    <row r="4" spans="1:33" s="126" customFormat="1" x14ac:dyDescent="0.25">
      <c r="B4" s="131"/>
      <c r="E4" s="85"/>
      <c r="F4" s="85"/>
      <c r="G4" s="85"/>
      <c r="H4" s="85"/>
      <c r="I4" s="85"/>
    </row>
    <row r="5" spans="1:33" s="126" customFormat="1" x14ac:dyDescent="0.25">
      <c r="E5" s="132" t="s">
        <v>273</v>
      </c>
      <c r="F5" s="85"/>
      <c r="G5" s="132" t="s">
        <v>274</v>
      </c>
      <c r="H5" s="85"/>
      <c r="I5" s="85"/>
      <c r="M5" s="133" t="s">
        <v>275</v>
      </c>
      <c r="N5" s="133" t="s">
        <v>276</v>
      </c>
    </row>
    <row r="6" spans="1:33" s="126" customFormat="1" x14ac:dyDescent="0.25">
      <c r="E6" s="134" t="s">
        <v>277</v>
      </c>
      <c r="F6" s="132"/>
      <c r="G6" s="134" t="s">
        <v>278</v>
      </c>
      <c r="H6" s="132"/>
      <c r="I6" s="134" t="s">
        <v>38</v>
      </c>
      <c r="J6" s="133"/>
      <c r="K6" s="135" t="s">
        <v>279</v>
      </c>
      <c r="M6" s="135" t="s">
        <v>280</v>
      </c>
      <c r="N6" s="135" t="s">
        <v>281</v>
      </c>
    </row>
    <row r="7" spans="1:33" s="126" customFormat="1" x14ac:dyDescent="0.25">
      <c r="B7" s="136"/>
      <c r="E7" s="85"/>
      <c r="F7" s="85"/>
      <c r="G7" s="85"/>
      <c r="H7" s="85"/>
      <c r="I7" s="85"/>
      <c r="K7" s="85"/>
    </row>
    <row r="8" spans="1:33" s="126" customFormat="1" x14ac:dyDescent="0.25">
      <c r="A8" s="137">
        <v>42826</v>
      </c>
      <c r="B8" s="136"/>
      <c r="C8" s="126" t="s">
        <v>282</v>
      </c>
      <c r="D8" s="3"/>
      <c r="E8" s="85">
        <v>13259.09</v>
      </c>
      <c r="F8" s="3"/>
      <c r="G8" s="85"/>
      <c r="H8" s="3"/>
      <c r="I8" s="85">
        <v>-19720.13</v>
      </c>
      <c r="J8" s="3"/>
      <c r="K8" s="85">
        <v>-6461.04</v>
      </c>
      <c r="M8" s="85">
        <f>20450</f>
        <v>20450</v>
      </c>
      <c r="N8" s="133" t="s">
        <v>283</v>
      </c>
    </row>
    <row r="9" spans="1:33" s="126" customFormat="1" x14ac:dyDescent="0.25">
      <c r="A9" s="137"/>
      <c r="B9" s="136"/>
      <c r="E9" s="85"/>
      <c r="F9" s="85"/>
      <c r="G9" s="85"/>
      <c r="H9" s="85"/>
      <c r="I9" s="85"/>
      <c r="K9" s="85"/>
      <c r="M9" s="85"/>
      <c r="N9" s="133"/>
    </row>
    <row r="10" spans="1:33" s="126" customFormat="1" x14ac:dyDescent="0.25">
      <c r="A10" s="137"/>
      <c r="B10" s="136"/>
      <c r="E10" s="85"/>
      <c r="F10" s="85"/>
      <c r="G10" s="85"/>
      <c r="H10" s="85"/>
      <c r="I10" s="85"/>
      <c r="K10" s="85"/>
      <c r="M10" s="85"/>
      <c r="N10" s="133"/>
      <c r="AG10" s="138">
        <f>+'Land_Vehicle Retire P3A (REG)'!E15</f>
        <v>13259.09</v>
      </c>
    </row>
    <row r="11" spans="1:33" s="126" customFormat="1" x14ac:dyDescent="0.25">
      <c r="B11" s="136"/>
      <c r="E11" s="85"/>
      <c r="F11" s="85"/>
      <c r="G11" s="85"/>
      <c r="H11" s="85"/>
      <c r="I11" s="85"/>
    </row>
    <row r="12" spans="1:33" s="126" customFormat="1" x14ac:dyDescent="0.25">
      <c r="E12" s="139">
        <f>SUM(E7:E11)</f>
        <v>13259.09</v>
      </c>
      <c r="F12" s="139"/>
      <c r="G12" s="139">
        <f>SUM(G7:G11)</f>
        <v>0</v>
      </c>
      <c r="H12" s="139"/>
      <c r="I12" s="139">
        <f>SUM(I7:I11)</f>
        <v>-19720.13</v>
      </c>
      <c r="J12" s="140"/>
      <c r="K12" s="139">
        <f>SUM(K8:K10)</f>
        <v>-6461.04</v>
      </c>
    </row>
    <row r="15" spans="1:33" s="126" customFormat="1" ht="16.5" thickBot="1" x14ac:dyDescent="0.3">
      <c r="B15" s="126" t="s">
        <v>284</v>
      </c>
      <c r="E15" s="141">
        <f>E12</f>
        <v>13259.09</v>
      </c>
      <c r="F15" s="85"/>
      <c r="G15" s="141">
        <f>G12</f>
        <v>0</v>
      </c>
      <c r="H15" s="85"/>
      <c r="I15" s="141">
        <f>I12</f>
        <v>-19720.13</v>
      </c>
      <c r="K15" s="141">
        <f>K12</f>
        <v>-6461.04</v>
      </c>
    </row>
    <row r="16" spans="1:33" s="126" customFormat="1" ht="16.5" thickTop="1" x14ac:dyDescent="0.25">
      <c r="E16" s="85"/>
      <c r="F16" s="85"/>
      <c r="G16" s="85"/>
      <c r="H16" s="85"/>
      <c r="I16" s="85"/>
    </row>
    <row r="20" spans="3:9" s="126" customFormat="1" x14ac:dyDescent="0.25">
      <c r="C20" s="126" t="s">
        <v>285</v>
      </c>
      <c r="E20" s="85"/>
      <c r="F20" s="85"/>
      <c r="G20" s="85"/>
      <c r="H20" s="85"/>
      <c r="I20" s="85"/>
    </row>
  </sheetData>
  <mergeCells count="2">
    <mergeCell ref="B1:K1"/>
    <mergeCell ref="B2:K2"/>
  </mergeCells>
  <printOptions horizontalCentered="1"/>
  <pageMargins left="0.75" right="0.75" top="1" bottom="1" header="0.5" footer="0.5"/>
  <pageSetup scale="67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7"/>
  <sheetViews>
    <sheetView zoomScaleNormal="100" workbookViewId="0">
      <selection sqref="A1:N1"/>
    </sheetView>
  </sheetViews>
  <sheetFormatPr defaultRowHeight="12.75" x14ac:dyDescent="0.2"/>
  <cols>
    <col min="1" max="1" width="15.28515625" style="75" bestFit="1" customWidth="1"/>
    <col min="2" max="2" width="50.5703125" style="43" customWidth="1"/>
    <col min="3" max="3" width="21.28515625" style="35" customWidth="1"/>
    <col min="4" max="16384" width="9.140625" style="43"/>
  </cols>
  <sheetData>
    <row r="1" spans="1:3" x14ac:dyDescent="0.2">
      <c r="A1" s="121" t="s">
        <v>286</v>
      </c>
      <c r="B1" s="121"/>
      <c r="C1" s="121"/>
    </row>
    <row r="2" spans="1:3" x14ac:dyDescent="0.2">
      <c r="A2" s="121" t="s">
        <v>287</v>
      </c>
      <c r="B2" s="121"/>
      <c r="C2" s="121"/>
    </row>
    <row r="3" spans="1:3" x14ac:dyDescent="0.2">
      <c r="A3" s="121" t="s">
        <v>4458</v>
      </c>
      <c r="B3" s="121"/>
      <c r="C3" s="121"/>
    </row>
    <row r="5" spans="1:3" x14ac:dyDescent="0.2">
      <c r="A5" s="86" t="s">
        <v>288</v>
      </c>
      <c r="B5" s="28" t="s">
        <v>289</v>
      </c>
      <c r="C5" s="11" t="s">
        <v>89</v>
      </c>
    </row>
    <row r="6" spans="1:3" ht="15" x14ac:dyDescent="0.25">
      <c r="A6" s="122" t="s">
        <v>290</v>
      </c>
      <c r="B6" s="3" t="s">
        <v>291</v>
      </c>
      <c r="C6" s="19">
        <v>17051.29</v>
      </c>
    </row>
    <row r="7" spans="1:3" ht="15" x14ac:dyDescent="0.25">
      <c r="A7" s="122" t="s">
        <v>292</v>
      </c>
      <c r="B7" s="3" t="s">
        <v>293</v>
      </c>
      <c r="C7" s="19">
        <v>45778.380000000005</v>
      </c>
    </row>
    <row r="8" spans="1:3" ht="15" x14ac:dyDescent="0.25">
      <c r="A8" s="122" t="s">
        <v>294</v>
      </c>
      <c r="B8" s="3" t="s">
        <v>295</v>
      </c>
      <c r="C8" s="19">
        <v>6213</v>
      </c>
    </row>
    <row r="9" spans="1:3" ht="15" x14ac:dyDescent="0.25">
      <c r="A9" s="122" t="s">
        <v>296</v>
      </c>
      <c r="B9" s="3" t="s">
        <v>297</v>
      </c>
      <c r="C9" s="19">
        <v>51835.44</v>
      </c>
    </row>
    <row r="10" spans="1:3" ht="15" x14ac:dyDescent="0.25">
      <c r="A10" s="122" t="s">
        <v>298</v>
      </c>
      <c r="B10" s="3" t="s">
        <v>299</v>
      </c>
      <c r="C10" s="19">
        <v>30777</v>
      </c>
    </row>
    <row r="11" spans="1:3" ht="15" x14ac:dyDescent="0.25">
      <c r="A11" s="122" t="s">
        <v>300</v>
      </c>
      <c r="B11" s="3" t="s">
        <v>301</v>
      </c>
      <c r="C11" s="19">
        <v>7613.5199999999995</v>
      </c>
    </row>
    <row r="12" spans="1:3" ht="15" x14ac:dyDescent="0.25">
      <c r="A12" s="122" t="s">
        <v>302</v>
      </c>
      <c r="B12" s="3" t="s">
        <v>303</v>
      </c>
      <c r="C12" s="19">
        <v>814.81</v>
      </c>
    </row>
    <row r="13" spans="1:3" ht="15" x14ac:dyDescent="0.25">
      <c r="A13" s="122" t="s">
        <v>304</v>
      </c>
      <c r="B13" s="3" t="s">
        <v>305</v>
      </c>
      <c r="C13" s="19">
        <v>176720.9899999999</v>
      </c>
    </row>
    <row r="14" spans="1:3" ht="15" x14ac:dyDescent="0.25">
      <c r="A14" s="122" t="s">
        <v>306</v>
      </c>
      <c r="B14" s="3" t="s">
        <v>307</v>
      </c>
      <c r="C14" s="19">
        <v>-1.4210854715202004E-14</v>
      </c>
    </row>
    <row r="15" spans="1:3" ht="15" x14ac:dyDescent="0.25">
      <c r="A15" s="122" t="s">
        <v>308</v>
      </c>
      <c r="B15" s="3" t="s">
        <v>309</v>
      </c>
      <c r="C15" s="19">
        <v>2247.3300000000004</v>
      </c>
    </row>
    <row r="16" spans="1:3" ht="15" x14ac:dyDescent="0.25">
      <c r="A16" s="122" t="s">
        <v>310</v>
      </c>
      <c r="B16" s="3" t="s">
        <v>311</v>
      </c>
      <c r="C16" s="19">
        <v>-11166.86</v>
      </c>
    </row>
    <row r="17" spans="1:3" ht="15" x14ac:dyDescent="0.25">
      <c r="A17" s="122" t="s">
        <v>312</v>
      </c>
      <c r="B17" s="3" t="s">
        <v>313</v>
      </c>
      <c r="C17" s="19">
        <v>1152.52</v>
      </c>
    </row>
    <row r="18" spans="1:3" ht="15" x14ac:dyDescent="0.25">
      <c r="A18" s="122" t="s">
        <v>314</v>
      </c>
      <c r="B18" s="3" t="s">
        <v>315</v>
      </c>
      <c r="C18" s="19">
        <v>832856.14999999991</v>
      </c>
    </row>
    <row r="19" spans="1:3" ht="15" x14ac:dyDescent="0.25">
      <c r="A19" s="122" t="s">
        <v>316</v>
      </c>
      <c r="B19" s="3" t="s">
        <v>317</v>
      </c>
      <c r="C19" s="19">
        <v>-5789.2600000000011</v>
      </c>
    </row>
    <row r="20" spans="1:3" ht="15" x14ac:dyDescent="0.25">
      <c r="A20" s="122" t="s">
        <v>318</v>
      </c>
      <c r="B20" s="3" t="s">
        <v>319</v>
      </c>
      <c r="C20" s="19">
        <v>0</v>
      </c>
    </row>
    <row r="21" spans="1:3" ht="15" x14ac:dyDescent="0.25">
      <c r="A21" s="122" t="s">
        <v>320</v>
      </c>
      <c r="B21" s="3" t="s">
        <v>321</v>
      </c>
      <c r="C21" s="19">
        <v>-76.41</v>
      </c>
    </row>
    <row r="22" spans="1:3" ht="15" x14ac:dyDescent="0.25">
      <c r="A22" s="122" t="s">
        <v>322</v>
      </c>
      <c r="B22" s="3" t="s">
        <v>323</v>
      </c>
      <c r="C22" s="19">
        <v>-53.54</v>
      </c>
    </row>
    <row r="23" spans="1:3" ht="15" x14ac:dyDescent="0.25">
      <c r="A23" s="122" t="s">
        <v>324</v>
      </c>
      <c r="B23" s="3" t="s">
        <v>325</v>
      </c>
      <c r="C23" s="19">
        <v>1.18</v>
      </c>
    </row>
    <row r="24" spans="1:3" ht="15" x14ac:dyDescent="0.25">
      <c r="A24" s="122" t="s">
        <v>326</v>
      </c>
      <c r="B24" s="3" t="s">
        <v>327</v>
      </c>
      <c r="C24" s="19">
        <v>-12001.650000000001</v>
      </c>
    </row>
    <row r="25" spans="1:3" ht="15" x14ac:dyDescent="0.25">
      <c r="A25" s="122" t="s">
        <v>328</v>
      </c>
      <c r="B25" s="3" t="s">
        <v>329</v>
      </c>
      <c r="C25" s="19">
        <v>13519.1</v>
      </c>
    </row>
    <row r="26" spans="1:3" ht="15" x14ac:dyDescent="0.25">
      <c r="A26" s="122" t="s">
        <v>330</v>
      </c>
      <c r="B26" s="3" t="s">
        <v>331</v>
      </c>
      <c r="C26" s="19">
        <v>195</v>
      </c>
    </row>
    <row r="27" spans="1:3" ht="15" x14ac:dyDescent="0.25">
      <c r="A27" s="122" t="s">
        <v>332</v>
      </c>
      <c r="B27" s="3" t="s">
        <v>333</v>
      </c>
      <c r="C27" s="19">
        <v>-18254.09</v>
      </c>
    </row>
    <row r="28" spans="1:3" ht="15" x14ac:dyDescent="0.25">
      <c r="A28" s="122" t="s">
        <v>334</v>
      </c>
      <c r="B28" s="3" t="s">
        <v>335</v>
      </c>
      <c r="C28" s="19">
        <v>-821.61</v>
      </c>
    </row>
    <row r="29" spans="1:3" ht="15" x14ac:dyDescent="0.25">
      <c r="A29" s="122" t="s">
        <v>336</v>
      </c>
      <c r="B29" s="3" t="s">
        <v>337</v>
      </c>
      <c r="C29" s="19">
        <v>0</v>
      </c>
    </row>
    <row r="30" spans="1:3" ht="15" x14ac:dyDescent="0.25">
      <c r="A30" s="122" t="s">
        <v>338</v>
      </c>
      <c r="B30" s="3" t="s">
        <v>339</v>
      </c>
      <c r="C30" s="19">
        <v>769.25</v>
      </c>
    </row>
    <row r="31" spans="1:3" ht="15" x14ac:dyDescent="0.25">
      <c r="A31" s="122" t="s">
        <v>340</v>
      </c>
      <c r="B31" s="3" t="s">
        <v>341</v>
      </c>
      <c r="C31" s="19">
        <v>664.36</v>
      </c>
    </row>
    <row r="32" spans="1:3" ht="15" x14ac:dyDescent="0.25">
      <c r="A32" s="122" t="s">
        <v>342</v>
      </c>
      <c r="B32" s="3" t="s">
        <v>343</v>
      </c>
      <c r="C32" s="19">
        <v>-247.79</v>
      </c>
    </row>
    <row r="33" spans="1:3" ht="15" x14ac:dyDescent="0.25">
      <c r="A33" s="122" t="s">
        <v>344</v>
      </c>
      <c r="B33" s="3" t="s">
        <v>345</v>
      </c>
      <c r="C33" s="19">
        <v>-184.21</v>
      </c>
    </row>
    <row r="34" spans="1:3" ht="15" x14ac:dyDescent="0.25">
      <c r="A34" s="122" t="s">
        <v>346</v>
      </c>
      <c r="B34" s="3" t="s">
        <v>347</v>
      </c>
      <c r="C34" s="19">
        <v>-163.19</v>
      </c>
    </row>
    <row r="35" spans="1:3" ht="15" x14ac:dyDescent="0.25">
      <c r="A35" s="122" t="s">
        <v>348</v>
      </c>
      <c r="B35" s="3" t="s">
        <v>349</v>
      </c>
      <c r="C35" s="19">
        <v>152.29999999999998</v>
      </c>
    </row>
    <row r="36" spans="1:3" ht="15" x14ac:dyDescent="0.25">
      <c r="A36" s="122" t="s">
        <v>350</v>
      </c>
      <c r="B36" s="3" t="s">
        <v>351</v>
      </c>
      <c r="C36" s="19">
        <v>807073.53000000061</v>
      </c>
    </row>
    <row r="37" spans="1:3" ht="15" x14ac:dyDescent="0.25">
      <c r="A37" s="122" t="s">
        <v>352</v>
      </c>
      <c r="B37" s="3" t="s">
        <v>353</v>
      </c>
      <c r="C37" s="19">
        <v>136393.48000000001</v>
      </c>
    </row>
    <row r="38" spans="1:3" ht="15" x14ac:dyDescent="0.25">
      <c r="A38" s="122" t="s">
        <v>354</v>
      </c>
      <c r="B38" s="3" t="s">
        <v>355</v>
      </c>
      <c r="C38" s="19">
        <v>184.79000000000002</v>
      </c>
    </row>
    <row r="39" spans="1:3" ht="15" x14ac:dyDescent="0.25">
      <c r="A39" s="122" t="s">
        <v>356</v>
      </c>
      <c r="B39" s="3" t="s">
        <v>357</v>
      </c>
      <c r="C39" s="19">
        <v>11491.73</v>
      </c>
    </row>
    <row r="40" spans="1:3" ht="15" x14ac:dyDescent="0.25">
      <c r="A40" s="122" t="s">
        <v>358</v>
      </c>
      <c r="B40" s="3" t="s">
        <v>359</v>
      </c>
      <c r="C40" s="19">
        <v>50559.96</v>
      </c>
    </row>
    <row r="41" spans="1:3" ht="15" x14ac:dyDescent="0.25">
      <c r="A41" s="122" t="s">
        <v>360</v>
      </c>
      <c r="B41" s="3" t="s">
        <v>361</v>
      </c>
      <c r="C41" s="19">
        <v>0</v>
      </c>
    </row>
    <row r="42" spans="1:3" ht="15" x14ac:dyDescent="0.25">
      <c r="A42" s="122" t="s">
        <v>362</v>
      </c>
      <c r="B42" s="3" t="s">
        <v>363</v>
      </c>
      <c r="C42" s="19">
        <v>0</v>
      </c>
    </row>
    <row r="43" spans="1:3" ht="15" x14ac:dyDescent="0.25">
      <c r="A43" s="122" t="s">
        <v>364</v>
      </c>
      <c r="B43" s="3" t="s">
        <v>365</v>
      </c>
      <c r="C43" s="19">
        <v>-41714.990000000005</v>
      </c>
    </row>
    <row r="44" spans="1:3" ht="15" x14ac:dyDescent="0.25">
      <c r="A44" s="122" t="s">
        <v>366</v>
      </c>
      <c r="B44" s="3" t="s">
        <v>367</v>
      </c>
      <c r="C44" s="19">
        <v>3.3026026358129457E-11</v>
      </c>
    </row>
    <row r="45" spans="1:3" ht="15" x14ac:dyDescent="0.25">
      <c r="A45" s="122" t="s">
        <v>368</v>
      </c>
      <c r="B45" s="3" t="s">
        <v>369</v>
      </c>
      <c r="C45" s="19">
        <v>7.1054273576010019E-15</v>
      </c>
    </row>
    <row r="46" spans="1:3" ht="15" x14ac:dyDescent="0.25">
      <c r="A46" s="122" t="s">
        <v>370</v>
      </c>
      <c r="B46" s="3" t="s">
        <v>371</v>
      </c>
      <c r="C46" s="19">
        <v>-3.5527136788005009E-15</v>
      </c>
    </row>
    <row r="47" spans="1:3" ht="15" x14ac:dyDescent="0.25">
      <c r="A47" s="122" t="s">
        <v>372</v>
      </c>
      <c r="B47" s="3" t="s">
        <v>373</v>
      </c>
      <c r="C47" s="19">
        <v>184.8</v>
      </c>
    </row>
    <row r="48" spans="1:3" ht="15" x14ac:dyDescent="0.25">
      <c r="A48" s="122" t="s">
        <v>374</v>
      </c>
      <c r="B48" s="3" t="s">
        <v>375</v>
      </c>
      <c r="C48" s="19">
        <v>-2074516.7400000002</v>
      </c>
    </row>
    <row r="49" spans="1:3" ht="15" x14ac:dyDescent="0.25">
      <c r="A49" s="122" t="s">
        <v>376</v>
      </c>
      <c r="B49" s="3" t="s">
        <v>377</v>
      </c>
      <c r="C49" s="19">
        <v>0</v>
      </c>
    </row>
    <row r="50" spans="1:3" ht="15" x14ac:dyDescent="0.25">
      <c r="A50" s="122" t="s">
        <v>378</v>
      </c>
      <c r="B50" s="3" t="s">
        <v>379</v>
      </c>
      <c r="C50" s="19">
        <v>-1.1368683772161603E-13</v>
      </c>
    </row>
    <row r="51" spans="1:3" ht="15" x14ac:dyDescent="0.25">
      <c r="A51" s="122" t="s">
        <v>380</v>
      </c>
      <c r="B51" s="3" t="s">
        <v>381</v>
      </c>
      <c r="C51" s="19">
        <v>-5.6843418860808015E-14</v>
      </c>
    </row>
    <row r="52" spans="1:3" ht="15" x14ac:dyDescent="0.25">
      <c r="A52" s="122" t="s">
        <v>382</v>
      </c>
      <c r="B52" s="3" t="s">
        <v>383</v>
      </c>
      <c r="C52" s="19">
        <v>9027.4200000000019</v>
      </c>
    </row>
    <row r="53" spans="1:3" ht="15" x14ac:dyDescent="0.25">
      <c r="A53" s="122" t="s">
        <v>384</v>
      </c>
      <c r="B53" s="3" t="s">
        <v>385</v>
      </c>
      <c r="C53" s="19">
        <v>-7.1054273576010019E-15</v>
      </c>
    </row>
    <row r="54" spans="1:3" ht="15" x14ac:dyDescent="0.25">
      <c r="A54" s="122" t="s">
        <v>386</v>
      </c>
      <c r="B54" s="3" t="s">
        <v>387</v>
      </c>
      <c r="C54" s="19">
        <v>-2.1316282072803006E-14</v>
      </c>
    </row>
    <row r="55" spans="1:3" ht="15" x14ac:dyDescent="0.25">
      <c r="A55" s="122" t="s">
        <v>388</v>
      </c>
      <c r="B55" s="3" t="s">
        <v>389</v>
      </c>
      <c r="C55" s="19">
        <v>3617962.510000004</v>
      </c>
    </row>
    <row r="56" spans="1:3" ht="15" x14ac:dyDescent="0.25">
      <c r="A56" s="122" t="s">
        <v>390</v>
      </c>
      <c r="B56" s="3" t="s">
        <v>391</v>
      </c>
      <c r="C56" s="19">
        <v>0</v>
      </c>
    </row>
    <row r="57" spans="1:3" ht="15" x14ac:dyDescent="0.25">
      <c r="A57" s="122" t="s">
        <v>392</v>
      </c>
      <c r="B57" s="3" t="s">
        <v>393</v>
      </c>
      <c r="C57" s="19">
        <v>-64777.94</v>
      </c>
    </row>
    <row r="58" spans="1:3" ht="15" x14ac:dyDescent="0.25">
      <c r="A58" s="122" t="s">
        <v>394</v>
      </c>
      <c r="B58" s="3" t="s">
        <v>395</v>
      </c>
      <c r="C58" s="19">
        <v>-393.04</v>
      </c>
    </row>
    <row r="59" spans="1:3" ht="15" x14ac:dyDescent="0.25">
      <c r="A59" s="122" t="s">
        <v>396</v>
      </c>
      <c r="B59" s="3" t="s">
        <v>397</v>
      </c>
      <c r="C59" s="19">
        <v>-1244.6400000000001</v>
      </c>
    </row>
    <row r="60" spans="1:3" ht="15" x14ac:dyDescent="0.25">
      <c r="A60" s="122" t="s">
        <v>398</v>
      </c>
      <c r="B60" s="3" t="s">
        <v>399</v>
      </c>
      <c r="C60" s="19">
        <v>-3288.1600000000003</v>
      </c>
    </row>
    <row r="61" spans="1:3" ht="15" x14ac:dyDescent="0.25">
      <c r="A61" s="122" t="s">
        <v>400</v>
      </c>
      <c r="B61" s="3" t="s">
        <v>401</v>
      </c>
      <c r="C61" s="19">
        <v>-633202.32999999996</v>
      </c>
    </row>
    <row r="62" spans="1:3" ht="15" x14ac:dyDescent="0.25">
      <c r="A62" s="122" t="s">
        <v>402</v>
      </c>
      <c r="B62" s="3" t="s">
        <v>403</v>
      </c>
      <c r="C62" s="19">
        <v>306115.36000000004</v>
      </c>
    </row>
    <row r="63" spans="1:3" ht="15" x14ac:dyDescent="0.25">
      <c r="A63" s="122" t="s">
        <v>404</v>
      </c>
      <c r="B63" s="3" t="s">
        <v>405</v>
      </c>
      <c r="C63" s="19">
        <v>58041.619999999981</v>
      </c>
    </row>
    <row r="64" spans="1:3" ht="15" x14ac:dyDescent="0.25">
      <c r="A64" s="122" t="s">
        <v>406</v>
      </c>
      <c r="B64" s="3" t="s">
        <v>407</v>
      </c>
      <c r="C64" s="19">
        <v>-3456898.68</v>
      </c>
    </row>
    <row r="65" spans="1:3" ht="15" x14ac:dyDescent="0.25">
      <c r="A65" s="122" t="s">
        <v>408</v>
      </c>
      <c r="B65" s="3" t="s">
        <v>409</v>
      </c>
      <c r="C65" s="19">
        <v>1561685.0699999987</v>
      </c>
    </row>
    <row r="66" spans="1:3" ht="15" x14ac:dyDescent="0.25">
      <c r="A66" s="122" t="s">
        <v>410</v>
      </c>
      <c r="B66" s="3" t="s">
        <v>411</v>
      </c>
      <c r="C66" s="19">
        <v>597222.62999999942</v>
      </c>
    </row>
    <row r="67" spans="1:3" ht="15" x14ac:dyDescent="0.25">
      <c r="A67" s="122" t="s">
        <v>412</v>
      </c>
      <c r="B67" s="3" t="s">
        <v>413</v>
      </c>
      <c r="C67" s="19">
        <v>715743.52000000014</v>
      </c>
    </row>
    <row r="68" spans="1:3" ht="15" x14ac:dyDescent="0.25">
      <c r="A68" s="122" t="s">
        <v>414</v>
      </c>
      <c r="B68" s="3" t="s">
        <v>415</v>
      </c>
      <c r="C68" s="19">
        <v>765664.9100000005</v>
      </c>
    </row>
    <row r="69" spans="1:3" ht="15" x14ac:dyDescent="0.25">
      <c r="A69" s="122" t="s">
        <v>416</v>
      </c>
      <c r="B69" s="3" t="s">
        <v>417</v>
      </c>
      <c r="C69" s="19">
        <v>27499.08</v>
      </c>
    </row>
    <row r="70" spans="1:3" ht="15" x14ac:dyDescent="0.25">
      <c r="A70" s="122" t="s">
        <v>418</v>
      </c>
      <c r="B70" s="3" t="s">
        <v>419</v>
      </c>
      <c r="C70" s="19">
        <v>-1689.39</v>
      </c>
    </row>
    <row r="71" spans="1:3" ht="15" x14ac:dyDescent="0.25">
      <c r="A71" s="122" t="s">
        <v>420</v>
      </c>
      <c r="B71" s="3" t="s">
        <v>421</v>
      </c>
      <c r="C71" s="19">
        <v>268766.09999999986</v>
      </c>
    </row>
    <row r="72" spans="1:3" ht="15" x14ac:dyDescent="0.25">
      <c r="A72" s="122" t="s">
        <v>422</v>
      </c>
      <c r="B72" s="3" t="s">
        <v>423</v>
      </c>
      <c r="C72" s="19">
        <v>502464.33000000007</v>
      </c>
    </row>
    <row r="73" spans="1:3" ht="15" x14ac:dyDescent="0.25">
      <c r="A73" s="122" t="s">
        <v>424</v>
      </c>
      <c r="B73" s="3" t="s">
        <v>425</v>
      </c>
      <c r="C73" s="19">
        <v>2780.3</v>
      </c>
    </row>
    <row r="74" spans="1:3" ht="15" x14ac:dyDescent="0.25">
      <c r="A74" s="122" t="s">
        <v>426</v>
      </c>
      <c r="B74" s="3" t="s">
        <v>427</v>
      </c>
      <c r="C74" s="19">
        <v>1590559.2900000003</v>
      </c>
    </row>
    <row r="75" spans="1:3" ht="15" x14ac:dyDescent="0.25">
      <c r="A75" s="122" t="s">
        <v>428</v>
      </c>
      <c r="B75" s="3" t="s">
        <v>429</v>
      </c>
      <c r="C75" s="19">
        <v>1404.4499999999991</v>
      </c>
    </row>
    <row r="76" spans="1:3" ht="15" x14ac:dyDescent="0.25">
      <c r="A76" s="122" t="s">
        <v>430</v>
      </c>
      <c r="B76" s="3" t="s">
        <v>431</v>
      </c>
      <c r="C76" s="19">
        <v>191664.50000000006</v>
      </c>
    </row>
    <row r="77" spans="1:3" ht="15" x14ac:dyDescent="0.25">
      <c r="A77" s="122" t="s">
        <v>432</v>
      </c>
      <c r="B77" s="3" t="s">
        <v>433</v>
      </c>
      <c r="C77" s="19">
        <v>340500.31999999995</v>
      </c>
    </row>
    <row r="78" spans="1:3" ht="15" x14ac:dyDescent="0.25">
      <c r="A78" s="122" t="s">
        <v>434</v>
      </c>
      <c r="B78" s="3" t="s">
        <v>435</v>
      </c>
      <c r="C78" s="19">
        <v>-222277.05</v>
      </c>
    </row>
    <row r="79" spans="1:3" ht="15" x14ac:dyDescent="0.25">
      <c r="A79" s="122" t="s">
        <v>436</v>
      </c>
      <c r="B79" s="3" t="s">
        <v>437</v>
      </c>
      <c r="C79" s="19">
        <v>2168353.0700000003</v>
      </c>
    </row>
    <row r="80" spans="1:3" ht="15" x14ac:dyDescent="0.25">
      <c r="A80" s="122" t="s">
        <v>438</v>
      </c>
      <c r="B80" s="3" t="s">
        <v>439</v>
      </c>
      <c r="C80" s="19">
        <v>216874.54</v>
      </c>
    </row>
    <row r="81" spans="1:3" ht="15" x14ac:dyDescent="0.25">
      <c r="A81" s="122" t="s">
        <v>440</v>
      </c>
      <c r="B81" s="3" t="s">
        <v>441</v>
      </c>
      <c r="C81" s="19">
        <v>-23877.560000000009</v>
      </c>
    </row>
    <row r="82" spans="1:3" ht="15" x14ac:dyDescent="0.25">
      <c r="A82" s="122" t="s">
        <v>442</v>
      </c>
      <c r="B82" s="3" t="s">
        <v>443</v>
      </c>
      <c r="C82" s="19">
        <v>6134.28</v>
      </c>
    </row>
    <row r="83" spans="1:3" ht="15" x14ac:dyDescent="0.25">
      <c r="A83" s="122" t="s">
        <v>444</v>
      </c>
      <c r="B83" s="3" t="s">
        <v>445</v>
      </c>
      <c r="C83" s="19">
        <v>89034.869999999981</v>
      </c>
    </row>
    <row r="84" spans="1:3" ht="15" x14ac:dyDescent="0.25">
      <c r="A84" s="122" t="s">
        <v>446</v>
      </c>
      <c r="B84" s="3" t="s">
        <v>447</v>
      </c>
      <c r="C84" s="19">
        <v>50141.58</v>
      </c>
    </row>
    <row r="85" spans="1:3" ht="15" x14ac:dyDescent="0.25">
      <c r="A85" s="122" t="s">
        <v>448</v>
      </c>
      <c r="B85" s="3" t="s">
        <v>449</v>
      </c>
      <c r="C85" s="19">
        <v>30715.580000000515</v>
      </c>
    </row>
    <row r="86" spans="1:3" ht="15" x14ac:dyDescent="0.25">
      <c r="A86" s="122" t="s">
        <v>450</v>
      </c>
      <c r="B86" s="3" t="s">
        <v>451</v>
      </c>
      <c r="C86" s="19">
        <v>90282.52</v>
      </c>
    </row>
    <row r="87" spans="1:3" ht="15" x14ac:dyDescent="0.25">
      <c r="A87" s="122" t="s">
        <v>452</v>
      </c>
      <c r="B87" s="3" t="s">
        <v>453</v>
      </c>
      <c r="C87" s="19">
        <v>832459.58</v>
      </c>
    </row>
    <row r="88" spans="1:3" ht="15" x14ac:dyDescent="0.25">
      <c r="A88" s="122" t="s">
        <v>454</v>
      </c>
      <c r="B88" s="3" t="s">
        <v>455</v>
      </c>
      <c r="C88" s="19">
        <v>683448.37</v>
      </c>
    </row>
    <row r="89" spans="1:3" ht="15" x14ac:dyDescent="0.25">
      <c r="A89" s="122" t="s">
        <v>456</v>
      </c>
      <c r="B89" s="3" t="s">
        <v>457</v>
      </c>
      <c r="C89" s="19">
        <v>292690.06999999995</v>
      </c>
    </row>
    <row r="90" spans="1:3" ht="15" x14ac:dyDescent="0.25">
      <c r="A90" s="122" t="s">
        <v>458</v>
      </c>
      <c r="B90" s="3" t="s">
        <v>459</v>
      </c>
      <c r="C90" s="19">
        <v>-11877.61</v>
      </c>
    </row>
    <row r="91" spans="1:3" ht="15" x14ac:dyDescent="0.25">
      <c r="A91" s="122" t="s">
        <v>460</v>
      </c>
      <c r="B91" s="3" t="s">
        <v>461</v>
      </c>
      <c r="C91" s="19">
        <v>3964485.9599999972</v>
      </c>
    </row>
    <row r="92" spans="1:3" ht="15" x14ac:dyDescent="0.25">
      <c r="A92" s="122" t="s">
        <v>462</v>
      </c>
      <c r="B92" s="3" t="s">
        <v>463</v>
      </c>
      <c r="C92" s="19">
        <v>-11877.61</v>
      </c>
    </row>
    <row r="93" spans="1:3" ht="15" x14ac:dyDescent="0.25">
      <c r="A93" s="122" t="s">
        <v>464</v>
      </c>
      <c r="B93" s="3" t="s">
        <v>465</v>
      </c>
      <c r="C93" s="19">
        <v>-655516.93999999994</v>
      </c>
    </row>
    <row r="94" spans="1:3" ht="15" x14ac:dyDescent="0.25">
      <c r="A94" s="122" t="s">
        <v>466</v>
      </c>
      <c r="B94" s="3" t="s">
        <v>467</v>
      </c>
      <c r="C94" s="19">
        <v>-624146.14</v>
      </c>
    </row>
    <row r="95" spans="1:3" ht="15" x14ac:dyDescent="0.25">
      <c r="A95" s="122" t="s">
        <v>468</v>
      </c>
      <c r="B95" s="3" t="s">
        <v>469</v>
      </c>
      <c r="C95" s="19">
        <v>775891.54999999935</v>
      </c>
    </row>
    <row r="96" spans="1:3" ht="15" x14ac:dyDescent="0.25">
      <c r="A96" s="122" t="s">
        <v>470</v>
      </c>
      <c r="B96" s="3" t="s">
        <v>471</v>
      </c>
      <c r="C96" s="19">
        <v>417475.24000000005</v>
      </c>
    </row>
    <row r="97" spans="1:3" ht="15" x14ac:dyDescent="0.25">
      <c r="A97" s="122" t="s">
        <v>472</v>
      </c>
      <c r="B97" s="3" t="s">
        <v>473</v>
      </c>
      <c r="C97" s="19">
        <v>469279.33999999997</v>
      </c>
    </row>
    <row r="98" spans="1:3" ht="15" x14ac:dyDescent="0.25">
      <c r="A98" s="122" t="s">
        <v>474</v>
      </c>
      <c r="B98" s="3" t="s">
        <v>475</v>
      </c>
      <c r="C98" s="19">
        <v>5285.98</v>
      </c>
    </row>
    <row r="99" spans="1:3" ht="15" x14ac:dyDescent="0.25">
      <c r="A99" s="122" t="s">
        <v>476</v>
      </c>
      <c r="B99" s="3" t="s">
        <v>477</v>
      </c>
      <c r="C99" s="19">
        <v>-12791.27</v>
      </c>
    </row>
    <row r="100" spans="1:3" ht="15" x14ac:dyDescent="0.25">
      <c r="A100" s="122" t="s">
        <v>478</v>
      </c>
      <c r="B100" s="3" t="s">
        <v>479</v>
      </c>
      <c r="C100" s="19">
        <v>22407.119999999999</v>
      </c>
    </row>
    <row r="101" spans="1:3" ht="15" x14ac:dyDescent="0.25">
      <c r="A101" s="122" t="s">
        <v>480</v>
      </c>
      <c r="B101" s="3" t="s">
        <v>481</v>
      </c>
      <c r="C101" s="19">
        <v>628297.39</v>
      </c>
    </row>
    <row r="102" spans="1:3" ht="15" x14ac:dyDescent="0.25">
      <c r="A102" s="122" t="s">
        <v>482</v>
      </c>
      <c r="B102" s="3" t="s">
        <v>483</v>
      </c>
      <c r="C102" s="19">
        <v>-700.24</v>
      </c>
    </row>
    <row r="103" spans="1:3" ht="15" x14ac:dyDescent="0.25">
      <c r="A103" s="122" t="s">
        <v>484</v>
      </c>
      <c r="B103" s="3" t="s">
        <v>485</v>
      </c>
      <c r="C103" s="19">
        <v>24551.299999999992</v>
      </c>
    </row>
    <row r="104" spans="1:3" ht="15" x14ac:dyDescent="0.25">
      <c r="A104" s="122" t="s">
        <v>486</v>
      </c>
      <c r="B104" s="3" t="s">
        <v>487</v>
      </c>
      <c r="C104" s="19">
        <v>19823.03</v>
      </c>
    </row>
    <row r="105" spans="1:3" ht="15" x14ac:dyDescent="0.25">
      <c r="A105" s="122" t="s">
        <v>488</v>
      </c>
      <c r="B105" s="3" t="s">
        <v>489</v>
      </c>
      <c r="C105" s="19">
        <v>292316.02</v>
      </c>
    </row>
    <row r="106" spans="1:3" ht="15" x14ac:dyDescent="0.25">
      <c r="A106" s="122" t="s">
        <v>490</v>
      </c>
      <c r="B106" s="3" t="s">
        <v>491</v>
      </c>
      <c r="C106" s="19">
        <v>2864647.5999999968</v>
      </c>
    </row>
    <row r="107" spans="1:3" ht="15" x14ac:dyDescent="0.25">
      <c r="A107" s="122" t="s">
        <v>492</v>
      </c>
      <c r="B107" s="3" t="s">
        <v>493</v>
      </c>
      <c r="C107" s="19">
        <v>103.05000000000035</v>
      </c>
    </row>
    <row r="108" spans="1:3" ht="15" x14ac:dyDescent="0.25">
      <c r="A108" s="122" t="s">
        <v>494</v>
      </c>
      <c r="B108" s="3" t="s">
        <v>495</v>
      </c>
      <c r="C108" s="19">
        <v>733114.80000000028</v>
      </c>
    </row>
    <row r="109" spans="1:3" ht="15" x14ac:dyDescent="0.25">
      <c r="A109" s="122" t="s">
        <v>496</v>
      </c>
      <c r="B109" s="3" t="s">
        <v>497</v>
      </c>
      <c r="C109" s="19">
        <v>79058.329999999973</v>
      </c>
    </row>
    <row r="110" spans="1:3" ht="15" x14ac:dyDescent="0.25">
      <c r="A110" s="122" t="s">
        <v>498</v>
      </c>
      <c r="B110" s="3" t="s">
        <v>499</v>
      </c>
      <c r="C110" s="19">
        <v>9439.44</v>
      </c>
    </row>
    <row r="111" spans="1:3" ht="15" x14ac:dyDescent="0.25">
      <c r="A111" s="122" t="s">
        <v>500</v>
      </c>
      <c r="B111" s="3" t="s">
        <v>501</v>
      </c>
      <c r="C111" s="19">
        <v>44556.700000000004</v>
      </c>
    </row>
    <row r="112" spans="1:3" ht="15" x14ac:dyDescent="0.25">
      <c r="A112" s="122" t="s">
        <v>502</v>
      </c>
      <c r="B112" s="3" t="s">
        <v>503</v>
      </c>
      <c r="C112" s="19">
        <v>65596.75</v>
      </c>
    </row>
    <row r="113" spans="1:3" ht="15" x14ac:dyDescent="0.25">
      <c r="A113" s="122" t="s">
        <v>504</v>
      </c>
      <c r="B113" s="3" t="s">
        <v>505</v>
      </c>
      <c r="C113" s="19">
        <v>18642.929999999997</v>
      </c>
    </row>
    <row r="114" spans="1:3" ht="15" x14ac:dyDescent="0.25">
      <c r="A114" s="122" t="s">
        <v>506</v>
      </c>
      <c r="B114" s="3" t="s">
        <v>507</v>
      </c>
      <c r="C114" s="19">
        <v>0.69000000000000006</v>
      </c>
    </row>
    <row r="115" spans="1:3" ht="15" x14ac:dyDescent="0.25">
      <c r="A115" s="122" t="s">
        <v>508</v>
      </c>
      <c r="B115" s="3" t="s">
        <v>509</v>
      </c>
      <c r="C115" s="19">
        <v>163128.4499999999</v>
      </c>
    </row>
    <row r="116" spans="1:3" ht="15" x14ac:dyDescent="0.25">
      <c r="A116" s="122" t="s">
        <v>510</v>
      </c>
      <c r="B116" s="3" t="s">
        <v>511</v>
      </c>
      <c r="C116" s="19">
        <v>-381.73000000000803</v>
      </c>
    </row>
    <row r="117" spans="1:3" ht="15" x14ac:dyDescent="0.25">
      <c r="A117" s="122" t="s">
        <v>512</v>
      </c>
      <c r="B117" s="3" t="s">
        <v>513</v>
      </c>
      <c r="C117" s="19">
        <v>648779.41999999981</v>
      </c>
    </row>
    <row r="118" spans="1:3" ht="15" x14ac:dyDescent="0.25">
      <c r="A118" s="122" t="s">
        <v>514</v>
      </c>
      <c r="B118" s="3" t="s">
        <v>515</v>
      </c>
      <c r="C118" s="19">
        <v>1562442.5799999998</v>
      </c>
    </row>
    <row r="119" spans="1:3" ht="15" x14ac:dyDescent="0.25">
      <c r="A119" s="122" t="s">
        <v>516</v>
      </c>
      <c r="B119" s="3" t="s">
        <v>517</v>
      </c>
      <c r="C119" s="19">
        <v>1023590.46</v>
      </c>
    </row>
    <row r="120" spans="1:3" ht="15" x14ac:dyDescent="0.25">
      <c r="A120" s="122" t="s">
        <v>518</v>
      </c>
      <c r="B120" s="3" t="s">
        <v>519</v>
      </c>
      <c r="C120" s="19">
        <v>487339.33999999997</v>
      </c>
    </row>
    <row r="121" spans="1:3" ht="15" x14ac:dyDescent="0.25">
      <c r="A121" s="122" t="s">
        <v>520</v>
      </c>
      <c r="B121" s="3" t="s">
        <v>521</v>
      </c>
      <c r="C121" s="19">
        <v>1682595.6899999997</v>
      </c>
    </row>
    <row r="122" spans="1:3" ht="15" x14ac:dyDescent="0.25">
      <c r="A122" s="122" t="s">
        <v>522</v>
      </c>
      <c r="B122" s="3" t="s">
        <v>523</v>
      </c>
      <c r="C122" s="19">
        <v>332943.87999999995</v>
      </c>
    </row>
    <row r="123" spans="1:3" ht="15" x14ac:dyDescent="0.25">
      <c r="A123" s="122" t="s">
        <v>524</v>
      </c>
      <c r="B123" s="3" t="s">
        <v>525</v>
      </c>
      <c r="C123" s="19">
        <v>1614805.06</v>
      </c>
    </row>
    <row r="124" spans="1:3" ht="15" x14ac:dyDescent="0.25">
      <c r="A124" s="122" t="s">
        <v>526</v>
      </c>
      <c r="B124" s="3" t="s">
        <v>527</v>
      </c>
      <c r="C124" s="19">
        <v>-29.420000000003675</v>
      </c>
    </row>
    <row r="125" spans="1:3" ht="15" x14ac:dyDescent="0.25">
      <c r="A125" s="122" t="s">
        <v>528</v>
      </c>
      <c r="B125" s="3" t="s">
        <v>529</v>
      </c>
      <c r="C125" s="19">
        <v>109.5</v>
      </c>
    </row>
    <row r="126" spans="1:3" ht="15" x14ac:dyDescent="0.25">
      <c r="A126" s="122" t="s">
        <v>530</v>
      </c>
      <c r="B126" s="3" t="s">
        <v>531</v>
      </c>
      <c r="C126" s="19">
        <v>581.45999999999992</v>
      </c>
    </row>
    <row r="127" spans="1:3" ht="15" x14ac:dyDescent="0.25">
      <c r="A127" s="122" t="s">
        <v>532</v>
      </c>
      <c r="B127" s="3" t="s">
        <v>533</v>
      </c>
      <c r="C127" s="19">
        <v>116175.15</v>
      </c>
    </row>
    <row r="128" spans="1:3" ht="15" x14ac:dyDescent="0.25">
      <c r="A128" s="122" t="s">
        <v>534</v>
      </c>
      <c r="B128" s="3" t="s">
        <v>535</v>
      </c>
      <c r="C128" s="19">
        <v>4572.74</v>
      </c>
    </row>
    <row r="129" spans="1:3" ht="15" x14ac:dyDescent="0.25">
      <c r="A129" s="122" t="s">
        <v>536</v>
      </c>
      <c r="B129" s="3" t="s">
        <v>537</v>
      </c>
      <c r="C129" s="19">
        <v>189006.45</v>
      </c>
    </row>
    <row r="130" spans="1:3" ht="15" x14ac:dyDescent="0.25">
      <c r="A130" s="122" t="s">
        <v>538</v>
      </c>
      <c r="B130" s="3" t="s">
        <v>539</v>
      </c>
      <c r="C130" s="19">
        <v>891517.67000000027</v>
      </c>
    </row>
    <row r="131" spans="1:3" ht="15" x14ac:dyDescent="0.25">
      <c r="A131" s="122" t="s">
        <v>540</v>
      </c>
      <c r="B131" s="3" t="s">
        <v>541</v>
      </c>
      <c r="C131" s="19">
        <v>164532.24000000002</v>
      </c>
    </row>
    <row r="132" spans="1:3" ht="15" x14ac:dyDescent="0.25">
      <c r="A132" s="122" t="s">
        <v>542</v>
      </c>
      <c r="B132" s="3" t="s">
        <v>543</v>
      </c>
      <c r="C132" s="19">
        <v>-197118.47</v>
      </c>
    </row>
    <row r="133" spans="1:3" ht="15" x14ac:dyDescent="0.25">
      <c r="A133" s="122" t="s">
        <v>544</v>
      </c>
      <c r="B133" s="3" t="s">
        <v>545</v>
      </c>
      <c r="C133" s="19">
        <v>67678.890000000014</v>
      </c>
    </row>
    <row r="134" spans="1:3" ht="15" x14ac:dyDescent="0.25">
      <c r="A134" s="122" t="s">
        <v>546</v>
      </c>
      <c r="B134" s="3" t="s">
        <v>547</v>
      </c>
      <c r="C134" s="19">
        <v>132472.57999999999</v>
      </c>
    </row>
    <row r="135" spans="1:3" ht="15" x14ac:dyDescent="0.25">
      <c r="A135" s="122" t="s">
        <v>548</v>
      </c>
      <c r="B135" s="3" t="s">
        <v>549</v>
      </c>
      <c r="C135" s="19">
        <v>102780.81999999998</v>
      </c>
    </row>
    <row r="136" spans="1:3" ht="15" x14ac:dyDescent="0.25">
      <c r="A136" s="122" t="s">
        <v>550</v>
      </c>
      <c r="B136" s="3" t="s">
        <v>551</v>
      </c>
      <c r="C136" s="19">
        <v>533621.78999999992</v>
      </c>
    </row>
    <row r="137" spans="1:3" ht="15" x14ac:dyDescent="0.25">
      <c r="A137" s="122" t="s">
        <v>552</v>
      </c>
      <c r="B137" s="3" t="s">
        <v>553</v>
      </c>
      <c r="C137" s="19">
        <v>-21002.36</v>
      </c>
    </row>
    <row r="138" spans="1:3" ht="15" x14ac:dyDescent="0.25">
      <c r="A138" s="122" t="s">
        <v>554</v>
      </c>
      <c r="B138" s="3" t="s">
        <v>555</v>
      </c>
      <c r="C138" s="19">
        <v>-29693.659999999989</v>
      </c>
    </row>
    <row r="139" spans="1:3" ht="15" x14ac:dyDescent="0.25">
      <c r="A139" s="122" t="s">
        <v>556</v>
      </c>
      <c r="B139" s="3" t="s">
        <v>557</v>
      </c>
      <c r="C139" s="19">
        <v>249.93</v>
      </c>
    </row>
    <row r="140" spans="1:3" ht="15" x14ac:dyDescent="0.25">
      <c r="A140" s="122" t="s">
        <v>558</v>
      </c>
      <c r="B140" s="3" t="s">
        <v>559</v>
      </c>
      <c r="C140" s="19">
        <v>18808.080000000002</v>
      </c>
    </row>
    <row r="141" spans="1:3" ht="15" x14ac:dyDescent="0.25">
      <c r="A141" s="122" t="s">
        <v>560</v>
      </c>
      <c r="B141" s="3" t="s">
        <v>561</v>
      </c>
      <c r="C141" s="19">
        <v>364686.05999999953</v>
      </c>
    </row>
    <row r="142" spans="1:3" ht="15" x14ac:dyDescent="0.25">
      <c r="A142" s="122" t="s">
        <v>562</v>
      </c>
      <c r="B142" s="3" t="s">
        <v>563</v>
      </c>
      <c r="C142" s="19">
        <v>268443.70999999996</v>
      </c>
    </row>
    <row r="143" spans="1:3" ht="15" x14ac:dyDescent="0.25">
      <c r="A143" s="122" t="s">
        <v>564</v>
      </c>
      <c r="B143" s="3" t="s">
        <v>565</v>
      </c>
      <c r="C143" s="19">
        <v>59106.73</v>
      </c>
    </row>
    <row r="144" spans="1:3" ht="15" x14ac:dyDescent="0.25">
      <c r="A144" s="122" t="s">
        <v>566</v>
      </c>
      <c r="B144" s="3" t="s">
        <v>567</v>
      </c>
      <c r="C144" s="19">
        <v>817316.25000000012</v>
      </c>
    </row>
    <row r="145" spans="1:3" ht="15" x14ac:dyDescent="0.25">
      <c r="A145" s="122" t="s">
        <v>568</v>
      </c>
      <c r="B145" s="3" t="s">
        <v>569</v>
      </c>
      <c r="C145" s="19">
        <v>73378.820000000007</v>
      </c>
    </row>
    <row r="146" spans="1:3" ht="15" x14ac:dyDescent="0.25">
      <c r="A146" s="122" t="s">
        <v>570</v>
      </c>
      <c r="B146" s="3" t="s">
        <v>571</v>
      </c>
      <c r="C146" s="19">
        <v>2415104.6800000006</v>
      </c>
    </row>
    <row r="147" spans="1:3" ht="15" x14ac:dyDescent="0.25">
      <c r="A147" s="122" t="s">
        <v>572</v>
      </c>
      <c r="B147" s="3" t="s">
        <v>573</v>
      </c>
      <c r="C147" s="19">
        <v>168045.02000000002</v>
      </c>
    </row>
    <row r="148" spans="1:3" ht="15" x14ac:dyDescent="0.25">
      <c r="A148" s="122" t="s">
        <v>574</v>
      </c>
      <c r="B148" s="3" t="s">
        <v>575</v>
      </c>
      <c r="C148" s="19">
        <v>785616.16999999981</v>
      </c>
    </row>
    <row r="149" spans="1:3" ht="15" x14ac:dyDescent="0.25">
      <c r="A149" s="122" t="s">
        <v>576</v>
      </c>
      <c r="B149" s="3" t="s">
        <v>577</v>
      </c>
      <c r="C149" s="19">
        <v>-76582.290000000008</v>
      </c>
    </row>
    <row r="150" spans="1:3" ht="15" x14ac:dyDescent="0.25">
      <c r="A150" s="122" t="s">
        <v>578</v>
      </c>
      <c r="B150" s="3" t="s">
        <v>579</v>
      </c>
      <c r="C150" s="19">
        <v>-398.18</v>
      </c>
    </row>
    <row r="151" spans="1:3" ht="15" x14ac:dyDescent="0.25">
      <c r="A151" s="122" t="s">
        <v>580</v>
      </c>
      <c r="B151" s="3" t="s">
        <v>581</v>
      </c>
      <c r="C151" s="19">
        <v>79926.100000000006</v>
      </c>
    </row>
    <row r="152" spans="1:3" ht="15" x14ac:dyDescent="0.25">
      <c r="A152" s="122" t="s">
        <v>582</v>
      </c>
      <c r="B152" s="3" t="s">
        <v>583</v>
      </c>
      <c r="C152" s="19">
        <v>64338.82</v>
      </c>
    </row>
    <row r="153" spans="1:3" ht="15" x14ac:dyDescent="0.25">
      <c r="A153" s="122" t="s">
        <v>584</v>
      </c>
      <c r="B153" s="3" t="s">
        <v>585</v>
      </c>
      <c r="C153" s="19">
        <v>216643.37999999998</v>
      </c>
    </row>
    <row r="154" spans="1:3" ht="15" x14ac:dyDescent="0.25">
      <c r="A154" s="122" t="s">
        <v>586</v>
      </c>
      <c r="B154" s="3" t="s">
        <v>587</v>
      </c>
      <c r="C154" s="19">
        <v>0</v>
      </c>
    </row>
    <row r="155" spans="1:3" ht="15" x14ac:dyDescent="0.25">
      <c r="A155" s="122" t="s">
        <v>588</v>
      </c>
      <c r="B155" s="3" t="s">
        <v>589</v>
      </c>
      <c r="C155" s="19">
        <v>-37593.82</v>
      </c>
    </row>
    <row r="156" spans="1:3" ht="15" x14ac:dyDescent="0.25">
      <c r="A156" s="122" t="s">
        <v>590</v>
      </c>
      <c r="B156" s="3" t="s">
        <v>591</v>
      </c>
      <c r="C156" s="19">
        <v>2209</v>
      </c>
    </row>
    <row r="157" spans="1:3" ht="15" x14ac:dyDescent="0.25">
      <c r="A157" s="122" t="s">
        <v>592</v>
      </c>
      <c r="B157" s="3" t="s">
        <v>593</v>
      </c>
      <c r="C157" s="19">
        <v>2182.14</v>
      </c>
    </row>
    <row r="158" spans="1:3" ht="15" x14ac:dyDescent="0.25">
      <c r="A158" s="122" t="s">
        <v>594</v>
      </c>
      <c r="B158" s="3" t="s">
        <v>595</v>
      </c>
      <c r="C158" s="19">
        <v>2221715.8200000012</v>
      </c>
    </row>
    <row r="159" spans="1:3" ht="15" x14ac:dyDescent="0.25">
      <c r="A159" s="122" t="s">
        <v>596</v>
      </c>
      <c r="B159" s="3" t="s">
        <v>597</v>
      </c>
      <c r="C159" s="19">
        <v>2054253.6600000006</v>
      </c>
    </row>
    <row r="160" spans="1:3" ht="15" x14ac:dyDescent="0.25">
      <c r="A160" s="122" t="s">
        <v>598</v>
      </c>
      <c r="B160" s="3" t="s">
        <v>599</v>
      </c>
      <c r="C160" s="19">
        <v>10202.220000000001</v>
      </c>
    </row>
    <row r="161" spans="1:3" ht="15" x14ac:dyDescent="0.25">
      <c r="A161" s="122" t="s">
        <v>600</v>
      </c>
      <c r="B161" s="3" t="s">
        <v>601</v>
      </c>
      <c r="C161" s="19">
        <v>158838.87999999998</v>
      </c>
    </row>
    <row r="162" spans="1:3" ht="15" x14ac:dyDescent="0.25">
      <c r="A162" s="122" t="s">
        <v>602</v>
      </c>
      <c r="B162" s="3" t="s">
        <v>603</v>
      </c>
      <c r="C162" s="19">
        <v>68943.239999999991</v>
      </c>
    </row>
    <row r="163" spans="1:3" ht="15" x14ac:dyDescent="0.25">
      <c r="A163" s="122" t="s">
        <v>604</v>
      </c>
      <c r="B163" s="3" t="s">
        <v>605</v>
      </c>
      <c r="C163" s="19">
        <v>42.080000000016298</v>
      </c>
    </row>
    <row r="164" spans="1:3" ht="15" x14ac:dyDescent="0.25">
      <c r="A164" s="122" t="s">
        <v>606</v>
      </c>
      <c r="B164" s="3" t="s">
        <v>607</v>
      </c>
      <c r="C164" s="19">
        <v>0</v>
      </c>
    </row>
    <row r="165" spans="1:3" ht="15" x14ac:dyDescent="0.25">
      <c r="A165" s="122" t="s">
        <v>608</v>
      </c>
      <c r="B165" s="3" t="s">
        <v>609</v>
      </c>
      <c r="C165" s="19">
        <v>114677.88999999993</v>
      </c>
    </row>
    <row r="166" spans="1:3" ht="15" x14ac:dyDescent="0.25">
      <c r="A166" s="122" t="s">
        <v>610</v>
      </c>
      <c r="B166" s="3" t="s">
        <v>611</v>
      </c>
      <c r="C166" s="19">
        <v>-7225</v>
      </c>
    </row>
    <row r="167" spans="1:3" ht="15" x14ac:dyDescent="0.25">
      <c r="A167" s="122" t="s">
        <v>612</v>
      </c>
      <c r="B167" s="3" t="s">
        <v>613</v>
      </c>
      <c r="C167" s="19">
        <v>93581.590000000026</v>
      </c>
    </row>
    <row r="168" spans="1:3" ht="15" x14ac:dyDescent="0.25">
      <c r="A168" s="122" t="s">
        <v>614</v>
      </c>
      <c r="B168" s="3" t="s">
        <v>615</v>
      </c>
      <c r="C168" s="19">
        <v>2211973.2699999996</v>
      </c>
    </row>
    <row r="169" spans="1:3" ht="15" x14ac:dyDescent="0.25">
      <c r="A169" s="122" t="s">
        <v>616</v>
      </c>
      <c r="B169" s="3" t="s">
        <v>617</v>
      </c>
      <c r="C169" s="19">
        <v>-8164.2799999999952</v>
      </c>
    </row>
    <row r="170" spans="1:3" ht="15" x14ac:dyDescent="0.25">
      <c r="A170" s="122" t="s">
        <v>618</v>
      </c>
      <c r="B170" s="3" t="s">
        <v>619</v>
      </c>
      <c r="C170" s="19">
        <v>-866.45999999999913</v>
      </c>
    </row>
    <row r="171" spans="1:3" ht="15" x14ac:dyDescent="0.25">
      <c r="A171" s="122" t="s">
        <v>620</v>
      </c>
      <c r="B171" s="3" t="s">
        <v>621</v>
      </c>
      <c r="C171" s="19">
        <v>658132.66000000027</v>
      </c>
    </row>
    <row r="172" spans="1:3" ht="15" x14ac:dyDescent="0.25">
      <c r="A172" s="122" t="s">
        <v>622</v>
      </c>
      <c r="B172" s="3" t="s">
        <v>623</v>
      </c>
      <c r="C172" s="19">
        <v>83228.799999999974</v>
      </c>
    </row>
    <row r="173" spans="1:3" ht="15" x14ac:dyDescent="0.25">
      <c r="A173" s="122" t="s">
        <v>624</v>
      </c>
      <c r="B173" s="3" t="s">
        <v>625</v>
      </c>
      <c r="C173" s="19">
        <v>13779.089999999998</v>
      </c>
    </row>
    <row r="174" spans="1:3" ht="15" x14ac:dyDescent="0.25">
      <c r="A174" s="122" t="s">
        <v>626</v>
      </c>
      <c r="B174" s="3" t="s">
        <v>627</v>
      </c>
      <c r="C174" s="19">
        <v>147892.33000000007</v>
      </c>
    </row>
    <row r="175" spans="1:3" ht="15" x14ac:dyDescent="0.25">
      <c r="A175" s="122" t="s">
        <v>628</v>
      </c>
      <c r="B175" s="3" t="s">
        <v>629</v>
      </c>
      <c r="C175" s="19">
        <v>137633.35999999999</v>
      </c>
    </row>
    <row r="176" spans="1:3" ht="15" x14ac:dyDescent="0.25">
      <c r="A176" s="122" t="s">
        <v>630</v>
      </c>
      <c r="B176" s="3" t="s">
        <v>631</v>
      </c>
      <c r="C176" s="19">
        <v>116037.54000000004</v>
      </c>
    </row>
    <row r="177" spans="1:3" ht="15" x14ac:dyDescent="0.25">
      <c r="A177" s="122" t="s">
        <v>632</v>
      </c>
      <c r="B177" s="3" t="s">
        <v>633</v>
      </c>
      <c r="C177" s="19">
        <v>1523918.9899999995</v>
      </c>
    </row>
    <row r="178" spans="1:3" ht="15" x14ac:dyDescent="0.25">
      <c r="A178" s="122" t="s">
        <v>634</v>
      </c>
      <c r="B178" s="3" t="s">
        <v>635</v>
      </c>
      <c r="C178" s="19">
        <v>13300.470000000001</v>
      </c>
    </row>
    <row r="179" spans="1:3" ht="15" x14ac:dyDescent="0.25">
      <c r="A179" s="122" t="s">
        <v>636</v>
      </c>
      <c r="B179" s="3" t="s">
        <v>637</v>
      </c>
      <c r="C179" s="19">
        <v>179308.09000000003</v>
      </c>
    </row>
    <row r="180" spans="1:3" ht="15" x14ac:dyDescent="0.25">
      <c r="A180" s="122" t="s">
        <v>638</v>
      </c>
      <c r="B180" s="3" t="s">
        <v>639</v>
      </c>
      <c r="C180" s="19">
        <v>1082386.4299999988</v>
      </c>
    </row>
    <row r="181" spans="1:3" ht="15" x14ac:dyDescent="0.25">
      <c r="A181" s="122" t="s">
        <v>640</v>
      </c>
      <c r="B181" s="3" t="s">
        <v>641</v>
      </c>
      <c r="C181" s="19">
        <v>530015.66999999958</v>
      </c>
    </row>
    <row r="182" spans="1:3" ht="15" x14ac:dyDescent="0.25">
      <c r="A182" s="122" t="s">
        <v>642</v>
      </c>
      <c r="B182" s="3" t="s">
        <v>643</v>
      </c>
      <c r="C182" s="19">
        <v>140125.93000000002</v>
      </c>
    </row>
    <row r="183" spans="1:3" ht="15" x14ac:dyDescent="0.25">
      <c r="A183" s="122" t="s">
        <v>644</v>
      </c>
      <c r="B183" s="3" t="s">
        <v>645</v>
      </c>
      <c r="C183" s="19">
        <v>30933.52</v>
      </c>
    </row>
    <row r="184" spans="1:3" ht="15" x14ac:dyDescent="0.25">
      <c r="A184" s="122" t="s">
        <v>646</v>
      </c>
      <c r="B184" s="3" t="s">
        <v>647</v>
      </c>
      <c r="C184" s="19">
        <v>38763.86</v>
      </c>
    </row>
    <row r="185" spans="1:3" ht="15" x14ac:dyDescent="0.25">
      <c r="A185" s="122" t="s">
        <v>648</v>
      </c>
      <c r="B185" s="3" t="s">
        <v>649</v>
      </c>
      <c r="C185" s="19">
        <v>-394405.32999999996</v>
      </c>
    </row>
    <row r="186" spans="1:3" ht="15" x14ac:dyDescent="0.25">
      <c r="A186" s="122" t="s">
        <v>650</v>
      </c>
      <c r="B186" s="3" t="s">
        <v>651</v>
      </c>
      <c r="C186" s="19">
        <v>-1672.1199999999994</v>
      </c>
    </row>
    <row r="187" spans="1:3" ht="15" x14ac:dyDescent="0.25">
      <c r="A187" s="122" t="s">
        <v>652</v>
      </c>
      <c r="B187" s="3" t="s">
        <v>653</v>
      </c>
      <c r="C187" s="19">
        <v>604219.90999999968</v>
      </c>
    </row>
    <row r="188" spans="1:3" ht="15" x14ac:dyDescent="0.25">
      <c r="A188" s="122" t="s">
        <v>654</v>
      </c>
      <c r="B188" s="3" t="s">
        <v>655</v>
      </c>
      <c r="C188" s="19">
        <v>-26668.80999999999</v>
      </c>
    </row>
    <row r="189" spans="1:3" ht="15" x14ac:dyDescent="0.25">
      <c r="A189" s="122" t="s">
        <v>656</v>
      </c>
      <c r="B189" s="3" t="s">
        <v>657</v>
      </c>
      <c r="C189" s="19">
        <v>-14233.300000000001</v>
      </c>
    </row>
    <row r="190" spans="1:3" ht="15" x14ac:dyDescent="0.25">
      <c r="A190" s="122" t="s">
        <v>658</v>
      </c>
      <c r="B190" s="3" t="s">
        <v>659</v>
      </c>
      <c r="C190" s="19">
        <v>661532.72</v>
      </c>
    </row>
    <row r="191" spans="1:3" ht="15" x14ac:dyDescent="0.25">
      <c r="A191" s="122" t="s">
        <v>660</v>
      </c>
      <c r="B191" s="3" t="s">
        <v>661</v>
      </c>
      <c r="C191" s="19">
        <v>-18467.680000000022</v>
      </c>
    </row>
    <row r="192" spans="1:3" ht="15" x14ac:dyDescent="0.25">
      <c r="A192" s="122" t="s">
        <v>662</v>
      </c>
      <c r="B192" s="3" t="s">
        <v>663</v>
      </c>
      <c r="C192" s="19">
        <v>550547.12000000011</v>
      </c>
    </row>
    <row r="193" spans="1:3" ht="15" x14ac:dyDescent="0.25">
      <c r="A193" s="122" t="s">
        <v>664</v>
      </c>
      <c r="B193" s="3" t="s">
        <v>665</v>
      </c>
      <c r="C193" s="19">
        <v>284358.38000000006</v>
      </c>
    </row>
    <row r="194" spans="1:3" ht="15" x14ac:dyDescent="0.25">
      <c r="A194" s="122" t="s">
        <v>666</v>
      </c>
      <c r="B194" s="3" t="s">
        <v>667</v>
      </c>
      <c r="C194" s="19">
        <v>1547077.8299999987</v>
      </c>
    </row>
    <row r="195" spans="1:3" ht="15" x14ac:dyDescent="0.25">
      <c r="A195" s="122" t="s">
        <v>668</v>
      </c>
      <c r="B195" s="3" t="s">
        <v>669</v>
      </c>
      <c r="C195" s="19">
        <v>738204.7999999997</v>
      </c>
    </row>
    <row r="196" spans="1:3" ht="15" x14ac:dyDescent="0.25">
      <c r="A196" s="122" t="s">
        <v>670</v>
      </c>
      <c r="B196" s="3" t="s">
        <v>671</v>
      </c>
      <c r="C196" s="19">
        <v>1024286.8700000001</v>
      </c>
    </row>
    <row r="197" spans="1:3" ht="15" x14ac:dyDescent="0.25">
      <c r="A197" s="122" t="s">
        <v>672</v>
      </c>
      <c r="B197" s="3" t="s">
        <v>673</v>
      </c>
      <c r="C197" s="19">
        <v>631228.21000000008</v>
      </c>
    </row>
    <row r="198" spans="1:3" ht="15" x14ac:dyDescent="0.25">
      <c r="A198" s="122" t="s">
        <v>674</v>
      </c>
      <c r="B198" s="3" t="s">
        <v>675</v>
      </c>
      <c r="C198" s="19">
        <v>-30821.970000000008</v>
      </c>
    </row>
    <row r="199" spans="1:3" ht="15" x14ac:dyDescent="0.25">
      <c r="A199" s="122" t="s">
        <v>676</v>
      </c>
      <c r="B199" s="3" t="s">
        <v>677</v>
      </c>
      <c r="C199" s="19">
        <v>-29496.270000000008</v>
      </c>
    </row>
    <row r="200" spans="1:3" ht="15" x14ac:dyDescent="0.25">
      <c r="A200" s="122" t="s">
        <v>678</v>
      </c>
      <c r="B200" s="3" t="s">
        <v>679</v>
      </c>
      <c r="C200" s="19">
        <v>-12374.130000000001</v>
      </c>
    </row>
    <row r="201" spans="1:3" ht="15" x14ac:dyDescent="0.25">
      <c r="A201" s="122" t="s">
        <v>680</v>
      </c>
      <c r="B201" s="3" t="s">
        <v>681</v>
      </c>
      <c r="C201" s="19">
        <v>3917.4199999999973</v>
      </c>
    </row>
    <row r="202" spans="1:3" ht="15" x14ac:dyDescent="0.25">
      <c r="A202" s="122" t="s">
        <v>682</v>
      </c>
      <c r="B202" s="3" t="s">
        <v>683</v>
      </c>
      <c r="C202" s="19">
        <v>2700.0099999999998</v>
      </c>
    </row>
    <row r="203" spans="1:3" ht="15" x14ac:dyDescent="0.25">
      <c r="A203" s="122" t="s">
        <v>684</v>
      </c>
      <c r="B203" s="3" t="s">
        <v>685</v>
      </c>
      <c r="C203" s="19">
        <v>890.99999999999955</v>
      </c>
    </row>
    <row r="204" spans="1:3" ht="15" x14ac:dyDescent="0.25">
      <c r="A204" s="122" t="s">
        <v>686</v>
      </c>
      <c r="B204" s="3" t="s">
        <v>687</v>
      </c>
      <c r="C204" s="19">
        <v>3136.2599999999902</v>
      </c>
    </row>
    <row r="205" spans="1:3" ht="15" x14ac:dyDescent="0.25">
      <c r="A205" s="122" t="s">
        <v>688</v>
      </c>
      <c r="B205" s="3" t="s">
        <v>689</v>
      </c>
      <c r="C205" s="19">
        <v>-437.94000000000011</v>
      </c>
    </row>
    <row r="206" spans="1:3" ht="15" x14ac:dyDescent="0.25">
      <c r="A206" s="122" t="s">
        <v>690</v>
      </c>
      <c r="B206" s="3" t="s">
        <v>691</v>
      </c>
      <c r="C206" s="19">
        <v>145.07</v>
      </c>
    </row>
    <row r="207" spans="1:3" ht="15" x14ac:dyDescent="0.25">
      <c r="A207" s="122" t="s">
        <v>692</v>
      </c>
      <c r="B207" s="3" t="s">
        <v>693</v>
      </c>
      <c r="C207" s="19">
        <v>1343.6899999999998</v>
      </c>
    </row>
    <row r="208" spans="1:3" ht="15" x14ac:dyDescent="0.25">
      <c r="A208" s="122" t="s">
        <v>694</v>
      </c>
      <c r="B208" s="3" t="s">
        <v>695</v>
      </c>
      <c r="C208" s="19">
        <v>7.0000000000000007E-2</v>
      </c>
    </row>
    <row r="209" spans="1:3" ht="15" x14ac:dyDescent="0.25">
      <c r="A209" s="122" t="s">
        <v>696</v>
      </c>
      <c r="B209" s="3" t="s">
        <v>697</v>
      </c>
      <c r="C209" s="19">
        <v>17833.570000000007</v>
      </c>
    </row>
    <row r="210" spans="1:3" ht="15" x14ac:dyDescent="0.25">
      <c r="A210" s="122" t="s">
        <v>698</v>
      </c>
      <c r="B210" s="3" t="s">
        <v>699</v>
      </c>
      <c r="C210" s="19">
        <v>-1743.6300000000033</v>
      </c>
    </row>
    <row r="211" spans="1:3" ht="15" x14ac:dyDescent="0.25">
      <c r="A211" s="122" t="s">
        <v>700</v>
      </c>
      <c r="B211" s="3" t="s">
        <v>701</v>
      </c>
      <c r="C211" s="19">
        <v>601.51</v>
      </c>
    </row>
    <row r="212" spans="1:3" ht="15" x14ac:dyDescent="0.25">
      <c r="A212" s="122" t="s">
        <v>702</v>
      </c>
      <c r="B212" s="3" t="s">
        <v>703</v>
      </c>
      <c r="C212" s="19">
        <v>0.29000000000000004</v>
      </c>
    </row>
    <row r="213" spans="1:3" ht="15" x14ac:dyDescent="0.25">
      <c r="A213" s="122" t="s">
        <v>704</v>
      </c>
      <c r="B213" s="3" t="s">
        <v>705</v>
      </c>
      <c r="C213" s="19">
        <v>1455.600000000007</v>
      </c>
    </row>
    <row r="214" spans="1:3" ht="15" x14ac:dyDescent="0.25">
      <c r="A214" s="122" t="s">
        <v>706</v>
      </c>
      <c r="B214" s="3" t="s">
        <v>707</v>
      </c>
      <c r="C214" s="19">
        <v>2552.2600000000093</v>
      </c>
    </row>
    <row r="215" spans="1:3" ht="15" x14ac:dyDescent="0.25">
      <c r="A215" s="122" t="s">
        <v>708</v>
      </c>
      <c r="B215" s="3" t="s">
        <v>709</v>
      </c>
      <c r="C215" s="19">
        <v>0.26</v>
      </c>
    </row>
    <row r="216" spans="1:3" ht="15" x14ac:dyDescent="0.25">
      <c r="A216" s="122" t="s">
        <v>710</v>
      </c>
      <c r="B216" s="3" t="s">
        <v>711</v>
      </c>
      <c r="C216" s="19">
        <v>4025.2200000000012</v>
      </c>
    </row>
    <row r="217" spans="1:3" ht="15" x14ac:dyDescent="0.25">
      <c r="A217" s="122" t="s">
        <v>712</v>
      </c>
      <c r="B217" s="3" t="s">
        <v>713</v>
      </c>
      <c r="C217" s="19">
        <v>-19640.289999999997</v>
      </c>
    </row>
    <row r="218" spans="1:3" ht="15" x14ac:dyDescent="0.25">
      <c r="A218" s="122" t="s">
        <v>714</v>
      </c>
      <c r="B218" s="3" t="s">
        <v>715</v>
      </c>
      <c r="C218" s="19">
        <v>-3065.9900000000002</v>
      </c>
    </row>
    <row r="219" spans="1:3" ht="15" x14ac:dyDescent="0.25">
      <c r="A219" s="122" t="s">
        <v>716</v>
      </c>
      <c r="B219" s="3" t="s">
        <v>717</v>
      </c>
      <c r="C219" s="19">
        <v>1995875.6800000009</v>
      </c>
    </row>
    <row r="220" spans="1:3" ht="15" x14ac:dyDescent="0.25">
      <c r="A220" s="122" t="s">
        <v>718</v>
      </c>
      <c r="B220" s="3" t="s">
        <v>719</v>
      </c>
      <c r="C220" s="19">
        <v>17066.050000000003</v>
      </c>
    </row>
    <row r="221" spans="1:3" ht="15" x14ac:dyDescent="0.25">
      <c r="A221" s="122" t="s">
        <v>720</v>
      </c>
      <c r="B221" s="3" t="s">
        <v>721</v>
      </c>
      <c r="C221" s="19">
        <v>11.11</v>
      </c>
    </row>
    <row r="222" spans="1:3" ht="15" x14ac:dyDescent="0.25">
      <c r="A222" s="122" t="s">
        <v>722</v>
      </c>
      <c r="B222" s="3" t="s">
        <v>723</v>
      </c>
      <c r="C222" s="19">
        <v>444.21999999999935</v>
      </c>
    </row>
    <row r="223" spans="1:3" ht="15" x14ac:dyDescent="0.25">
      <c r="A223" s="122" t="s">
        <v>724</v>
      </c>
      <c r="B223" s="3" t="s">
        <v>725</v>
      </c>
      <c r="C223" s="19">
        <v>253335.33999999997</v>
      </c>
    </row>
    <row r="224" spans="1:3" ht="15" x14ac:dyDescent="0.25">
      <c r="A224" s="122" t="s">
        <v>726</v>
      </c>
      <c r="B224" s="3" t="s">
        <v>727</v>
      </c>
      <c r="C224" s="19">
        <v>108822.68000000001</v>
      </c>
    </row>
    <row r="225" spans="1:3" ht="15" x14ac:dyDescent="0.25">
      <c r="A225" s="122" t="s">
        <v>728</v>
      </c>
      <c r="B225" s="3" t="s">
        <v>729</v>
      </c>
      <c r="C225" s="19">
        <v>16430</v>
      </c>
    </row>
    <row r="226" spans="1:3" ht="15" x14ac:dyDescent="0.25">
      <c r="A226" s="122" t="s">
        <v>730</v>
      </c>
      <c r="B226" s="3" t="s">
        <v>731</v>
      </c>
      <c r="C226" s="19">
        <v>129396.90999999995</v>
      </c>
    </row>
    <row r="227" spans="1:3" ht="15" x14ac:dyDescent="0.25">
      <c r="A227" s="122" t="s">
        <v>732</v>
      </c>
      <c r="B227" s="3" t="s">
        <v>733</v>
      </c>
      <c r="C227" s="19">
        <v>93007.640000000029</v>
      </c>
    </row>
    <row r="228" spans="1:3" ht="15" x14ac:dyDescent="0.25">
      <c r="A228" s="122" t="s">
        <v>734</v>
      </c>
      <c r="B228" s="3" t="s">
        <v>735</v>
      </c>
      <c r="C228" s="19">
        <v>-1261.8000000000002</v>
      </c>
    </row>
    <row r="229" spans="1:3" ht="15" x14ac:dyDescent="0.25">
      <c r="A229" s="122" t="s">
        <v>736</v>
      </c>
      <c r="B229" s="3" t="s">
        <v>737</v>
      </c>
      <c r="C229" s="19">
        <v>-585.36</v>
      </c>
    </row>
    <row r="230" spans="1:3" ht="15" x14ac:dyDescent="0.25">
      <c r="A230" s="122" t="s">
        <v>738</v>
      </c>
      <c r="B230" s="3" t="s">
        <v>739</v>
      </c>
      <c r="C230" s="19">
        <v>0</v>
      </c>
    </row>
    <row r="231" spans="1:3" ht="15" x14ac:dyDescent="0.25">
      <c r="A231" s="122" t="s">
        <v>740</v>
      </c>
      <c r="B231" s="3" t="s">
        <v>741</v>
      </c>
      <c r="C231" s="19">
        <v>2353.5600000000004</v>
      </c>
    </row>
    <row r="232" spans="1:3" ht="15" x14ac:dyDescent="0.25">
      <c r="A232" s="122" t="s">
        <v>742</v>
      </c>
      <c r="B232" s="3" t="s">
        <v>743</v>
      </c>
      <c r="C232" s="19">
        <v>584.55999999999949</v>
      </c>
    </row>
    <row r="233" spans="1:3" ht="15" x14ac:dyDescent="0.25">
      <c r="A233" s="122" t="s">
        <v>744</v>
      </c>
      <c r="B233" s="3" t="s">
        <v>745</v>
      </c>
      <c r="C233" s="19">
        <v>10333.979999999998</v>
      </c>
    </row>
    <row r="234" spans="1:3" ht="15" x14ac:dyDescent="0.25">
      <c r="A234" s="122" t="s">
        <v>746</v>
      </c>
      <c r="B234" s="3" t="s">
        <v>747</v>
      </c>
      <c r="C234" s="19">
        <v>0</v>
      </c>
    </row>
    <row r="235" spans="1:3" ht="15" x14ac:dyDescent="0.25">
      <c r="A235" s="122" t="s">
        <v>748</v>
      </c>
      <c r="B235" s="3" t="s">
        <v>749</v>
      </c>
      <c r="C235" s="19">
        <v>1166.8999999999996</v>
      </c>
    </row>
    <row r="236" spans="1:3" ht="15" x14ac:dyDescent="0.25">
      <c r="A236" s="122" t="s">
        <v>750</v>
      </c>
      <c r="B236" s="3" t="s">
        <v>751</v>
      </c>
      <c r="C236" s="19">
        <v>-977.24</v>
      </c>
    </row>
    <row r="237" spans="1:3" ht="15" x14ac:dyDescent="0.25">
      <c r="A237" s="122" t="s">
        <v>752</v>
      </c>
      <c r="B237" s="3" t="s">
        <v>753</v>
      </c>
      <c r="C237" s="19">
        <v>4517.1000000000004</v>
      </c>
    </row>
    <row r="238" spans="1:3" ht="15" x14ac:dyDescent="0.25">
      <c r="A238" s="122" t="s">
        <v>754</v>
      </c>
      <c r="B238" s="3" t="s">
        <v>755</v>
      </c>
      <c r="C238" s="19">
        <v>2188.84</v>
      </c>
    </row>
    <row r="239" spans="1:3" ht="15" x14ac:dyDescent="0.25">
      <c r="A239" s="122" t="s">
        <v>756</v>
      </c>
      <c r="B239" s="3" t="s">
        <v>757</v>
      </c>
      <c r="C239" s="19">
        <v>8699.86</v>
      </c>
    </row>
    <row r="240" spans="1:3" ht="15" x14ac:dyDescent="0.25">
      <c r="A240" s="122" t="s">
        <v>758</v>
      </c>
      <c r="B240" s="3" t="s">
        <v>759</v>
      </c>
      <c r="C240" s="19">
        <v>10795.61</v>
      </c>
    </row>
    <row r="241" spans="1:3" ht="15" x14ac:dyDescent="0.25">
      <c r="A241" s="122" t="s">
        <v>760</v>
      </c>
      <c r="B241" s="3" t="s">
        <v>761</v>
      </c>
      <c r="C241" s="19">
        <v>14787.149999999998</v>
      </c>
    </row>
    <row r="242" spans="1:3" ht="15" x14ac:dyDescent="0.25">
      <c r="A242" s="122" t="s">
        <v>762</v>
      </c>
      <c r="B242" s="3" t="s">
        <v>763</v>
      </c>
      <c r="C242" s="19">
        <v>-3254.3800000000006</v>
      </c>
    </row>
    <row r="243" spans="1:3" ht="15" x14ac:dyDescent="0.25">
      <c r="A243" s="122" t="s">
        <v>764</v>
      </c>
      <c r="B243" s="3" t="s">
        <v>765</v>
      </c>
      <c r="C243" s="19">
        <v>2853.96</v>
      </c>
    </row>
    <row r="244" spans="1:3" ht="15" x14ac:dyDescent="0.25">
      <c r="A244" s="122" t="s">
        <v>766</v>
      </c>
      <c r="B244" s="3" t="s">
        <v>767</v>
      </c>
      <c r="C244" s="19">
        <v>21400.089999999997</v>
      </c>
    </row>
    <row r="245" spans="1:3" ht="15" x14ac:dyDescent="0.25">
      <c r="A245" s="122" t="s">
        <v>768</v>
      </c>
      <c r="B245" s="3" t="s">
        <v>769</v>
      </c>
      <c r="C245" s="19">
        <v>0.01</v>
      </c>
    </row>
    <row r="246" spans="1:3" ht="15" x14ac:dyDescent="0.25">
      <c r="A246" s="122" t="s">
        <v>770</v>
      </c>
      <c r="B246" s="3" t="s">
        <v>771</v>
      </c>
      <c r="C246" s="19">
        <v>-0.71</v>
      </c>
    </row>
    <row r="247" spans="1:3" ht="15" x14ac:dyDescent="0.25">
      <c r="A247" s="122" t="s">
        <v>772</v>
      </c>
      <c r="B247" s="3" t="s">
        <v>773</v>
      </c>
      <c r="C247" s="19">
        <v>-132.71</v>
      </c>
    </row>
    <row r="248" spans="1:3" ht="15" x14ac:dyDescent="0.25">
      <c r="A248" s="122" t="s">
        <v>774</v>
      </c>
      <c r="B248" s="3" t="s">
        <v>775</v>
      </c>
      <c r="C248" s="19">
        <v>-10000</v>
      </c>
    </row>
    <row r="249" spans="1:3" ht="15" x14ac:dyDescent="0.25">
      <c r="A249" s="122" t="s">
        <v>776</v>
      </c>
      <c r="B249" s="3" t="s">
        <v>777</v>
      </c>
      <c r="C249" s="19">
        <v>-53.359999999999673</v>
      </c>
    </row>
    <row r="250" spans="1:3" ht="15" x14ac:dyDescent="0.25">
      <c r="A250" s="122" t="s">
        <v>778</v>
      </c>
      <c r="B250" s="3" t="s">
        <v>779</v>
      </c>
      <c r="C250" s="19">
        <v>53575.210000000036</v>
      </c>
    </row>
    <row r="251" spans="1:3" ht="15" x14ac:dyDescent="0.25">
      <c r="A251" s="122" t="s">
        <v>780</v>
      </c>
      <c r="B251" s="3" t="s">
        <v>781</v>
      </c>
      <c r="C251" s="19">
        <v>449319.69000000018</v>
      </c>
    </row>
    <row r="252" spans="1:3" ht="15" x14ac:dyDescent="0.25">
      <c r="A252" s="122" t="s">
        <v>782</v>
      </c>
      <c r="B252" s="3" t="s">
        <v>783</v>
      </c>
      <c r="C252" s="19">
        <v>234357.72999999989</v>
      </c>
    </row>
    <row r="253" spans="1:3" ht="15" x14ac:dyDescent="0.25">
      <c r="A253" s="122" t="s">
        <v>784</v>
      </c>
      <c r="B253" s="3" t="s">
        <v>785</v>
      </c>
      <c r="C253" s="19">
        <v>285786.16999999993</v>
      </c>
    </row>
    <row r="254" spans="1:3" ht="15" x14ac:dyDescent="0.25">
      <c r="A254" s="122" t="s">
        <v>786</v>
      </c>
      <c r="B254" s="3" t="s">
        <v>787</v>
      </c>
      <c r="C254" s="19">
        <v>126251.87000000005</v>
      </c>
    </row>
    <row r="255" spans="1:3" ht="15" x14ac:dyDescent="0.25">
      <c r="A255" s="122" t="s">
        <v>788</v>
      </c>
      <c r="B255" s="3" t="s">
        <v>789</v>
      </c>
      <c r="C255" s="19">
        <v>20300</v>
      </c>
    </row>
    <row r="256" spans="1:3" ht="15" x14ac:dyDescent="0.25">
      <c r="A256" s="122" t="s">
        <v>790</v>
      </c>
      <c r="B256" s="3" t="s">
        <v>791</v>
      </c>
      <c r="C256" s="19">
        <v>144859.54999999999</v>
      </c>
    </row>
    <row r="257" spans="1:3" ht="15" x14ac:dyDescent="0.25">
      <c r="A257" s="122" t="s">
        <v>792</v>
      </c>
      <c r="B257" s="3" t="s">
        <v>793</v>
      </c>
      <c r="C257" s="19">
        <v>182352.49999999997</v>
      </c>
    </row>
    <row r="258" spans="1:3" ht="15" x14ac:dyDescent="0.25">
      <c r="A258" s="122" t="s">
        <v>794</v>
      </c>
      <c r="B258" s="3" t="s">
        <v>795</v>
      </c>
      <c r="C258" s="19">
        <v>-13180.190000000002</v>
      </c>
    </row>
    <row r="259" spans="1:3" ht="15" x14ac:dyDescent="0.25">
      <c r="A259" s="122" t="s">
        <v>796</v>
      </c>
      <c r="B259" s="3" t="s">
        <v>797</v>
      </c>
      <c r="C259" s="19">
        <v>-1394.9500000000023</v>
      </c>
    </row>
    <row r="260" spans="1:3" ht="15" x14ac:dyDescent="0.25">
      <c r="A260" s="122" t="s">
        <v>798</v>
      </c>
      <c r="B260" s="3" t="s">
        <v>799</v>
      </c>
      <c r="C260" s="19">
        <v>7401.3799999999992</v>
      </c>
    </row>
    <row r="261" spans="1:3" ht="15" x14ac:dyDescent="0.25">
      <c r="A261" s="122" t="s">
        <v>800</v>
      </c>
      <c r="B261" s="3" t="s">
        <v>801</v>
      </c>
      <c r="C261" s="19">
        <v>1.1600000000000001</v>
      </c>
    </row>
    <row r="262" spans="1:3" ht="15" x14ac:dyDescent="0.25">
      <c r="A262" s="122" t="s">
        <v>802</v>
      </c>
      <c r="B262" s="3" t="s">
        <v>803</v>
      </c>
      <c r="C262" s="19">
        <v>7762.6399999999994</v>
      </c>
    </row>
    <row r="263" spans="1:3" ht="15" x14ac:dyDescent="0.25">
      <c r="A263" s="122" t="s">
        <v>804</v>
      </c>
      <c r="B263" s="3" t="s">
        <v>805</v>
      </c>
      <c r="C263" s="19">
        <v>7281.3400000000029</v>
      </c>
    </row>
    <row r="264" spans="1:3" ht="15" x14ac:dyDescent="0.25">
      <c r="A264" s="122" t="s">
        <v>806</v>
      </c>
      <c r="B264" s="3" t="s">
        <v>807</v>
      </c>
      <c r="C264" s="19">
        <v>25897.5</v>
      </c>
    </row>
    <row r="265" spans="1:3" ht="15" x14ac:dyDescent="0.25">
      <c r="A265" s="122" t="s">
        <v>808</v>
      </c>
      <c r="B265" s="3" t="s">
        <v>809</v>
      </c>
      <c r="C265" s="19">
        <v>72245.52</v>
      </c>
    </row>
    <row r="266" spans="1:3" ht="15" x14ac:dyDescent="0.25">
      <c r="A266" s="122" t="s">
        <v>810</v>
      </c>
      <c r="B266" s="3" t="s">
        <v>811</v>
      </c>
      <c r="C266" s="19">
        <v>80661.630000000019</v>
      </c>
    </row>
    <row r="267" spans="1:3" ht="15" x14ac:dyDescent="0.25">
      <c r="A267" s="122" t="s">
        <v>812</v>
      </c>
      <c r="B267" s="3" t="s">
        <v>813</v>
      </c>
      <c r="C267" s="19">
        <v>96840.629999999976</v>
      </c>
    </row>
    <row r="268" spans="1:3" ht="15" x14ac:dyDescent="0.25">
      <c r="A268" s="122" t="s">
        <v>814</v>
      </c>
      <c r="B268" s="3" t="s">
        <v>815</v>
      </c>
      <c r="C268" s="19">
        <v>31202.17</v>
      </c>
    </row>
    <row r="269" spans="1:3" ht="15" x14ac:dyDescent="0.25">
      <c r="A269" s="122" t="s">
        <v>816</v>
      </c>
      <c r="B269" s="3" t="s">
        <v>817</v>
      </c>
      <c r="C269" s="19">
        <v>31202.17</v>
      </c>
    </row>
    <row r="270" spans="1:3" ht="15" x14ac:dyDescent="0.25">
      <c r="A270" s="122" t="s">
        <v>818</v>
      </c>
      <c r="B270" s="3" t="s">
        <v>819</v>
      </c>
      <c r="C270" s="19">
        <v>31202.17</v>
      </c>
    </row>
    <row r="271" spans="1:3" ht="15" x14ac:dyDescent="0.25">
      <c r="A271" s="122" t="s">
        <v>820</v>
      </c>
      <c r="B271" s="3" t="s">
        <v>821</v>
      </c>
      <c r="C271" s="19">
        <v>31202.17</v>
      </c>
    </row>
    <row r="272" spans="1:3" ht="15" x14ac:dyDescent="0.25">
      <c r="A272" s="122" t="s">
        <v>822</v>
      </c>
      <c r="B272" s="3" t="s">
        <v>823</v>
      </c>
      <c r="C272" s="19">
        <v>31202.17</v>
      </c>
    </row>
    <row r="273" spans="1:3" ht="15" x14ac:dyDescent="0.25">
      <c r="A273" s="122" t="s">
        <v>824</v>
      </c>
      <c r="B273" s="3" t="s">
        <v>825</v>
      </c>
      <c r="C273" s="19">
        <v>175087.34</v>
      </c>
    </row>
    <row r="274" spans="1:3" ht="15" x14ac:dyDescent="0.25">
      <c r="A274" s="122" t="s">
        <v>826</v>
      </c>
      <c r="B274" s="3" t="s">
        <v>827</v>
      </c>
      <c r="C274" s="19">
        <v>-23046.65</v>
      </c>
    </row>
    <row r="275" spans="1:3" ht="15" x14ac:dyDescent="0.25">
      <c r="A275" s="122" t="s">
        <v>828</v>
      </c>
      <c r="B275" s="3" t="s">
        <v>829</v>
      </c>
      <c r="C275" s="19">
        <v>17624.37</v>
      </c>
    </row>
    <row r="276" spans="1:3" ht="15" x14ac:dyDescent="0.25">
      <c r="A276" s="122" t="s">
        <v>830</v>
      </c>
      <c r="B276" s="3" t="s">
        <v>831</v>
      </c>
      <c r="C276" s="19">
        <v>651459.91999999981</v>
      </c>
    </row>
    <row r="277" spans="1:3" ht="15" x14ac:dyDescent="0.25">
      <c r="A277" s="122" t="s">
        <v>832</v>
      </c>
      <c r="B277" s="3" t="s">
        <v>833</v>
      </c>
      <c r="C277" s="19">
        <v>-8937.7900000000009</v>
      </c>
    </row>
    <row r="278" spans="1:3" ht="15" x14ac:dyDescent="0.25">
      <c r="A278" s="122" t="s">
        <v>834</v>
      </c>
      <c r="B278" s="3" t="s">
        <v>835</v>
      </c>
      <c r="C278" s="19">
        <v>4398.13</v>
      </c>
    </row>
    <row r="279" spans="1:3" ht="15" x14ac:dyDescent="0.25">
      <c r="A279" s="122" t="s">
        <v>836</v>
      </c>
      <c r="B279" s="3" t="s">
        <v>837</v>
      </c>
      <c r="C279" s="19">
        <v>355847.47000000009</v>
      </c>
    </row>
    <row r="280" spans="1:3" ht="15" x14ac:dyDescent="0.25">
      <c r="A280" s="122" t="s">
        <v>838</v>
      </c>
      <c r="B280" s="3" t="s">
        <v>839</v>
      </c>
      <c r="C280" s="19">
        <v>318575.52000000014</v>
      </c>
    </row>
    <row r="281" spans="1:3" ht="15" x14ac:dyDescent="0.25">
      <c r="A281" s="122" t="s">
        <v>840</v>
      </c>
      <c r="B281" s="3" t="s">
        <v>841</v>
      </c>
      <c r="C281" s="19">
        <v>-3875.34</v>
      </c>
    </row>
    <row r="282" spans="1:3" ht="15" x14ac:dyDescent="0.25">
      <c r="A282" s="122" t="s">
        <v>842</v>
      </c>
      <c r="B282" s="3" t="s">
        <v>843</v>
      </c>
      <c r="C282" s="19">
        <v>457337.44000000018</v>
      </c>
    </row>
    <row r="283" spans="1:3" ht="15" x14ac:dyDescent="0.25">
      <c r="A283" s="122" t="s">
        <v>844</v>
      </c>
      <c r="B283" s="3" t="s">
        <v>845</v>
      </c>
      <c r="C283" s="19">
        <v>234291.62999999998</v>
      </c>
    </row>
    <row r="284" spans="1:3" ht="15" x14ac:dyDescent="0.25">
      <c r="A284" s="122" t="s">
        <v>846</v>
      </c>
      <c r="B284" s="3" t="s">
        <v>847</v>
      </c>
      <c r="C284" s="19">
        <v>122405.18</v>
      </c>
    </row>
    <row r="285" spans="1:3" ht="15" x14ac:dyDescent="0.25">
      <c r="A285" s="122" t="s">
        <v>848</v>
      </c>
      <c r="B285" s="3" t="s">
        <v>849</v>
      </c>
      <c r="C285" s="19">
        <v>408640.55000000005</v>
      </c>
    </row>
    <row r="286" spans="1:3" ht="15" x14ac:dyDescent="0.25">
      <c r="A286" s="122" t="s">
        <v>850</v>
      </c>
      <c r="B286" s="3" t="s">
        <v>851</v>
      </c>
      <c r="C286" s="19">
        <v>34045.24</v>
      </c>
    </row>
    <row r="287" spans="1:3" ht="15" x14ac:dyDescent="0.25">
      <c r="A287" s="122" t="s">
        <v>852</v>
      </c>
      <c r="B287" s="3" t="s">
        <v>853</v>
      </c>
      <c r="C287" s="19">
        <v>15596.690000000004</v>
      </c>
    </row>
    <row r="288" spans="1:3" ht="15" x14ac:dyDescent="0.25">
      <c r="A288" s="122" t="s">
        <v>854</v>
      </c>
      <c r="B288" s="3" t="s">
        <v>855</v>
      </c>
      <c r="C288" s="19">
        <v>27704.100000000002</v>
      </c>
    </row>
    <row r="289" spans="1:3" ht="15" x14ac:dyDescent="0.25">
      <c r="A289" s="122" t="s">
        <v>856</v>
      </c>
      <c r="B289" s="3" t="s">
        <v>857</v>
      </c>
      <c r="C289" s="19">
        <v>419431.67</v>
      </c>
    </row>
    <row r="290" spans="1:3" ht="15" x14ac:dyDescent="0.25">
      <c r="A290" s="122" t="s">
        <v>858</v>
      </c>
      <c r="B290" s="3" t="s">
        <v>859</v>
      </c>
      <c r="C290" s="19">
        <v>18250.8</v>
      </c>
    </row>
    <row r="291" spans="1:3" ht="15" x14ac:dyDescent="0.25">
      <c r="A291" s="122" t="s">
        <v>860</v>
      </c>
      <c r="B291" s="3" t="s">
        <v>861</v>
      </c>
      <c r="C291" s="19">
        <v>2801.1500000000005</v>
      </c>
    </row>
    <row r="292" spans="1:3" ht="15" x14ac:dyDescent="0.25">
      <c r="A292" s="122" t="s">
        <v>862</v>
      </c>
      <c r="B292" s="3" t="s">
        <v>863</v>
      </c>
      <c r="C292" s="19">
        <v>79173.760000000009</v>
      </c>
    </row>
    <row r="293" spans="1:3" ht="15" x14ac:dyDescent="0.25">
      <c r="A293" s="122" t="s">
        <v>864</v>
      </c>
      <c r="B293" s="3" t="s">
        <v>865</v>
      </c>
      <c r="C293" s="19">
        <v>410796.05999999988</v>
      </c>
    </row>
    <row r="294" spans="1:3" ht="15" x14ac:dyDescent="0.25">
      <c r="A294" s="122" t="s">
        <v>866</v>
      </c>
      <c r="B294" s="3" t="s">
        <v>867</v>
      </c>
      <c r="C294" s="19">
        <v>-10351.799999999999</v>
      </c>
    </row>
    <row r="295" spans="1:3" ht="15" x14ac:dyDescent="0.25">
      <c r="A295" s="122" t="s">
        <v>868</v>
      </c>
      <c r="B295" s="3" t="s">
        <v>869</v>
      </c>
      <c r="C295" s="19">
        <v>203082.77999999997</v>
      </c>
    </row>
    <row r="296" spans="1:3" ht="15" x14ac:dyDescent="0.25">
      <c r="A296" s="122" t="s">
        <v>870</v>
      </c>
      <c r="B296" s="3" t="s">
        <v>871</v>
      </c>
      <c r="C296" s="19">
        <v>0.33999999999999997</v>
      </c>
    </row>
    <row r="297" spans="1:3" ht="15" x14ac:dyDescent="0.25">
      <c r="A297" s="122" t="s">
        <v>872</v>
      </c>
      <c r="B297" s="3" t="s">
        <v>873</v>
      </c>
      <c r="C297" s="19">
        <v>2432423.21</v>
      </c>
    </row>
    <row r="298" spans="1:3" ht="15" x14ac:dyDescent="0.25">
      <c r="A298" s="122" t="s">
        <v>874</v>
      </c>
      <c r="B298" s="3" t="s">
        <v>875</v>
      </c>
      <c r="C298" s="19">
        <v>2483290.9400000004</v>
      </c>
    </row>
    <row r="299" spans="1:3" ht="15" x14ac:dyDescent="0.25">
      <c r="A299" s="122" t="s">
        <v>876</v>
      </c>
      <c r="B299" s="3" t="s">
        <v>877</v>
      </c>
      <c r="C299" s="19">
        <v>104574.00000000001</v>
      </c>
    </row>
    <row r="300" spans="1:3" ht="15" x14ac:dyDescent="0.25">
      <c r="A300" s="122" t="s">
        <v>878</v>
      </c>
      <c r="B300" s="3" t="s">
        <v>879</v>
      </c>
      <c r="C300" s="19">
        <v>0</v>
      </c>
    </row>
    <row r="301" spans="1:3" ht="15" x14ac:dyDescent="0.25">
      <c r="A301" s="122" t="s">
        <v>880</v>
      </c>
      <c r="B301" s="3" t="s">
        <v>881</v>
      </c>
      <c r="C301" s="19">
        <v>1313783.3100000008</v>
      </c>
    </row>
    <row r="302" spans="1:3" ht="15" x14ac:dyDescent="0.25">
      <c r="A302" s="122" t="s">
        <v>882</v>
      </c>
      <c r="B302" s="3" t="s">
        <v>883</v>
      </c>
      <c r="C302" s="19">
        <v>-814.04000000000008</v>
      </c>
    </row>
    <row r="303" spans="1:3" ht="15" x14ac:dyDescent="0.25">
      <c r="A303" s="122" t="s">
        <v>884</v>
      </c>
      <c r="B303" s="3" t="s">
        <v>885</v>
      </c>
      <c r="C303" s="19">
        <v>-37851</v>
      </c>
    </row>
    <row r="304" spans="1:3" ht="15" x14ac:dyDescent="0.25">
      <c r="A304" s="122" t="s">
        <v>886</v>
      </c>
      <c r="B304" s="3" t="s">
        <v>887</v>
      </c>
      <c r="C304" s="19">
        <v>53799.67</v>
      </c>
    </row>
    <row r="305" spans="1:3" ht="15" x14ac:dyDescent="0.25">
      <c r="A305" s="122" t="s">
        <v>888</v>
      </c>
      <c r="B305" s="3" t="s">
        <v>889</v>
      </c>
      <c r="C305" s="19">
        <v>23880.3</v>
      </c>
    </row>
    <row r="306" spans="1:3" ht="15" x14ac:dyDescent="0.25">
      <c r="A306" s="122" t="s">
        <v>890</v>
      </c>
      <c r="B306" s="3" t="s">
        <v>891</v>
      </c>
      <c r="C306" s="19">
        <v>0</v>
      </c>
    </row>
    <row r="307" spans="1:3" ht="15" x14ac:dyDescent="0.25">
      <c r="A307" s="122" t="s">
        <v>892</v>
      </c>
      <c r="B307" s="3" t="s">
        <v>893</v>
      </c>
      <c r="C307" s="19">
        <v>6438039.8199999994</v>
      </c>
    </row>
    <row r="308" spans="1:3" ht="15" x14ac:dyDescent="0.25">
      <c r="A308" s="122" t="s">
        <v>894</v>
      </c>
      <c r="B308" s="3" t="s">
        <v>895</v>
      </c>
      <c r="C308" s="19">
        <v>48097.530000000006</v>
      </c>
    </row>
    <row r="309" spans="1:3" ht="15" x14ac:dyDescent="0.25">
      <c r="A309" s="122" t="s">
        <v>896</v>
      </c>
      <c r="B309" s="3" t="s">
        <v>897</v>
      </c>
      <c r="C309" s="19">
        <v>-2421.820000000007</v>
      </c>
    </row>
    <row r="310" spans="1:3" ht="15" x14ac:dyDescent="0.25">
      <c r="A310" s="122" t="s">
        <v>898</v>
      </c>
      <c r="B310" s="3" t="s">
        <v>899</v>
      </c>
      <c r="C310" s="19">
        <v>655179.93000000028</v>
      </c>
    </row>
    <row r="311" spans="1:3" ht="15" x14ac:dyDescent="0.25">
      <c r="A311" s="122" t="s">
        <v>900</v>
      </c>
      <c r="B311" s="3" t="s">
        <v>901</v>
      </c>
      <c r="C311" s="19">
        <v>587246.70000000042</v>
      </c>
    </row>
    <row r="312" spans="1:3" ht="15" x14ac:dyDescent="0.25">
      <c r="A312" s="122" t="s">
        <v>902</v>
      </c>
      <c r="B312" s="3" t="s">
        <v>903</v>
      </c>
      <c r="C312" s="19">
        <v>227870.48999999993</v>
      </c>
    </row>
    <row r="313" spans="1:3" ht="15" x14ac:dyDescent="0.25">
      <c r="A313" s="122" t="s">
        <v>904</v>
      </c>
      <c r="B313" s="3" t="s">
        <v>905</v>
      </c>
      <c r="C313" s="19">
        <v>972.5</v>
      </c>
    </row>
    <row r="314" spans="1:3" ht="15" x14ac:dyDescent="0.25">
      <c r="A314" s="122" t="s">
        <v>906</v>
      </c>
      <c r="B314" s="3" t="s">
        <v>907</v>
      </c>
      <c r="C314" s="19">
        <v>-1119.0999999999999</v>
      </c>
    </row>
    <row r="315" spans="1:3" ht="15" x14ac:dyDescent="0.25">
      <c r="A315" s="122" t="s">
        <v>908</v>
      </c>
      <c r="B315" s="3" t="s">
        <v>909</v>
      </c>
      <c r="C315" s="19">
        <v>-2990.0499999999997</v>
      </c>
    </row>
    <row r="316" spans="1:3" ht="15" x14ac:dyDescent="0.25">
      <c r="A316" s="122" t="s">
        <v>910</v>
      </c>
      <c r="B316" s="3" t="s">
        <v>911</v>
      </c>
      <c r="C316" s="19">
        <v>644.0000000000008</v>
      </c>
    </row>
    <row r="317" spans="1:3" ht="15" x14ac:dyDescent="0.25">
      <c r="A317" s="122" t="s">
        <v>912</v>
      </c>
      <c r="B317" s="3" t="s">
        <v>913</v>
      </c>
      <c r="C317" s="19">
        <v>1442.4299999999967</v>
      </c>
    </row>
    <row r="318" spans="1:3" ht="15" x14ac:dyDescent="0.25">
      <c r="A318" s="122" t="s">
        <v>914</v>
      </c>
      <c r="B318" s="3" t="s">
        <v>915</v>
      </c>
      <c r="C318" s="19">
        <v>513.13</v>
      </c>
    </row>
    <row r="319" spans="1:3" ht="15" x14ac:dyDescent="0.25">
      <c r="A319" s="122" t="s">
        <v>916</v>
      </c>
      <c r="B319" s="3" t="s">
        <v>917</v>
      </c>
      <c r="C319" s="19">
        <v>3529.1900000000055</v>
      </c>
    </row>
    <row r="320" spans="1:3" ht="15" x14ac:dyDescent="0.25">
      <c r="A320" s="122" t="s">
        <v>918</v>
      </c>
      <c r="B320" s="3" t="s">
        <v>919</v>
      </c>
      <c r="C320" s="19">
        <v>1099422.7099999997</v>
      </c>
    </row>
    <row r="321" spans="1:3" ht="15" x14ac:dyDescent="0.25">
      <c r="A321" s="122" t="s">
        <v>920</v>
      </c>
      <c r="B321" s="3" t="s">
        <v>921</v>
      </c>
      <c r="C321" s="19">
        <v>2007066.6799999992</v>
      </c>
    </row>
    <row r="322" spans="1:3" ht="15" x14ac:dyDescent="0.25">
      <c r="A322" s="122" t="s">
        <v>922</v>
      </c>
      <c r="B322" s="3" t="s">
        <v>923</v>
      </c>
      <c r="C322" s="19">
        <v>3047679.5300000017</v>
      </c>
    </row>
    <row r="323" spans="1:3" ht="15" x14ac:dyDescent="0.25">
      <c r="A323" s="122" t="s">
        <v>924</v>
      </c>
      <c r="B323" s="3" t="s">
        <v>925</v>
      </c>
      <c r="C323" s="19">
        <v>26893.400000000009</v>
      </c>
    </row>
    <row r="324" spans="1:3" ht="15" x14ac:dyDescent="0.25">
      <c r="A324" s="122" t="s">
        <v>926</v>
      </c>
      <c r="B324" s="3" t="s">
        <v>927</v>
      </c>
      <c r="C324" s="19">
        <v>139758.71</v>
      </c>
    </row>
    <row r="325" spans="1:3" ht="15" x14ac:dyDescent="0.25">
      <c r="A325" s="122" t="s">
        <v>928</v>
      </c>
      <c r="B325" s="3" t="s">
        <v>929</v>
      </c>
      <c r="C325" s="19">
        <v>28150.059999999998</v>
      </c>
    </row>
    <row r="326" spans="1:3" ht="15" x14ac:dyDescent="0.25">
      <c r="A326" s="122" t="s">
        <v>930</v>
      </c>
      <c r="B326" s="3" t="s">
        <v>931</v>
      </c>
      <c r="C326" s="19">
        <v>308703.11999999994</v>
      </c>
    </row>
    <row r="327" spans="1:3" ht="15" x14ac:dyDescent="0.25">
      <c r="A327" s="122" t="s">
        <v>932</v>
      </c>
      <c r="B327" s="3" t="s">
        <v>933</v>
      </c>
      <c r="C327" s="19">
        <v>63530.869999999988</v>
      </c>
    </row>
    <row r="328" spans="1:3" ht="15" x14ac:dyDescent="0.25">
      <c r="A328" s="122" t="s">
        <v>934</v>
      </c>
      <c r="B328" s="3" t="s">
        <v>935</v>
      </c>
      <c r="C328" s="19">
        <v>42449.78</v>
      </c>
    </row>
    <row r="329" spans="1:3" ht="15" x14ac:dyDescent="0.25">
      <c r="A329" s="122" t="s">
        <v>936</v>
      </c>
      <c r="B329" s="3" t="s">
        <v>937</v>
      </c>
      <c r="C329" s="19">
        <v>164000.62000000017</v>
      </c>
    </row>
    <row r="330" spans="1:3" ht="15" x14ac:dyDescent="0.25">
      <c r="A330" s="122" t="s">
        <v>938</v>
      </c>
      <c r="B330" s="3" t="s">
        <v>939</v>
      </c>
      <c r="C330" s="19">
        <v>162522.19</v>
      </c>
    </row>
    <row r="331" spans="1:3" ht="15" x14ac:dyDescent="0.25">
      <c r="A331" s="122" t="s">
        <v>940</v>
      </c>
      <c r="B331" s="3" t="s">
        <v>941</v>
      </c>
      <c r="C331" s="19">
        <v>30691.47</v>
      </c>
    </row>
    <row r="332" spans="1:3" ht="15" x14ac:dyDescent="0.25">
      <c r="A332" s="122" t="s">
        <v>942</v>
      </c>
      <c r="B332" s="3" t="s">
        <v>943</v>
      </c>
      <c r="C332" s="19">
        <v>147569.55000000005</v>
      </c>
    </row>
    <row r="333" spans="1:3" ht="15" x14ac:dyDescent="0.25">
      <c r="A333" s="122" t="s">
        <v>944</v>
      </c>
      <c r="B333" s="3" t="s">
        <v>945</v>
      </c>
      <c r="C333" s="19">
        <v>99719.990000000093</v>
      </c>
    </row>
    <row r="334" spans="1:3" ht="15" x14ac:dyDescent="0.25">
      <c r="A334" s="122" t="s">
        <v>946</v>
      </c>
      <c r="B334" s="3" t="s">
        <v>947</v>
      </c>
      <c r="C334" s="19">
        <v>88149.10000000002</v>
      </c>
    </row>
    <row r="335" spans="1:3" ht="15" x14ac:dyDescent="0.25">
      <c r="A335" s="122" t="s">
        <v>948</v>
      </c>
      <c r="B335" s="3" t="s">
        <v>949</v>
      </c>
      <c r="C335" s="19">
        <v>23209.520000000008</v>
      </c>
    </row>
    <row r="336" spans="1:3" ht="15" x14ac:dyDescent="0.25">
      <c r="A336" s="122" t="s">
        <v>950</v>
      </c>
      <c r="B336" s="3" t="s">
        <v>951</v>
      </c>
      <c r="C336" s="19">
        <v>78821.19</v>
      </c>
    </row>
    <row r="337" spans="1:3" ht="15" x14ac:dyDescent="0.25">
      <c r="A337" s="122" t="s">
        <v>952</v>
      </c>
      <c r="B337" s="3" t="s">
        <v>953</v>
      </c>
      <c r="C337" s="19">
        <v>13506.9</v>
      </c>
    </row>
    <row r="338" spans="1:3" ht="15" x14ac:dyDescent="0.25">
      <c r="A338" s="122" t="s">
        <v>954</v>
      </c>
      <c r="B338" s="3" t="s">
        <v>955</v>
      </c>
      <c r="C338" s="19">
        <v>36425.229999999996</v>
      </c>
    </row>
    <row r="339" spans="1:3" ht="15" x14ac:dyDescent="0.25">
      <c r="A339" s="122" t="s">
        <v>956</v>
      </c>
      <c r="B339" s="3" t="s">
        <v>957</v>
      </c>
      <c r="C339" s="19">
        <v>73770.720000000001</v>
      </c>
    </row>
    <row r="340" spans="1:3" ht="15" x14ac:dyDescent="0.25">
      <c r="A340" s="122" t="s">
        <v>958</v>
      </c>
      <c r="B340" s="3" t="s">
        <v>959</v>
      </c>
      <c r="C340" s="19">
        <v>121785.38</v>
      </c>
    </row>
    <row r="341" spans="1:3" ht="15" x14ac:dyDescent="0.25">
      <c r="A341" s="122" t="s">
        <v>960</v>
      </c>
      <c r="B341" s="3" t="s">
        <v>961</v>
      </c>
      <c r="C341" s="19">
        <v>145652.81999999995</v>
      </c>
    </row>
    <row r="342" spans="1:3" ht="15" x14ac:dyDescent="0.25">
      <c r="A342" s="122" t="s">
        <v>962</v>
      </c>
      <c r="B342" s="3" t="s">
        <v>963</v>
      </c>
      <c r="C342" s="19">
        <v>72581.370000000024</v>
      </c>
    </row>
    <row r="343" spans="1:3" ht="15" x14ac:dyDescent="0.25">
      <c r="A343" s="122" t="s">
        <v>964</v>
      </c>
      <c r="B343" s="3" t="s">
        <v>965</v>
      </c>
      <c r="C343" s="19">
        <v>1165.9599999999989</v>
      </c>
    </row>
    <row r="344" spans="1:3" ht="15" x14ac:dyDescent="0.25">
      <c r="A344" s="122" t="s">
        <v>966</v>
      </c>
      <c r="B344" s="3" t="s">
        <v>967</v>
      </c>
      <c r="C344" s="19">
        <v>96260.909999999989</v>
      </c>
    </row>
    <row r="345" spans="1:3" ht="15" x14ac:dyDescent="0.25">
      <c r="A345" s="122" t="s">
        <v>968</v>
      </c>
      <c r="B345" s="3" t="s">
        <v>969</v>
      </c>
      <c r="C345" s="19">
        <v>166424.74000000002</v>
      </c>
    </row>
    <row r="346" spans="1:3" ht="15" x14ac:dyDescent="0.25">
      <c r="A346" s="122" t="s">
        <v>970</v>
      </c>
      <c r="B346" s="3" t="s">
        <v>971</v>
      </c>
      <c r="C346" s="19">
        <v>91134.27999999997</v>
      </c>
    </row>
    <row r="347" spans="1:3" ht="15" x14ac:dyDescent="0.25">
      <c r="A347" s="122" t="s">
        <v>972</v>
      </c>
      <c r="B347" s="3" t="s">
        <v>973</v>
      </c>
      <c r="C347" s="19">
        <v>54124.05000000001</v>
      </c>
    </row>
    <row r="348" spans="1:3" ht="15" x14ac:dyDescent="0.25">
      <c r="A348" s="122" t="s">
        <v>974</v>
      </c>
      <c r="B348" s="3" t="s">
        <v>975</v>
      </c>
      <c r="C348" s="19">
        <v>185942.99999999983</v>
      </c>
    </row>
    <row r="349" spans="1:3" ht="15" x14ac:dyDescent="0.25">
      <c r="A349" s="122" t="s">
        <v>976</v>
      </c>
      <c r="B349" s="3" t="s">
        <v>977</v>
      </c>
      <c r="C349" s="19">
        <v>142157.06</v>
      </c>
    </row>
    <row r="350" spans="1:3" ht="15" x14ac:dyDescent="0.25">
      <c r="A350" s="122" t="s">
        <v>978</v>
      </c>
      <c r="B350" s="3" t="s">
        <v>979</v>
      </c>
      <c r="C350" s="19">
        <v>208251.56999999995</v>
      </c>
    </row>
    <row r="351" spans="1:3" ht="15" x14ac:dyDescent="0.25">
      <c r="A351" s="122" t="s">
        <v>980</v>
      </c>
      <c r="B351" s="3" t="s">
        <v>981</v>
      </c>
      <c r="C351" s="19">
        <v>185963.45000000004</v>
      </c>
    </row>
    <row r="352" spans="1:3" ht="15" x14ac:dyDescent="0.25">
      <c r="A352" s="122" t="s">
        <v>982</v>
      </c>
      <c r="B352" s="3" t="s">
        <v>983</v>
      </c>
      <c r="C352" s="19">
        <v>70004.409999999989</v>
      </c>
    </row>
    <row r="353" spans="1:3" ht="15" x14ac:dyDescent="0.25">
      <c r="A353" s="122" t="s">
        <v>984</v>
      </c>
      <c r="B353" s="3" t="s">
        <v>985</v>
      </c>
      <c r="C353" s="19">
        <v>35255.619999999966</v>
      </c>
    </row>
    <row r="354" spans="1:3" ht="15" x14ac:dyDescent="0.25">
      <c r="A354" s="122" t="s">
        <v>986</v>
      </c>
      <c r="B354" s="3" t="s">
        <v>987</v>
      </c>
      <c r="C354" s="19">
        <v>43823.970000000008</v>
      </c>
    </row>
    <row r="355" spans="1:3" ht="15" x14ac:dyDescent="0.25">
      <c r="A355" s="122" t="s">
        <v>988</v>
      </c>
      <c r="B355" s="3" t="s">
        <v>989</v>
      </c>
      <c r="C355" s="19">
        <v>105677.08999999998</v>
      </c>
    </row>
    <row r="356" spans="1:3" ht="15" x14ac:dyDescent="0.25">
      <c r="A356" s="122" t="s">
        <v>990</v>
      </c>
      <c r="B356" s="3" t="s">
        <v>991</v>
      </c>
      <c r="C356" s="19">
        <v>137879.50000000006</v>
      </c>
    </row>
    <row r="357" spans="1:3" ht="15" x14ac:dyDescent="0.25">
      <c r="A357" s="122" t="s">
        <v>992</v>
      </c>
      <c r="B357" s="3" t="s">
        <v>993</v>
      </c>
      <c r="C357" s="19">
        <v>52032.81</v>
      </c>
    </row>
    <row r="358" spans="1:3" ht="15" x14ac:dyDescent="0.25">
      <c r="A358" s="122" t="s">
        <v>994</v>
      </c>
      <c r="B358" s="3" t="s">
        <v>995</v>
      </c>
      <c r="C358" s="19">
        <v>50129.02000000004</v>
      </c>
    </row>
    <row r="359" spans="1:3" ht="15" x14ac:dyDescent="0.25">
      <c r="A359" s="122" t="s">
        <v>996</v>
      </c>
      <c r="B359" s="3" t="s">
        <v>997</v>
      </c>
      <c r="C359" s="19">
        <v>44062.99000000002</v>
      </c>
    </row>
    <row r="360" spans="1:3" ht="15" x14ac:dyDescent="0.25">
      <c r="A360" s="122" t="s">
        <v>998</v>
      </c>
      <c r="B360" s="3" t="s">
        <v>999</v>
      </c>
      <c r="C360" s="19">
        <v>2.1316282072803006E-14</v>
      </c>
    </row>
    <row r="361" spans="1:3" ht="15" x14ac:dyDescent="0.25">
      <c r="A361" s="122" t="s">
        <v>1000</v>
      </c>
      <c r="B361" s="3" t="s">
        <v>1001</v>
      </c>
      <c r="C361" s="19">
        <v>1.3358203432289883E-12</v>
      </c>
    </row>
    <row r="362" spans="1:3" ht="15" x14ac:dyDescent="0.25">
      <c r="A362" s="122" t="s">
        <v>1002</v>
      </c>
      <c r="B362" s="3" t="s">
        <v>1003</v>
      </c>
      <c r="C362" s="19">
        <v>25645.770000000004</v>
      </c>
    </row>
    <row r="363" spans="1:3" ht="15" x14ac:dyDescent="0.25">
      <c r="A363" s="122" t="s">
        <v>1004</v>
      </c>
      <c r="B363" s="3" t="s">
        <v>1005</v>
      </c>
      <c r="C363" s="19">
        <v>25629.77</v>
      </c>
    </row>
    <row r="364" spans="1:3" ht="15" x14ac:dyDescent="0.25">
      <c r="A364" s="122" t="s">
        <v>1006</v>
      </c>
      <c r="B364" s="3" t="s">
        <v>1007</v>
      </c>
      <c r="C364" s="19">
        <v>21276.91</v>
      </c>
    </row>
    <row r="365" spans="1:3" ht="15" x14ac:dyDescent="0.25">
      <c r="A365" s="122" t="s">
        <v>1008</v>
      </c>
      <c r="B365" s="3" t="s">
        <v>1009</v>
      </c>
      <c r="C365" s="19">
        <v>27726.899999999998</v>
      </c>
    </row>
    <row r="366" spans="1:3" ht="15" x14ac:dyDescent="0.25">
      <c r="A366" s="122" t="s">
        <v>1010</v>
      </c>
      <c r="B366" s="3" t="s">
        <v>1011</v>
      </c>
      <c r="C366" s="19">
        <v>19872.349999999999</v>
      </c>
    </row>
    <row r="367" spans="1:3" ht="15" x14ac:dyDescent="0.25">
      <c r="A367" s="122" t="s">
        <v>1012</v>
      </c>
      <c r="B367" s="3" t="s">
        <v>1013</v>
      </c>
      <c r="C367" s="19">
        <v>2033859.8500000008</v>
      </c>
    </row>
    <row r="368" spans="1:3" ht="15" x14ac:dyDescent="0.25">
      <c r="A368" s="122" t="s">
        <v>1014</v>
      </c>
      <c r="B368" s="3" t="s">
        <v>1015</v>
      </c>
      <c r="C368" s="19">
        <v>1141773.8799999999</v>
      </c>
    </row>
    <row r="369" spans="1:3" ht="15" x14ac:dyDescent="0.25">
      <c r="A369" s="122" t="s">
        <v>1016</v>
      </c>
      <c r="B369" s="3" t="s">
        <v>1017</v>
      </c>
      <c r="C369" s="19">
        <v>232878.62999999998</v>
      </c>
    </row>
    <row r="370" spans="1:3" ht="15" x14ac:dyDescent="0.25">
      <c r="A370" s="122" t="s">
        <v>1018</v>
      </c>
      <c r="B370" s="3" t="s">
        <v>1019</v>
      </c>
      <c r="C370" s="19">
        <v>62072.320000000014</v>
      </c>
    </row>
    <row r="371" spans="1:3" ht="15" x14ac:dyDescent="0.25">
      <c r="A371" s="122" t="s">
        <v>1020</v>
      </c>
      <c r="B371" s="3" t="s">
        <v>1021</v>
      </c>
      <c r="C371" s="19">
        <v>3.00000000002143E-2</v>
      </c>
    </row>
    <row r="372" spans="1:3" ht="15" x14ac:dyDescent="0.25">
      <c r="A372" s="122" t="s">
        <v>1022</v>
      </c>
      <c r="B372" s="3" t="s">
        <v>1023</v>
      </c>
      <c r="C372" s="19">
        <v>3154.4800000000055</v>
      </c>
    </row>
    <row r="373" spans="1:3" ht="15" x14ac:dyDescent="0.25">
      <c r="A373" s="122" t="s">
        <v>1024</v>
      </c>
      <c r="B373" s="3" t="s">
        <v>1025</v>
      </c>
      <c r="C373" s="19">
        <v>20735.489999999994</v>
      </c>
    </row>
    <row r="374" spans="1:3" ht="15" x14ac:dyDescent="0.25">
      <c r="A374" s="122" t="s">
        <v>1026</v>
      </c>
      <c r="B374" s="3" t="s">
        <v>1027</v>
      </c>
      <c r="C374" s="19">
        <v>-367.66999999999996</v>
      </c>
    </row>
    <row r="375" spans="1:3" ht="15" x14ac:dyDescent="0.25">
      <c r="A375" s="122" t="s">
        <v>1028</v>
      </c>
      <c r="B375" s="3" t="s">
        <v>1029</v>
      </c>
      <c r="C375" s="19">
        <v>-3350.42</v>
      </c>
    </row>
    <row r="376" spans="1:3" ht="15" x14ac:dyDescent="0.25">
      <c r="A376" s="122" t="s">
        <v>1030</v>
      </c>
      <c r="B376" s="3" t="s">
        <v>1031</v>
      </c>
      <c r="C376" s="19">
        <v>12326.45</v>
      </c>
    </row>
    <row r="377" spans="1:3" ht="15" x14ac:dyDescent="0.25">
      <c r="A377" s="122" t="s">
        <v>1032</v>
      </c>
      <c r="B377" s="3" t="s">
        <v>1033</v>
      </c>
      <c r="C377" s="19">
        <v>15616.050000000001</v>
      </c>
    </row>
    <row r="378" spans="1:3" ht="15" x14ac:dyDescent="0.25">
      <c r="A378" s="122" t="s">
        <v>1034</v>
      </c>
      <c r="B378" s="3" t="s">
        <v>1035</v>
      </c>
      <c r="C378" s="19">
        <v>396347.93000000005</v>
      </c>
    </row>
    <row r="379" spans="1:3" ht="15" x14ac:dyDescent="0.25">
      <c r="A379" s="122" t="s">
        <v>1036</v>
      </c>
      <c r="B379" s="3" t="s">
        <v>1037</v>
      </c>
      <c r="C379" s="19">
        <v>525770.17999999993</v>
      </c>
    </row>
    <row r="380" spans="1:3" ht="15" x14ac:dyDescent="0.25">
      <c r="A380" s="122" t="s">
        <v>1038</v>
      </c>
      <c r="B380" s="3" t="s">
        <v>1039</v>
      </c>
      <c r="C380" s="19">
        <v>973698.20999999938</v>
      </c>
    </row>
    <row r="381" spans="1:3" ht="15" x14ac:dyDescent="0.25">
      <c r="A381" s="122" t="s">
        <v>1040</v>
      </c>
      <c r="B381" s="3" t="s">
        <v>1041</v>
      </c>
      <c r="C381" s="19">
        <v>718225.57999999984</v>
      </c>
    </row>
    <row r="382" spans="1:3" ht="15" x14ac:dyDescent="0.25">
      <c r="A382" s="122" t="s">
        <v>1042</v>
      </c>
      <c r="B382" s="3" t="s">
        <v>1043</v>
      </c>
      <c r="C382" s="19">
        <v>547022.41</v>
      </c>
    </row>
    <row r="383" spans="1:3" ht="15" x14ac:dyDescent="0.25">
      <c r="A383" s="122" t="s">
        <v>1044</v>
      </c>
      <c r="B383" s="3" t="s">
        <v>1045</v>
      </c>
      <c r="C383" s="19">
        <v>500174.76999999973</v>
      </c>
    </row>
    <row r="384" spans="1:3" ht="15" x14ac:dyDescent="0.25">
      <c r="A384" s="122" t="s">
        <v>1046</v>
      </c>
      <c r="B384" s="3" t="s">
        <v>1047</v>
      </c>
      <c r="C384" s="19">
        <v>5957.87</v>
      </c>
    </row>
    <row r="385" spans="1:3" ht="15" x14ac:dyDescent="0.25">
      <c r="A385" s="122" t="s">
        <v>1048</v>
      </c>
      <c r="B385" s="3" t="s">
        <v>1049</v>
      </c>
      <c r="C385" s="19">
        <v>32996.070000000007</v>
      </c>
    </row>
    <row r="386" spans="1:3" ht="15" x14ac:dyDescent="0.25">
      <c r="A386" s="122" t="s">
        <v>1050</v>
      </c>
      <c r="B386" s="3" t="s">
        <v>1051</v>
      </c>
      <c r="C386" s="19">
        <v>113227.12</v>
      </c>
    </row>
    <row r="387" spans="1:3" ht="15" x14ac:dyDescent="0.25">
      <c r="A387" s="122" t="s">
        <v>1052</v>
      </c>
      <c r="B387" s="3" t="s">
        <v>1053</v>
      </c>
      <c r="C387" s="19">
        <v>96458.849999999991</v>
      </c>
    </row>
    <row r="388" spans="1:3" ht="15" x14ac:dyDescent="0.25">
      <c r="A388" s="122" t="s">
        <v>1054</v>
      </c>
      <c r="B388" s="3" t="s">
        <v>1055</v>
      </c>
      <c r="C388" s="19">
        <v>5606.9000000000005</v>
      </c>
    </row>
    <row r="389" spans="1:3" ht="15" x14ac:dyDescent="0.25">
      <c r="A389" s="122" t="s">
        <v>1056</v>
      </c>
      <c r="B389" s="3" t="s">
        <v>1057</v>
      </c>
      <c r="C389" s="19">
        <v>27018.750000000004</v>
      </c>
    </row>
    <row r="390" spans="1:3" ht="15" x14ac:dyDescent="0.25">
      <c r="A390" s="122" t="s">
        <v>1058</v>
      </c>
      <c r="B390" s="3" t="s">
        <v>1059</v>
      </c>
      <c r="C390" s="19">
        <v>24674.219999999994</v>
      </c>
    </row>
    <row r="391" spans="1:3" ht="15" x14ac:dyDescent="0.25">
      <c r="A391" s="122" t="s">
        <v>1060</v>
      </c>
      <c r="B391" s="3" t="s">
        <v>1061</v>
      </c>
      <c r="C391" s="19">
        <v>444825.6399999999</v>
      </c>
    </row>
    <row r="392" spans="1:3" ht="15" x14ac:dyDescent="0.25">
      <c r="A392" s="122" t="s">
        <v>1062</v>
      </c>
      <c r="B392" s="3" t="s">
        <v>1063</v>
      </c>
      <c r="C392" s="19">
        <v>308668.01000000007</v>
      </c>
    </row>
    <row r="393" spans="1:3" ht="15" x14ac:dyDescent="0.25">
      <c r="A393" s="122" t="s">
        <v>1064</v>
      </c>
      <c r="B393" s="3" t="s">
        <v>1065</v>
      </c>
      <c r="C393" s="19">
        <v>47857.06</v>
      </c>
    </row>
    <row r="394" spans="1:3" ht="15" x14ac:dyDescent="0.25">
      <c r="A394" s="122" t="s">
        <v>1066</v>
      </c>
      <c r="B394" s="3" t="s">
        <v>1067</v>
      </c>
      <c r="C394" s="19">
        <v>56729.71</v>
      </c>
    </row>
    <row r="395" spans="1:3" ht="15" x14ac:dyDescent="0.25">
      <c r="A395" s="122" t="s">
        <v>1068</v>
      </c>
      <c r="B395" s="3" t="s">
        <v>1069</v>
      </c>
      <c r="C395" s="19">
        <v>23356.7</v>
      </c>
    </row>
    <row r="396" spans="1:3" ht="15" x14ac:dyDescent="0.25">
      <c r="A396" s="122" t="s">
        <v>1070</v>
      </c>
      <c r="B396" s="3" t="s">
        <v>1071</v>
      </c>
      <c r="C396" s="19">
        <v>83900.56</v>
      </c>
    </row>
    <row r="397" spans="1:3" ht="15" x14ac:dyDescent="0.25">
      <c r="A397" s="122" t="s">
        <v>1072</v>
      </c>
      <c r="B397" s="3" t="s">
        <v>1073</v>
      </c>
      <c r="C397" s="19">
        <v>0</v>
      </c>
    </row>
    <row r="398" spans="1:3" ht="15" x14ac:dyDescent="0.25">
      <c r="A398" s="122" t="s">
        <v>1074</v>
      </c>
      <c r="B398" s="3" t="s">
        <v>1075</v>
      </c>
      <c r="C398" s="19">
        <v>9675.760000000002</v>
      </c>
    </row>
    <row r="399" spans="1:3" ht="15" x14ac:dyDescent="0.25">
      <c r="A399" s="122" t="s">
        <v>1076</v>
      </c>
      <c r="B399" s="3" t="s">
        <v>1077</v>
      </c>
      <c r="C399" s="19">
        <v>9520.93</v>
      </c>
    </row>
    <row r="400" spans="1:3" ht="15" x14ac:dyDescent="0.25">
      <c r="A400" s="122" t="s">
        <v>1078</v>
      </c>
      <c r="B400" s="3" t="s">
        <v>1079</v>
      </c>
      <c r="C400" s="19">
        <v>67410.279999999984</v>
      </c>
    </row>
    <row r="401" spans="1:3" ht="15" x14ac:dyDescent="0.25">
      <c r="A401" s="122" t="s">
        <v>1080</v>
      </c>
      <c r="B401" s="3" t="s">
        <v>1081</v>
      </c>
      <c r="C401" s="19">
        <v>84515.749999999956</v>
      </c>
    </row>
    <row r="402" spans="1:3" ht="15" x14ac:dyDescent="0.25">
      <c r="A402" s="122" t="s">
        <v>1082</v>
      </c>
      <c r="B402" s="3" t="s">
        <v>1083</v>
      </c>
      <c r="C402" s="19">
        <v>161999.07000000004</v>
      </c>
    </row>
    <row r="403" spans="1:3" ht="15" x14ac:dyDescent="0.25">
      <c r="A403" s="122" t="s">
        <v>1084</v>
      </c>
      <c r="B403" s="3" t="s">
        <v>1085</v>
      </c>
      <c r="C403" s="19">
        <v>10443.570000000003</v>
      </c>
    </row>
    <row r="404" spans="1:3" ht="15" x14ac:dyDescent="0.25">
      <c r="A404" s="122" t="s">
        <v>1086</v>
      </c>
      <c r="B404" s="3" t="s">
        <v>1087</v>
      </c>
      <c r="C404" s="19">
        <v>82877.240000000005</v>
      </c>
    </row>
    <row r="405" spans="1:3" ht="15" x14ac:dyDescent="0.25">
      <c r="A405" s="122" t="s">
        <v>1088</v>
      </c>
      <c r="B405" s="3" t="s">
        <v>1089</v>
      </c>
      <c r="C405" s="19">
        <v>0.39</v>
      </c>
    </row>
    <row r="406" spans="1:3" ht="15" x14ac:dyDescent="0.25">
      <c r="A406" s="122" t="s">
        <v>1090</v>
      </c>
      <c r="B406" s="3" t="s">
        <v>1091</v>
      </c>
      <c r="C406" s="19">
        <v>46570.990000000005</v>
      </c>
    </row>
    <row r="407" spans="1:3" ht="15" x14ac:dyDescent="0.25">
      <c r="A407" s="122" t="s">
        <v>1092</v>
      </c>
      <c r="B407" s="3" t="s">
        <v>1093</v>
      </c>
      <c r="C407" s="19">
        <v>-1067.7</v>
      </c>
    </row>
    <row r="408" spans="1:3" ht="15" x14ac:dyDescent="0.25">
      <c r="A408" s="122" t="s">
        <v>1094</v>
      </c>
      <c r="B408" s="3" t="s">
        <v>1095</v>
      </c>
      <c r="C408" s="19">
        <v>3501139.0799999996</v>
      </c>
    </row>
    <row r="409" spans="1:3" ht="15" x14ac:dyDescent="0.25">
      <c r="A409" s="122" t="s">
        <v>1096</v>
      </c>
      <c r="B409" s="3" t="s">
        <v>1097</v>
      </c>
      <c r="C409" s="19">
        <v>1631.01</v>
      </c>
    </row>
    <row r="410" spans="1:3" ht="15" x14ac:dyDescent="0.25">
      <c r="A410" s="122" t="s">
        <v>1098</v>
      </c>
      <c r="B410" s="3" t="s">
        <v>1099</v>
      </c>
      <c r="C410" s="19">
        <v>1089.6400000000003</v>
      </c>
    </row>
    <row r="411" spans="1:3" ht="15" x14ac:dyDescent="0.25">
      <c r="A411" s="122" t="s">
        <v>1100</v>
      </c>
      <c r="B411" s="3" t="s">
        <v>1101</v>
      </c>
      <c r="C411" s="19">
        <v>-644.8900000000292</v>
      </c>
    </row>
    <row r="412" spans="1:3" ht="15" x14ac:dyDescent="0.25">
      <c r="A412" s="122" t="s">
        <v>1102</v>
      </c>
      <c r="B412" s="3" t="s">
        <v>1103</v>
      </c>
      <c r="C412" s="19">
        <v>8415.1899999999987</v>
      </c>
    </row>
    <row r="413" spans="1:3" ht="15" x14ac:dyDescent="0.25">
      <c r="A413" s="122" t="s">
        <v>1104</v>
      </c>
      <c r="B413" s="3" t="s">
        <v>1105</v>
      </c>
      <c r="C413" s="19">
        <v>-9318</v>
      </c>
    </row>
    <row r="414" spans="1:3" ht="15" x14ac:dyDescent="0.25">
      <c r="A414" s="122" t="s">
        <v>1106</v>
      </c>
      <c r="B414" s="3" t="s">
        <v>1107</v>
      </c>
      <c r="C414" s="19">
        <v>-11010</v>
      </c>
    </row>
    <row r="415" spans="1:3" ht="15" x14ac:dyDescent="0.25">
      <c r="A415" s="122" t="s">
        <v>1108</v>
      </c>
      <c r="B415" s="3" t="s">
        <v>1109</v>
      </c>
      <c r="C415" s="19">
        <v>-11010</v>
      </c>
    </row>
    <row r="416" spans="1:3" ht="15" x14ac:dyDescent="0.25">
      <c r="A416" s="122" t="s">
        <v>1110</v>
      </c>
      <c r="B416" s="3" t="s">
        <v>1111</v>
      </c>
      <c r="C416" s="19">
        <v>-11010</v>
      </c>
    </row>
    <row r="417" spans="1:3" ht="15" x14ac:dyDescent="0.25">
      <c r="A417" s="122" t="s">
        <v>1112</v>
      </c>
      <c r="B417" s="3" t="s">
        <v>1113</v>
      </c>
      <c r="C417" s="19">
        <v>-11635.27</v>
      </c>
    </row>
    <row r="418" spans="1:3" ht="15" x14ac:dyDescent="0.25">
      <c r="A418" s="122" t="s">
        <v>1114</v>
      </c>
      <c r="B418" s="3" t="s">
        <v>1115</v>
      </c>
      <c r="C418" s="19">
        <v>-11010</v>
      </c>
    </row>
    <row r="419" spans="1:3" ht="15" x14ac:dyDescent="0.25">
      <c r="A419" s="122" t="s">
        <v>1116</v>
      </c>
      <c r="B419" s="3" t="s">
        <v>1117</v>
      </c>
      <c r="C419" s="19">
        <v>-7812</v>
      </c>
    </row>
    <row r="420" spans="1:3" ht="15" x14ac:dyDescent="0.25">
      <c r="A420" s="122" t="s">
        <v>1118</v>
      </c>
      <c r="B420" s="3" t="s">
        <v>1119</v>
      </c>
      <c r="C420" s="19">
        <v>-31452.000000000004</v>
      </c>
    </row>
    <row r="421" spans="1:3" ht="15" x14ac:dyDescent="0.25">
      <c r="A421" s="122" t="s">
        <v>1120</v>
      </c>
      <c r="B421" s="3" t="s">
        <v>1121</v>
      </c>
      <c r="C421" s="19">
        <v>-47178</v>
      </c>
    </row>
    <row r="422" spans="1:3" ht="15" x14ac:dyDescent="0.25">
      <c r="A422" s="122" t="s">
        <v>1122</v>
      </c>
      <c r="B422" s="3" t="s">
        <v>1123</v>
      </c>
      <c r="C422" s="19">
        <v>-15726.000000000002</v>
      </c>
    </row>
    <row r="423" spans="1:3" ht="15" x14ac:dyDescent="0.25">
      <c r="A423" s="122" t="s">
        <v>1124</v>
      </c>
      <c r="B423" s="3" t="s">
        <v>1125</v>
      </c>
      <c r="C423" s="19">
        <v>-567.4499999999997</v>
      </c>
    </row>
    <row r="424" spans="1:3" ht="15" x14ac:dyDescent="0.25">
      <c r="A424" s="122" t="s">
        <v>1126</v>
      </c>
      <c r="B424" s="3" t="s">
        <v>1127</v>
      </c>
      <c r="C424" s="19">
        <v>8970.64</v>
      </c>
    </row>
    <row r="425" spans="1:3" ht="15" x14ac:dyDescent="0.25">
      <c r="A425" s="122" t="s">
        <v>1128</v>
      </c>
      <c r="B425" s="3" t="s">
        <v>1129</v>
      </c>
      <c r="C425" s="19">
        <v>98335.9</v>
      </c>
    </row>
    <row r="426" spans="1:3" ht="15" x14ac:dyDescent="0.25">
      <c r="A426" s="122" t="s">
        <v>1130</v>
      </c>
      <c r="B426" s="3" t="s">
        <v>1131</v>
      </c>
      <c r="C426" s="19">
        <v>36910.33</v>
      </c>
    </row>
    <row r="427" spans="1:3" ht="15" x14ac:dyDescent="0.25">
      <c r="A427" s="122" t="s">
        <v>1132</v>
      </c>
      <c r="B427" s="3" t="s">
        <v>1133</v>
      </c>
      <c r="C427" s="19">
        <v>5168.340000000002</v>
      </c>
    </row>
    <row r="428" spans="1:3" ht="15" x14ac:dyDescent="0.25">
      <c r="A428" s="122" t="s">
        <v>1134</v>
      </c>
      <c r="B428" s="3" t="s">
        <v>1135</v>
      </c>
      <c r="C428" s="19">
        <v>-5649.63</v>
      </c>
    </row>
    <row r="429" spans="1:3" ht="15" x14ac:dyDescent="0.25">
      <c r="A429" s="122" t="s">
        <v>1136</v>
      </c>
      <c r="B429" s="3" t="s">
        <v>1137</v>
      </c>
      <c r="C429" s="19">
        <v>0</v>
      </c>
    </row>
    <row r="430" spans="1:3" ht="15" x14ac:dyDescent="0.25">
      <c r="A430" s="122" t="s">
        <v>1138</v>
      </c>
      <c r="B430" s="3" t="s">
        <v>1139</v>
      </c>
      <c r="C430" s="19">
        <v>366.95000000000005</v>
      </c>
    </row>
    <row r="431" spans="1:3" ht="15" x14ac:dyDescent="0.25">
      <c r="A431" s="122" t="s">
        <v>1140</v>
      </c>
      <c r="B431" s="3" t="s">
        <v>1141</v>
      </c>
      <c r="C431" s="19">
        <v>-117.70999999999913</v>
      </c>
    </row>
    <row r="432" spans="1:3" ht="15" x14ac:dyDescent="0.25">
      <c r="A432" s="122" t="s">
        <v>1142</v>
      </c>
      <c r="B432" s="3" t="s">
        <v>1143</v>
      </c>
      <c r="C432" s="19">
        <v>-26555.359999999997</v>
      </c>
    </row>
    <row r="433" spans="1:3" ht="15" x14ac:dyDescent="0.25">
      <c r="A433" s="122" t="s">
        <v>1144</v>
      </c>
      <c r="B433" s="3" t="s">
        <v>1145</v>
      </c>
      <c r="C433" s="19">
        <v>0</v>
      </c>
    </row>
    <row r="434" spans="1:3" ht="15" x14ac:dyDescent="0.25">
      <c r="A434" s="122" t="s">
        <v>1146</v>
      </c>
      <c r="B434" s="3" t="s">
        <v>1147</v>
      </c>
      <c r="C434" s="19">
        <v>-112.49000000000183</v>
      </c>
    </row>
    <row r="435" spans="1:3" ht="15" x14ac:dyDescent="0.25">
      <c r="A435" s="122" t="s">
        <v>1148</v>
      </c>
      <c r="B435" s="3" t="s">
        <v>1149</v>
      </c>
      <c r="C435" s="19">
        <v>-7209.37</v>
      </c>
    </row>
    <row r="436" spans="1:3" ht="15" x14ac:dyDescent="0.25">
      <c r="A436" s="122" t="s">
        <v>1150</v>
      </c>
      <c r="B436" s="3" t="s">
        <v>1151</v>
      </c>
      <c r="C436" s="19">
        <v>-95.88000000000001</v>
      </c>
    </row>
    <row r="437" spans="1:3" ht="15" x14ac:dyDescent="0.25">
      <c r="A437" s="122" t="s">
        <v>1152</v>
      </c>
      <c r="B437" s="3" t="s">
        <v>1153</v>
      </c>
      <c r="C437" s="19">
        <v>-2790.8100000000013</v>
      </c>
    </row>
    <row r="438" spans="1:3" ht="15" x14ac:dyDescent="0.25">
      <c r="A438" s="122" t="s">
        <v>1154</v>
      </c>
      <c r="B438" s="3" t="s">
        <v>1155</v>
      </c>
      <c r="C438" s="19">
        <v>-13487.069999999998</v>
      </c>
    </row>
    <row r="439" spans="1:3" ht="15" x14ac:dyDescent="0.25">
      <c r="A439" s="122" t="s">
        <v>1156</v>
      </c>
      <c r="B439" s="3" t="s">
        <v>1157</v>
      </c>
      <c r="C439" s="19">
        <v>-4522.2600000000111</v>
      </c>
    </row>
    <row r="440" spans="1:3" ht="15" x14ac:dyDescent="0.25">
      <c r="A440" s="122" t="s">
        <v>1158</v>
      </c>
      <c r="B440" s="3" t="s">
        <v>1159</v>
      </c>
      <c r="C440" s="19">
        <v>6435.5099999999993</v>
      </c>
    </row>
    <row r="441" spans="1:3" ht="15" x14ac:dyDescent="0.25">
      <c r="A441" s="122" t="s">
        <v>1160</v>
      </c>
      <c r="B441" s="3" t="s">
        <v>1161</v>
      </c>
      <c r="C441" s="19">
        <v>27183.739999999994</v>
      </c>
    </row>
    <row r="442" spans="1:3" ht="15" x14ac:dyDescent="0.25">
      <c r="A442" s="122" t="s">
        <v>1162</v>
      </c>
      <c r="B442" s="3" t="s">
        <v>1163</v>
      </c>
      <c r="C442" s="19">
        <v>14869.430000000002</v>
      </c>
    </row>
    <row r="443" spans="1:3" ht="15" x14ac:dyDescent="0.25">
      <c r="A443" s="122" t="s">
        <v>1164</v>
      </c>
      <c r="B443" s="3" t="s">
        <v>1165</v>
      </c>
      <c r="C443" s="19">
        <v>4197.45</v>
      </c>
    </row>
    <row r="444" spans="1:3" ht="15" x14ac:dyDescent="0.25">
      <c r="A444" s="122" t="s">
        <v>1166</v>
      </c>
      <c r="B444" s="3" t="s">
        <v>1167</v>
      </c>
      <c r="C444" s="19">
        <v>116867.15000000001</v>
      </c>
    </row>
    <row r="445" spans="1:3" ht="15" x14ac:dyDescent="0.25">
      <c r="A445" s="122" t="s">
        <v>1168</v>
      </c>
      <c r="B445" s="3" t="s">
        <v>1169</v>
      </c>
      <c r="C445" s="19">
        <v>222165.97</v>
      </c>
    </row>
    <row r="446" spans="1:3" ht="15" x14ac:dyDescent="0.25">
      <c r="A446" s="122" t="s">
        <v>1170</v>
      </c>
      <c r="B446" s="3" t="s">
        <v>1171</v>
      </c>
      <c r="C446" s="19">
        <v>29627.530000000002</v>
      </c>
    </row>
    <row r="447" spans="1:3" ht="15" x14ac:dyDescent="0.25">
      <c r="A447" s="122" t="s">
        <v>1172</v>
      </c>
      <c r="B447" s="3" t="s">
        <v>1173</v>
      </c>
      <c r="C447" s="19">
        <v>7431.45</v>
      </c>
    </row>
    <row r="448" spans="1:3" ht="15" x14ac:dyDescent="0.25">
      <c r="A448" s="122" t="s">
        <v>1174</v>
      </c>
      <c r="B448" s="3" t="s">
        <v>1175</v>
      </c>
      <c r="C448" s="19">
        <v>102601.60000000001</v>
      </c>
    </row>
    <row r="449" spans="1:3" ht="15" x14ac:dyDescent="0.25">
      <c r="A449" s="122" t="s">
        <v>1176</v>
      </c>
      <c r="B449" s="3" t="s">
        <v>1177</v>
      </c>
      <c r="C449" s="19">
        <v>434.55</v>
      </c>
    </row>
    <row r="450" spans="1:3" ht="15" x14ac:dyDescent="0.25">
      <c r="A450" s="122" t="s">
        <v>1178</v>
      </c>
      <c r="B450" s="3" t="s">
        <v>1179</v>
      </c>
      <c r="C450" s="19">
        <v>-30231.559999999998</v>
      </c>
    </row>
    <row r="451" spans="1:3" ht="15" x14ac:dyDescent="0.25">
      <c r="A451" s="122" t="s">
        <v>1180</v>
      </c>
      <c r="B451" s="3" t="s">
        <v>1181</v>
      </c>
      <c r="C451" s="19">
        <v>79720.950000000026</v>
      </c>
    </row>
    <row r="452" spans="1:3" ht="15" x14ac:dyDescent="0.25">
      <c r="A452" s="122" t="s">
        <v>1182</v>
      </c>
      <c r="B452" s="3" t="s">
        <v>1183</v>
      </c>
      <c r="C452" s="19">
        <v>-15464.2</v>
      </c>
    </row>
    <row r="453" spans="1:3" ht="15" x14ac:dyDescent="0.25">
      <c r="A453" s="122" t="s">
        <v>1184</v>
      </c>
      <c r="B453" s="3" t="s">
        <v>1185</v>
      </c>
      <c r="C453" s="19">
        <v>1615147.6100000003</v>
      </c>
    </row>
    <row r="454" spans="1:3" ht="15" x14ac:dyDescent="0.25">
      <c r="A454" s="122" t="s">
        <v>1186</v>
      </c>
      <c r="B454" s="3" t="s">
        <v>1187</v>
      </c>
      <c r="C454" s="19">
        <v>-299.39999999999998</v>
      </c>
    </row>
    <row r="455" spans="1:3" ht="15" x14ac:dyDescent="0.25">
      <c r="A455" s="122" t="s">
        <v>1188</v>
      </c>
      <c r="B455" s="3" t="s">
        <v>1189</v>
      </c>
      <c r="C455" s="19">
        <v>-10190.589999999998</v>
      </c>
    </row>
    <row r="456" spans="1:3" ht="15" x14ac:dyDescent="0.25">
      <c r="A456" s="122" t="s">
        <v>1190</v>
      </c>
      <c r="B456" s="3" t="s">
        <v>1191</v>
      </c>
      <c r="C456" s="19">
        <v>-53613.639999999992</v>
      </c>
    </row>
    <row r="457" spans="1:3" ht="15" x14ac:dyDescent="0.25">
      <c r="A457" s="122" t="s">
        <v>1192</v>
      </c>
      <c r="B457" s="3" t="s">
        <v>1193</v>
      </c>
      <c r="C457" s="19">
        <v>5515.24</v>
      </c>
    </row>
    <row r="458" spans="1:3" ht="15" x14ac:dyDescent="0.25">
      <c r="A458" s="122" t="s">
        <v>1194</v>
      </c>
      <c r="B458" s="3" t="s">
        <v>1195</v>
      </c>
      <c r="C458" s="19">
        <v>-34148.68</v>
      </c>
    </row>
    <row r="459" spans="1:3" ht="15" x14ac:dyDescent="0.25">
      <c r="A459" s="122" t="s">
        <v>1196</v>
      </c>
      <c r="B459" s="3" t="s">
        <v>1197</v>
      </c>
      <c r="C459" s="19">
        <v>-1307.4000000000133</v>
      </c>
    </row>
    <row r="460" spans="1:3" ht="15" x14ac:dyDescent="0.25">
      <c r="A460" s="122" t="s">
        <v>1198</v>
      </c>
      <c r="B460" s="3" t="s">
        <v>1199</v>
      </c>
      <c r="C460" s="19">
        <v>2380232.4100000011</v>
      </c>
    </row>
    <row r="461" spans="1:3" ht="15" x14ac:dyDescent="0.25">
      <c r="A461" s="122" t="s">
        <v>1200</v>
      </c>
      <c r="B461" s="3" t="s">
        <v>1201</v>
      </c>
      <c r="C461" s="19">
        <v>123079.97</v>
      </c>
    </row>
    <row r="462" spans="1:3" ht="15" x14ac:dyDescent="0.25">
      <c r="A462" s="122" t="s">
        <v>1202</v>
      </c>
      <c r="B462" s="3" t="s">
        <v>1203</v>
      </c>
      <c r="C462" s="19">
        <v>-7759.2399999999925</v>
      </c>
    </row>
    <row r="463" spans="1:3" ht="15" x14ac:dyDescent="0.25">
      <c r="A463" s="122" t="s">
        <v>1204</v>
      </c>
      <c r="B463" s="3" t="s">
        <v>1205</v>
      </c>
      <c r="C463" s="19">
        <v>2411.779999999997</v>
      </c>
    </row>
    <row r="464" spans="1:3" ht="15" x14ac:dyDescent="0.25">
      <c r="A464" s="122" t="s">
        <v>1206</v>
      </c>
      <c r="B464" s="3" t="s">
        <v>1207</v>
      </c>
      <c r="C464" s="19">
        <v>469326.3799999996</v>
      </c>
    </row>
    <row r="465" spans="1:3" ht="15" x14ac:dyDescent="0.25">
      <c r="A465" s="122" t="s">
        <v>1208</v>
      </c>
      <c r="B465" s="3" t="s">
        <v>1209</v>
      </c>
      <c r="C465" s="19">
        <v>80778.320000000022</v>
      </c>
    </row>
    <row r="466" spans="1:3" ht="15" x14ac:dyDescent="0.25">
      <c r="A466" s="122" t="s">
        <v>1210</v>
      </c>
      <c r="B466" s="3" t="s">
        <v>1211</v>
      </c>
      <c r="C466" s="19">
        <v>99493.25</v>
      </c>
    </row>
    <row r="467" spans="1:3" ht="15" x14ac:dyDescent="0.25">
      <c r="A467" s="122" t="s">
        <v>1212</v>
      </c>
      <c r="B467" s="3" t="s">
        <v>1213</v>
      </c>
      <c r="C467" s="19">
        <v>14899.270000000022</v>
      </c>
    </row>
    <row r="468" spans="1:3" ht="15" x14ac:dyDescent="0.25">
      <c r="A468" s="122" t="s">
        <v>1214</v>
      </c>
      <c r="B468" s="3" t="s">
        <v>1215</v>
      </c>
      <c r="C468" s="19">
        <v>4511.37</v>
      </c>
    </row>
    <row r="469" spans="1:3" ht="15" x14ac:dyDescent="0.25">
      <c r="A469" s="122" t="s">
        <v>1216</v>
      </c>
      <c r="B469" s="3" t="s">
        <v>1217</v>
      </c>
      <c r="C469" s="19">
        <v>503.4</v>
      </c>
    </row>
    <row r="470" spans="1:3" ht="15" x14ac:dyDescent="0.25">
      <c r="A470" s="122" t="s">
        <v>1218</v>
      </c>
      <c r="B470" s="3" t="s">
        <v>1219</v>
      </c>
      <c r="C470" s="19">
        <v>-846.28000000002794</v>
      </c>
    </row>
    <row r="471" spans="1:3" ht="15" x14ac:dyDescent="0.25">
      <c r="A471" s="122" t="s">
        <v>1220</v>
      </c>
      <c r="B471" s="3" t="s">
        <v>1221</v>
      </c>
      <c r="C471" s="19">
        <v>22440</v>
      </c>
    </row>
    <row r="472" spans="1:3" ht="15" x14ac:dyDescent="0.25">
      <c r="A472" s="122" t="s">
        <v>1222</v>
      </c>
      <c r="B472" s="3" t="s">
        <v>1223</v>
      </c>
      <c r="C472" s="19">
        <v>1198.54</v>
      </c>
    </row>
    <row r="473" spans="1:3" ht="15" x14ac:dyDescent="0.25">
      <c r="A473" s="122" t="s">
        <v>1224</v>
      </c>
      <c r="B473" s="3" t="s">
        <v>1225</v>
      </c>
      <c r="C473" s="19">
        <v>4933761.7800000021</v>
      </c>
    </row>
    <row r="474" spans="1:3" ht="15" x14ac:dyDescent="0.25">
      <c r="A474" s="122" t="s">
        <v>1226</v>
      </c>
      <c r="B474" s="3" t="s">
        <v>1227</v>
      </c>
      <c r="C474" s="19">
        <v>1708.31</v>
      </c>
    </row>
    <row r="475" spans="1:3" ht="15" x14ac:dyDescent="0.25">
      <c r="A475" s="122" t="s">
        <v>1228</v>
      </c>
      <c r="B475" s="3" t="s">
        <v>1229</v>
      </c>
      <c r="C475" s="19">
        <v>2236.87</v>
      </c>
    </row>
    <row r="476" spans="1:3" ht="15" x14ac:dyDescent="0.25">
      <c r="A476" s="122" t="s">
        <v>1230</v>
      </c>
      <c r="B476" s="3" t="s">
        <v>1231</v>
      </c>
      <c r="C476" s="19">
        <v>-2958.22</v>
      </c>
    </row>
    <row r="477" spans="1:3" ht="15" x14ac:dyDescent="0.25">
      <c r="A477" s="122" t="s">
        <v>1232</v>
      </c>
      <c r="B477" s="3" t="s">
        <v>1233</v>
      </c>
      <c r="C477" s="19">
        <v>-1607.8199999999965</v>
      </c>
    </row>
    <row r="478" spans="1:3" ht="15" x14ac:dyDescent="0.25">
      <c r="A478" s="122" t="s">
        <v>1234</v>
      </c>
      <c r="B478" s="3" t="s">
        <v>1235</v>
      </c>
      <c r="C478" s="19">
        <v>8437.570000000007</v>
      </c>
    </row>
    <row r="479" spans="1:3" ht="15" x14ac:dyDescent="0.25">
      <c r="A479" s="122" t="s">
        <v>1236</v>
      </c>
      <c r="B479" s="3" t="s">
        <v>1237</v>
      </c>
      <c r="C479" s="19">
        <v>1001449.7500000005</v>
      </c>
    </row>
    <row r="480" spans="1:3" ht="15" x14ac:dyDescent="0.25">
      <c r="A480" s="122" t="s">
        <v>1238</v>
      </c>
      <c r="B480" s="3" t="s">
        <v>1239</v>
      </c>
      <c r="C480" s="19">
        <v>8371.5300000000007</v>
      </c>
    </row>
    <row r="481" spans="1:3" ht="15" x14ac:dyDescent="0.25">
      <c r="A481" s="122" t="s">
        <v>1240</v>
      </c>
      <c r="B481" s="3" t="s">
        <v>1241</v>
      </c>
      <c r="C481" s="19">
        <v>8861.3700000000026</v>
      </c>
    </row>
    <row r="482" spans="1:3" ht="15" x14ac:dyDescent="0.25">
      <c r="A482" s="122" t="s">
        <v>1242</v>
      </c>
      <c r="B482" s="3" t="s">
        <v>1243</v>
      </c>
      <c r="C482" s="19">
        <v>1.46</v>
      </c>
    </row>
    <row r="483" spans="1:3" ht="15" x14ac:dyDescent="0.25">
      <c r="A483" s="122" t="s">
        <v>1244</v>
      </c>
      <c r="B483" s="3" t="s">
        <v>1245</v>
      </c>
      <c r="C483" s="19">
        <v>-5.9117155615240335E-12</v>
      </c>
    </row>
    <row r="484" spans="1:3" ht="15" x14ac:dyDescent="0.25">
      <c r="A484" s="122" t="s">
        <v>1246</v>
      </c>
      <c r="B484" s="3" t="s">
        <v>1247</v>
      </c>
      <c r="C484" s="19">
        <v>274.72000000000003</v>
      </c>
    </row>
    <row r="485" spans="1:3" ht="15" x14ac:dyDescent="0.25">
      <c r="A485" s="122" t="s">
        <v>1248</v>
      </c>
      <c r="B485" s="3" t="s">
        <v>1249</v>
      </c>
      <c r="C485" s="19">
        <v>132.66</v>
      </c>
    </row>
    <row r="486" spans="1:3" ht="15" x14ac:dyDescent="0.25">
      <c r="A486" s="122" t="s">
        <v>1250</v>
      </c>
      <c r="B486" s="3" t="s">
        <v>1251</v>
      </c>
      <c r="C486" s="19">
        <v>11792317.840000004</v>
      </c>
    </row>
    <row r="487" spans="1:3" ht="15" x14ac:dyDescent="0.25">
      <c r="A487" s="122" t="s">
        <v>1252</v>
      </c>
      <c r="B487" s="3" t="s">
        <v>1253</v>
      </c>
      <c r="C487" s="19">
        <v>17169164.319999993</v>
      </c>
    </row>
    <row r="488" spans="1:3" ht="15" x14ac:dyDescent="0.25">
      <c r="A488" s="122" t="s">
        <v>1254</v>
      </c>
      <c r="B488" s="3" t="s">
        <v>1255</v>
      </c>
      <c r="C488" s="19">
        <v>3276932.2899999982</v>
      </c>
    </row>
    <row r="489" spans="1:3" ht="15" x14ac:dyDescent="0.25">
      <c r="A489" s="122" t="s">
        <v>1256</v>
      </c>
      <c r="B489" s="3" t="s">
        <v>1257</v>
      </c>
      <c r="C489" s="19">
        <v>13329430.949999999</v>
      </c>
    </row>
    <row r="490" spans="1:3" ht="15" x14ac:dyDescent="0.25">
      <c r="A490" s="122" t="s">
        <v>1258</v>
      </c>
      <c r="B490" s="3" t="s">
        <v>1259</v>
      </c>
      <c r="C490" s="19">
        <v>2916546.3700000006</v>
      </c>
    </row>
    <row r="491" spans="1:3" ht="15" x14ac:dyDescent="0.25">
      <c r="A491" s="122" t="s">
        <v>1260</v>
      </c>
      <c r="B491" s="3" t="s">
        <v>1261</v>
      </c>
      <c r="C491" s="19">
        <v>41719.56</v>
      </c>
    </row>
    <row r="492" spans="1:3" ht="15" x14ac:dyDescent="0.25">
      <c r="A492" s="122" t="s">
        <v>1262</v>
      </c>
      <c r="B492" s="3" t="s">
        <v>1263</v>
      </c>
      <c r="C492" s="19">
        <v>4115.5</v>
      </c>
    </row>
    <row r="493" spans="1:3" ht="15" x14ac:dyDescent="0.25">
      <c r="A493" s="122" t="s">
        <v>1264</v>
      </c>
      <c r="B493" s="3" t="s">
        <v>1265</v>
      </c>
      <c r="C493" s="19">
        <v>-2720.81</v>
      </c>
    </row>
    <row r="494" spans="1:3" ht="15" x14ac:dyDescent="0.25">
      <c r="A494" s="122" t="s">
        <v>1266</v>
      </c>
      <c r="B494" s="3" t="s">
        <v>1267</v>
      </c>
      <c r="C494" s="19">
        <v>2197.4200000000037</v>
      </c>
    </row>
    <row r="495" spans="1:3" ht="15" x14ac:dyDescent="0.25">
      <c r="A495" s="122" t="s">
        <v>1268</v>
      </c>
      <c r="B495" s="3" t="s">
        <v>1269</v>
      </c>
      <c r="C495" s="19">
        <v>1055787.0099999979</v>
      </c>
    </row>
    <row r="496" spans="1:3" ht="15" x14ac:dyDescent="0.25">
      <c r="A496" s="122" t="s">
        <v>1270</v>
      </c>
      <c r="B496" s="3" t="s">
        <v>1271</v>
      </c>
      <c r="C496" s="19">
        <v>4351.0300000000007</v>
      </c>
    </row>
    <row r="497" spans="1:3" ht="15" x14ac:dyDescent="0.25">
      <c r="A497" s="122" t="s">
        <v>1272</v>
      </c>
      <c r="B497" s="3" t="s">
        <v>1273</v>
      </c>
      <c r="C497" s="19">
        <v>12250.660000000002</v>
      </c>
    </row>
    <row r="498" spans="1:3" ht="15" x14ac:dyDescent="0.25">
      <c r="A498" s="122" t="s">
        <v>1274</v>
      </c>
      <c r="B498" s="3" t="s">
        <v>1275</v>
      </c>
      <c r="C498" s="19">
        <v>4365.51</v>
      </c>
    </row>
    <row r="499" spans="1:3" ht="15" x14ac:dyDescent="0.25">
      <c r="A499" s="122" t="s">
        <v>1276</v>
      </c>
      <c r="B499" s="3" t="s">
        <v>1277</v>
      </c>
      <c r="C499" s="19">
        <v>-13.5</v>
      </c>
    </row>
    <row r="500" spans="1:3" ht="15" x14ac:dyDescent="0.25">
      <c r="A500" s="122" t="s">
        <v>1278</v>
      </c>
      <c r="B500" s="3" t="s">
        <v>1279</v>
      </c>
      <c r="C500" s="19">
        <v>-4426.5400000000009</v>
      </c>
    </row>
    <row r="501" spans="1:3" ht="15" x14ac:dyDescent="0.25">
      <c r="A501" s="122" t="s">
        <v>1280</v>
      </c>
      <c r="B501" s="3" t="s">
        <v>1281</v>
      </c>
      <c r="C501" s="19">
        <v>8484.07</v>
      </c>
    </row>
    <row r="502" spans="1:3" ht="15" x14ac:dyDescent="0.25">
      <c r="A502" s="122" t="s">
        <v>1282</v>
      </c>
      <c r="B502" s="3" t="s">
        <v>1283</v>
      </c>
      <c r="C502" s="19">
        <v>5583.5599999999977</v>
      </c>
    </row>
    <row r="503" spans="1:3" ht="15" x14ac:dyDescent="0.25">
      <c r="A503" s="122" t="s">
        <v>1284</v>
      </c>
      <c r="B503" s="3" t="s">
        <v>1285</v>
      </c>
      <c r="C503" s="19">
        <v>2757.6199999999994</v>
      </c>
    </row>
    <row r="504" spans="1:3" ht="15" x14ac:dyDescent="0.25">
      <c r="A504" s="122" t="s">
        <v>1286</v>
      </c>
      <c r="B504" s="3" t="s">
        <v>1287</v>
      </c>
      <c r="C504" s="19">
        <v>7058.5399999999981</v>
      </c>
    </row>
    <row r="505" spans="1:3" ht="15" x14ac:dyDescent="0.25">
      <c r="A505" s="122" t="s">
        <v>1288</v>
      </c>
      <c r="B505" s="3" t="s">
        <v>1289</v>
      </c>
      <c r="C505" s="19">
        <v>7627.7199999999993</v>
      </c>
    </row>
    <row r="506" spans="1:3" ht="15" x14ac:dyDescent="0.25">
      <c r="A506" s="122" t="s">
        <v>1290</v>
      </c>
      <c r="B506" s="3" t="s">
        <v>1291</v>
      </c>
      <c r="C506" s="19">
        <v>4356.83</v>
      </c>
    </row>
    <row r="507" spans="1:3" ht="15" x14ac:dyDescent="0.25">
      <c r="A507" s="122" t="s">
        <v>1292</v>
      </c>
      <c r="B507" s="3" t="s">
        <v>1293</v>
      </c>
      <c r="C507" s="19">
        <v>406.06999999999971</v>
      </c>
    </row>
    <row r="508" spans="1:3" ht="15" x14ac:dyDescent="0.25">
      <c r="A508" s="122" t="s">
        <v>1294</v>
      </c>
      <c r="B508" s="3" t="s">
        <v>1295</v>
      </c>
      <c r="C508" s="19">
        <v>-2773.24</v>
      </c>
    </row>
    <row r="509" spans="1:3" ht="15" x14ac:dyDescent="0.25">
      <c r="A509" s="122" t="s">
        <v>1296</v>
      </c>
      <c r="B509" s="3" t="s">
        <v>1297</v>
      </c>
      <c r="C509" s="19">
        <v>741945.3</v>
      </c>
    </row>
    <row r="510" spans="1:3" ht="15" x14ac:dyDescent="0.25">
      <c r="A510" s="122" t="s">
        <v>1298</v>
      </c>
      <c r="B510" s="3" t="s">
        <v>1299</v>
      </c>
      <c r="C510" s="19">
        <v>5285.98</v>
      </c>
    </row>
    <row r="511" spans="1:3" ht="15" x14ac:dyDescent="0.25">
      <c r="A511" s="122" t="s">
        <v>1300</v>
      </c>
      <c r="B511" s="3" t="s">
        <v>1301</v>
      </c>
      <c r="C511" s="19">
        <v>528228.19000000006</v>
      </c>
    </row>
    <row r="512" spans="1:3" ht="15" x14ac:dyDescent="0.25">
      <c r="A512" s="122" t="s">
        <v>1302</v>
      </c>
      <c r="B512" s="3" t="s">
        <v>1303</v>
      </c>
      <c r="C512" s="19">
        <v>783955.12</v>
      </c>
    </row>
    <row r="513" spans="1:3" ht="15" x14ac:dyDescent="0.25">
      <c r="A513" s="122" t="s">
        <v>1304</v>
      </c>
      <c r="B513" s="3" t="s">
        <v>1305</v>
      </c>
      <c r="C513" s="19">
        <v>561764.92000000004</v>
      </c>
    </row>
    <row r="514" spans="1:3" ht="15" x14ac:dyDescent="0.25">
      <c r="A514" s="122" t="s">
        <v>1306</v>
      </c>
      <c r="B514" s="3" t="s">
        <v>1307</v>
      </c>
      <c r="C514" s="19">
        <v>417266.42999999988</v>
      </c>
    </row>
    <row r="515" spans="1:3" ht="15" x14ac:dyDescent="0.25">
      <c r="A515" s="122" t="s">
        <v>1308</v>
      </c>
      <c r="B515" s="3" t="s">
        <v>1309</v>
      </c>
      <c r="C515" s="19">
        <v>213754.82</v>
      </c>
    </row>
    <row r="516" spans="1:3" ht="15" x14ac:dyDescent="0.25">
      <c r="A516" s="122" t="s">
        <v>1310</v>
      </c>
      <c r="B516" s="3" t="s">
        <v>1311</v>
      </c>
      <c r="C516" s="19">
        <v>291916.13999999996</v>
      </c>
    </row>
    <row r="517" spans="1:3" ht="15" x14ac:dyDescent="0.25">
      <c r="A517" s="122" t="s">
        <v>1312</v>
      </c>
      <c r="B517" s="3" t="s">
        <v>1313</v>
      </c>
      <c r="C517" s="19">
        <v>63687.640000000007</v>
      </c>
    </row>
    <row r="518" spans="1:3" ht="15" x14ac:dyDescent="0.25">
      <c r="A518" s="122" t="s">
        <v>1314</v>
      </c>
      <c r="B518" s="3" t="s">
        <v>1315</v>
      </c>
      <c r="C518" s="19">
        <v>57679.029999999992</v>
      </c>
    </row>
    <row r="519" spans="1:3" ht="15" x14ac:dyDescent="0.25">
      <c r="A519" s="122" t="s">
        <v>1316</v>
      </c>
      <c r="B519" s="3" t="s">
        <v>1317</v>
      </c>
      <c r="C519" s="19">
        <v>208560.86000000002</v>
      </c>
    </row>
    <row r="520" spans="1:3" ht="15" x14ac:dyDescent="0.25">
      <c r="A520" s="122" t="s">
        <v>1318</v>
      </c>
      <c r="B520" s="3" t="s">
        <v>1319</v>
      </c>
      <c r="C520" s="19">
        <v>621353.06000000006</v>
      </c>
    </row>
    <row r="521" spans="1:3" ht="15" x14ac:dyDescent="0.25">
      <c r="A521" s="122" t="s">
        <v>1320</v>
      </c>
      <c r="B521" s="3" t="s">
        <v>1321</v>
      </c>
      <c r="C521" s="19">
        <v>105231.38</v>
      </c>
    </row>
    <row r="522" spans="1:3" ht="15" x14ac:dyDescent="0.25">
      <c r="A522" s="122" t="s">
        <v>1322</v>
      </c>
      <c r="B522" s="3" t="s">
        <v>1323</v>
      </c>
      <c r="C522" s="19">
        <v>74743.959999999992</v>
      </c>
    </row>
    <row r="523" spans="1:3" ht="15" x14ac:dyDescent="0.25">
      <c r="A523" s="122" t="s">
        <v>1324</v>
      </c>
      <c r="B523" s="3" t="s">
        <v>1325</v>
      </c>
      <c r="C523" s="19">
        <v>108060.57</v>
      </c>
    </row>
    <row r="524" spans="1:3" ht="15" x14ac:dyDescent="0.25">
      <c r="A524" s="122" t="s">
        <v>1326</v>
      </c>
      <c r="B524" s="3" t="s">
        <v>1327</v>
      </c>
      <c r="C524" s="19">
        <v>133291.55000000002</v>
      </c>
    </row>
    <row r="525" spans="1:3" ht="15" x14ac:dyDescent="0.25">
      <c r="A525" s="122" t="s">
        <v>1328</v>
      </c>
      <c r="B525" s="3" t="s">
        <v>1329</v>
      </c>
      <c r="C525" s="19">
        <v>68122.350000000006</v>
      </c>
    </row>
    <row r="526" spans="1:3" ht="15" x14ac:dyDescent="0.25">
      <c r="A526" s="122" t="s">
        <v>1330</v>
      </c>
      <c r="B526" s="3" t="s">
        <v>1331</v>
      </c>
      <c r="C526" s="19">
        <v>151991.18999999997</v>
      </c>
    </row>
    <row r="527" spans="1:3" ht="15" x14ac:dyDescent="0.25">
      <c r="A527" s="122" t="s">
        <v>1332</v>
      </c>
      <c r="B527" s="3" t="s">
        <v>1333</v>
      </c>
      <c r="C527" s="19">
        <v>175765.58</v>
      </c>
    </row>
    <row r="528" spans="1:3" ht="15" x14ac:dyDescent="0.25">
      <c r="A528" s="122" t="s">
        <v>1334</v>
      </c>
      <c r="B528" s="3" t="s">
        <v>1335</v>
      </c>
      <c r="C528" s="19">
        <v>701659.53999999992</v>
      </c>
    </row>
    <row r="529" spans="1:3" ht="15" x14ac:dyDescent="0.25">
      <c r="A529" s="122" t="s">
        <v>1336</v>
      </c>
      <c r="B529" s="3" t="s">
        <v>1337</v>
      </c>
      <c r="C529" s="19">
        <v>363937.59999999986</v>
      </c>
    </row>
    <row r="530" spans="1:3" ht="15" x14ac:dyDescent="0.25">
      <c r="A530" s="122" t="s">
        <v>1338</v>
      </c>
      <c r="B530" s="3" t="s">
        <v>1339</v>
      </c>
      <c r="C530" s="19">
        <v>692.13999999999896</v>
      </c>
    </row>
    <row r="531" spans="1:3" ht="15" x14ac:dyDescent="0.25">
      <c r="A531" s="122" t="s">
        <v>1340</v>
      </c>
      <c r="B531" s="3" t="s">
        <v>1341</v>
      </c>
      <c r="C531" s="19">
        <v>1194.7599999999998</v>
      </c>
    </row>
    <row r="532" spans="1:3" ht="15" x14ac:dyDescent="0.25">
      <c r="A532" s="122" t="s">
        <v>1342</v>
      </c>
      <c r="B532" s="3" t="s">
        <v>1343</v>
      </c>
      <c r="C532" s="19">
        <v>53210.400000000009</v>
      </c>
    </row>
    <row r="533" spans="1:3" ht="15" x14ac:dyDescent="0.25">
      <c r="A533" s="122" t="s">
        <v>1344</v>
      </c>
      <c r="B533" s="3" t="s">
        <v>1345</v>
      </c>
      <c r="C533" s="19">
        <v>18324.610000000004</v>
      </c>
    </row>
    <row r="534" spans="1:3" ht="15" x14ac:dyDescent="0.25">
      <c r="A534" s="122" t="s">
        <v>1346</v>
      </c>
      <c r="B534" s="3" t="s">
        <v>1347</v>
      </c>
      <c r="C534" s="19">
        <v>4950.05</v>
      </c>
    </row>
    <row r="535" spans="1:3" ht="15" x14ac:dyDescent="0.25">
      <c r="A535" s="122" t="s">
        <v>1348</v>
      </c>
      <c r="B535" s="3" t="s">
        <v>1349</v>
      </c>
      <c r="C535" s="19">
        <v>58673.89</v>
      </c>
    </row>
    <row r="536" spans="1:3" ht="15" x14ac:dyDescent="0.25">
      <c r="A536" s="122" t="s">
        <v>1350</v>
      </c>
      <c r="B536" s="3" t="s">
        <v>1351</v>
      </c>
      <c r="C536" s="19">
        <v>-3966.46</v>
      </c>
    </row>
    <row r="537" spans="1:3" ht="15" x14ac:dyDescent="0.25">
      <c r="A537" s="122" t="s">
        <v>1352</v>
      </c>
      <c r="B537" s="3" t="s">
        <v>1353</v>
      </c>
      <c r="C537" s="19">
        <v>1108718.9799999995</v>
      </c>
    </row>
    <row r="538" spans="1:3" ht="15" x14ac:dyDescent="0.25">
      <c r="A538" s="122" t="s">
        <v>1354</v>
      </c>
      <c r="B538" s="3" t="s">
        <v>1355</v>
      </c>
      <c r="C538" s="19">
        <v>17447.829999999998</v>
      </c>
    </row>
    <row r="539" spans="1:3" ht="15" x14ac:dyDescent="0.25">
      <c r="A539" s="122" t="s">
        <v>1356</v>
      </c>
      <c r="B539" s="3" t="s">
        <v>1357</v>
      </c>
      <c r="C539" s="19">
        <v>218421.68999999997</v>
      </c>
    </row>
    <row r="540" spans="1:3" ht="15" x14ac:dyDescent="0.25">
      <c r="A540" s="122" t="s">
        <v>1358</v>
      </c>
      <c r="B540" s="3" t="s">
        <v>1359</v>
      </c>
      <c r="C540" s="19">
        <v>127225.87000000001</v>
      </c>
    </row>
    <row r="541" spans="1:3" ht="15" x14ac:dyDescent="0.25">
      <c r="A541" s="122" t="s">
        <v>1360</v>
      </c>
      <c r="B541" s="3" t="s">
        <v>1361</v>
      </c>
      <c r="C541" s="19">
        <v>393923.7799999998</v>
      </c>
    </row>
    <row r="542" spans="1:3" ht="15" x14ac:dyDescent="0.25">
      <c r="A542" s="122" t="s">
        <v>1362</v>
      </c>
      <c r="B542" s="3" t="s">
        <v>1363</v>
      </c>
      <c r="C542" s="19">
        <v>-3572.25</v>
      </c>
    </row>
    <row r="543" spans="1:3" ht="15" x14ac:dyDescent="0.25">
      <c r="A543" s="122" t="s">
        <v>1364</v>
      </c>
      <c r="B543" s="3" t="s">
        <v>1365</v>
      </c>
      <c r="C543" s="19">
        <v>93521.44</v>
      </c>
    </row>
    <row r="544" spans="1:3" ht="15" x14ac:dyDescent="0.25">
      <c r="A544" s="122" t="s">
        <v>1366</v>
      </c>
      <c r="B544" s="3" t="s">
        <v>1367</v>
      </c>
      <c r="C544" s="19">
        <v>1188.9599999999998</v>
      </c>
    </row>
    <row r="545" spans="1:3" ht="15" x14ac:dyDescent="0.25">
      <c r="A545" s="122" t="s">
        <v>1368</v>
      </c>
      <c r="B545" s="3" t="s">
        <v>1369</v>
      </c>
      <c r="C545" s="19">
        <v>1028210.7900000009</v>
      </c>
    </row>
    <row r="546" spans="1:3" ht="15" x14ac:dyDescent="0.25">
      <c r="A546" s="122" t="s">
        <v>1370</v>
      </c>
      <c r="B546" s="3" t="s">
        <v>1371</v>
      </c>
      <c r="C546" s="19">
        <v>287880.21999999986</v>
      </c>
    </row>
    <row r="547" spans="1:3" ht="15" x14ac:dyDescent="0.25">
      <c r="A547" s="122" t="s">
        <v>1372</v>
      </c>
      <c r="B547" s="3" t="s">
        <v>1373</v>
      </c>
      <c r="C547" s="19">
        <v>859558.16999999981</v>
      </c>
    </row>
    <row r="548" spans="1:3" ht="15" x14ac:dyDescent="0.25">
      <c r="A548" s="122" t="s">
        <v>1374</v>
      </c>
      <c r="B548" s="3" t="s">
        <v>1375</v>
      </c>
      <c r="C548" s="19">
        <v>-36268.229999999996</v>
      </c>
    </row>
    <row r="549" spans="1:3" ht="15" x14ac:dyDescent="0.25">
      <c r="A549" s="122" t="s">
        <v>1376</v>
      </c>
      <c r="B549" s="3" t="s">
        <v>1377</v>
      </c>
      <c r="C549" s="19">
        <v>2284.63</v>
      </c>
    </row>
    <row r="550" spans="1:3" ht="15" x14ac:dyDescent="0.25">
      <c r="A550" s="122" t="s">
        <v>1378</v>
      </c>
      <c r="B550" s="3" t="s">
        <v>1379</v>
      </c>
      <c r="C550" s="19">
        <v>71829.850000000035</v>
      </c>
    </row>
    <row r="551" spans="1:3" ht="15" x14ac:dyDescent="0.25">
      <c r="A551" s="122" t="s">
        <v>1380</v>
      </c>
      <c r="B551" s="3" t="s">
        <v>1381</v>
      </c>
      <c r="C551" s="19">
        <v>57594.839999999989</v>
      </c>
    </row>
    <row r="552" spans="1:3" ht="15" x14ac:dyDescent="0.25">
      <c r="A552" s="122" t="s">
        <v>1382</v>
      </c>
      <c r="B552" s="3" t="s">
        <v>1383</v>
      </c>
      <c r="C552" s="19">
        <v>684058.14999999967</v>
      </c>
    </row>
    <row r="553" spans="1:3" ht="15" x14ac:dyDescent="0.25">
      <c r="A553" s="122" t="s">
        <v>1384</v>
      </c>
      <c r="B553" s="3" t="s">
        <v>1385</v>
      </c>
      <c r="C553" s="19">
        <v>7619.470000000003</v>
      </c>
    </row>
    <row r="554" spans="1:3" ht="15" x14ac:dyDescent="0.25">
      <c r="A554" s="122" t="s">
        <v>1386</v>
      </c>
      <c r="B554" s="3" t="s">
        <v>1387</v>
      </c>
      <c r="C554" s="19">
        <v>86851.600000000093</v>
      </c>
    </row>
    <row r="555" spans="1:3" ht="15" x14ac:dyDescent="0.25">
      <c r="A555" s="122" t="s">
        <v>1388</v>
      </c>
      <c r="B555" s="3" t="s">
        <v>1389</v>
      </c>
      <c r="C555" s="19">
        <v>211585.64999999997</v>
      </c>
    </row>
    <row r="556" spans="1:3" ht="15" x14ac:dyDescent="0.25">
      <c r="A556" s="122" t="s">
        <v>1390</v>
      </c>
      <c r="B556" s="3" t="s">
        <v>1391</v>
      </c>
      <c r="C556" s="19">
        <v>640717.37999999954</v>
      </c>
    </row>
    <row r="557" spans="1:3" ht="15" x14ac:dyDescent="0.25">
      <c r="A557" s="122" t="s">
        <v>1392</v>
      </c>
      <c r="B557" s="3" t="s">
        <v>1393</v>
      </c>
      <c r="C557" s="19">
        <v>341158.82</v>
      </c>
    </row>
    <row r="558" spans="1:3" ht="15" x14ac:dyDescent="0.25">
      <c r="A558" s="122" t="s">
        <v>1394</v>
      </c>
      <c r="B558" s="3" t="s">
        <v>1395</v>
      </c>
      <c r="C558" s="19">
        <v>70085.550000000017</v>
      </c>
    </row>
    <row r="559" spans="1:3" ht="15" x14ac:dyDescent="0.25">
      <c r="A559" s="122" t="s">
        <v>1396</v>
      </c>
      <c r="B559" s="3" t="s">
        <v>1397</v>
      </c>
      <c r="C559" s="19">
        <v>130463.62000000002</v>
      </c>
    </row>
    <row r="560" spans="1:3" ht="15" x14ac:dyDescent="0.25">
      <c r="A560" s="122" t="s">
        <v>1398</v>
      </c>
      <c r="B560" s="3" t="s">
        <v>1399</v>
      </c>
      <c r="C560" s="19">
        <v>4507.71</v>
      </c>
    </row>
    <row r="561" spans="1:3" ht="15" x14ac:dyDescent="0.25">
      <c r="A561" s="122" t="s">
        <v>1400</v>
      </c>
      <c r="B561" s="3" t="s">
        <v>1401</v>
      </c>
      <c r="C561" s="19">
        <v>9914.6000000000022</v>
      </c>
    </row>
    <row r="562" spans="1:3" ht="15" x14ac:dyDescent="0.25">
      <c r="A562" s="122" t="s">
        <v>1402</v>
      </c>
      <c r="B562" s="3" t="s">
        <v>1403</v>
      </c>
      <c r="C562" s="19">
        <v>15747.800000000005</v>
      </c>
    </row>
    <row r="563" spans="1:3" ht="15" x14ac:dyDescent="0.25">
      <c r="A563" s="122" t="s">
        <v>1404</v>
      </c>
      <c r="B563" s="3" t="s">
        <v>1405</v>
      </c>
      <c r="C563" s="19">
        <v>14060.8</v>
      </c>
    </row>
    <row r="564" spans="1:3" ht="15" x14ac:dyDescent="0.25">
      <c r="A564" s="122" t="s">
        <v>1406</v>
      </c>
      <c r="B564" s="3" t="s">
        <v>1407</v>
      </c>
      <c r="C564" s="19">
        <v>15141.769999999999</v>
      </c>
    </row>
    <row r="565" spans="1:3" ht="15" x14ac:dyDescent="0.25">
      <c r="A565" s="122" t="s">
        <v>1408</v>
      </c>
      <c r="B565" s="3" t="s">
        <v>1409</v>
      </c>
      <c r="C565" s="19">
        <v>24419.529999999995</v>
      </c>
    </row>
    <row r="566" spans="1:3" ht="15" x14ac:dyDescent="0.25">
      <c r="A566" s="122" t="s">
        <v>1410</v>
      </c>
      <c r="B566" s="3" t="s">
        <v>1411</v>
      </c>
      <c r="C566" s="19">
        <v>56958.97</v>
      </c>
    </row>
    <row r="567" spans="1:3" ht="15" x14ac:dyDescent="0.25">
      <c r="A567" s="122" t="s">
        <v>1412</v>
      </c>
      <c r="B567" s="3" t="s">
        <v>1413</v>
      </c>
      <c r="C567" s="19">
        <v>23523.319999999996</v>
      </c>
    </row>
    <row r="568" spans="1:3" ht="15" x14ac:dyDescent="0.25">
      <c r="A568" s="122" t="s">
        <v>1414</v>
      </c>
      <c r="B568" s="3" t="s">
        <v>1415</v>
      </c>
      <c r="C568" s="19">
        <v>851308.59</v>
      </c>
    </row>
    <row r="569" spans="1:3" ht="15" x14ac:dyDescent="0.25">
      <c r="A569" s="122" t="s">
        <v>1416</v>
      </c>
      <c r="B569" s="3" t="s">
        <v>1417</v>
      </c>
      <c r="C569" s="19">
        <v>1166.77</v>
      </c>
    </row>
    <row r="570" spans="1:3" ht="15" x14ac:dyDescent="0.25">
      <c r="A570" s="122" t="s">
        <v>1418</v>
      </c>
      <c r="B570" s="3" t="s">
        <v>1419</v>
      </c>
      <c r="C570" s="19">
        <v>0</v>
      </c>
    </row>
    <row r="571" spans="1:3" ht="15" x14ac:dyDescent="0.25">
      <c r="A571" s="122" t="s">
        <v>1420</v>
      </c>
      <c r="B571" s="3" t="s">
        <v>1421</v>
      </c>
      <c r="C571" s="19">
        <v>29008.590000000004</v>
      </c>
    </row>
    <row r="572" spans="1:3" ht="15" x14ac:dyDescent="0.25">
      <c r="A572" s="122" t="s">
        <v>1422</v>
      </c>
      <c r="B572" s="3" t="s">
        <v>1423</v>
      </c>
      <c r="C572" s="19">
        <v>0</v>
      </c>
    </row>
    <row r="573" spans="1:3" ht="15" x14ac:dyDescent="0.25">
      <c r="A573" s="122" t="s">
        <v>1424</v>
      </c>
      <c r="B573" s="3" t="s">
        <v>1425</v>
      </c>
      <c r="C573" s="19">
        <v>5569.8399999999983</v>
      </c>
    </row>
    <row r="574" spans="1:3" ht="15" x14ac:dyDescent="0.25">
      <c r="A574" s="122" t="s">
        <v>1426</v>
      </c>
      <c r="B574" s="3" t="s">
        <v>1427</v>
      </c>
      <c r="C574" s="19">
        <v>22641.43</v>
      </c>
    </row>
    <row r="575" spans="1:3" ht="15" x14ac:dyDescent="0.25">
      <c r="A575" s="122" t="s">
        <v>1428</v>
      </c>
      <c r="B575" s="3" t="s">
        <v>1429</v>
      </c>
      <c r="C575" s="19">
        <v>35277.890000000007</v>
      </c>
    </row>
    <row r="576" spans="1:3" ht="15" x14ac:dyDescent="0.25">
      <c r="A576" s="122" t="s">
        <v>1430</v>
      </c>
      <c r="B576" s="3" t="s">
        <v>1431</v>
      </c>
      <c r="C576" s="19">
        <v>59819.520000000004</v>
      </c>
    </row>
    <row r="577" spans="1:3" ht="15" x14ac:dyDescent="0.25">
      <c r="A577" s="122" t="s">
        <v>1432</v>
      </c>
      <c r="B577" s="3" t="s">
        <v>1433</v>
      </c>
      <c r="C577" s="19">
        <v>50966.169999999984</v>
      </c>
    </row>
    <row r="578" spans="1:3" ht="15" x14ac:dyDescent="0.25">
      <c r="A578" s="122" t="s">
        <v>1434</v>
      </c>
      <c r="B578" s="3" t="s">
        <v>1435</v>
      </c>
      <c r="C578" s="19">
        <v>-21796.639999999999</v>
      </c>
    </row>
    <row r="579" spans="1:3" ht="15" x14ac:dyDescent="0.25">
      <c r="A579" s="122" t="s">
        <v>1436</v>
      </c>
      <c r="B579" s="3" t="s">
        <v>1437</v>
      </c>
      <c r="C579" s="19">
        <v>47638.3</v>
      </c>
    </row>
    <row r="580" spans="1:3" ht="15" x14ac:dyDescent="0.25">
      <c r="A580" s="122" t="s">
        <v>1438</v>
      </c>
      <c r="B580" s="3" t="s">
        <v>1439</v>
      </c>
      <c r="C580" s="19">
        <v>41820.039999999994</v>
      </c>
    </row>
    <row r="581" spans="1:3" ht="15" x14ac:dyDescent="0.25">
      <c r="A581" s="122" t="s">
        <v>1440</v>
      </c>
      <c r="B581" s="3" t="s">
        <v>1441</v>
      </c>
      <c r="C581" s="19">
        <v>120886.3</v>
      </c>
    </row>
    <row r="582" spans="1:3" ht="15" x14ac:dyDescent="0.25">
      <c r="A582" s="122" t="s">
        <v>1442</v>
      </c>
      <c r="B582" s="3" t="s">
        <v>1443</v>
      </c>
      <c r="C582" s="19">
        <v>30325.58</v>
      </c>
    </row>
    <row r="583" spans="1:3" ht="15" x14ac:dyDescent="0.25">
      <c r="A583" s="122" t="s">
        <v>1444</v>
      </c>
      <c r="B583" s="3" t="s">
        <v>1445</v>
      </c>
      <c r="C583" s="19">
        <v>1902723.8299999996</v>
      </c>
    </row>
    <row r="584" spans="1:3" ht="15" x14ac:dyDescent="0.25">
      <c r="A584" s="122" t="s">
        <v>1446</v>
      </c>
      <c r="B584" s="3" t="s">
        <v>1447</v>
      </c>
      <c r="C584" s="19">
        <v>443645.66000000003</v>
      </c>
    </row>
    <row r="585" spans="1:3" ht="15" x14ac:dyDescent="0.25">
      <c r="A585" s="122" t="s">
        <v>1448</v>
      </c>
      <c r="B585" s="3" t="s">
        <v>1449</v>
      </c>
      <c r="C585" s="19">
        <v>209510.22000000003</v>
      </c>
    </row>
    <row r="586" spans="1:3" ht="15" x14ac:dyDescent="0.25">
      <c r="A586" s="122" t="s">
        <v>1450</v>
      </c>
      <c r="B586" s="3" t="s">
        <v>1451</v>
      </c>
      <c r="C586" s="19">
        <v>143464.33000000002</v>
      </c>
    </row>
    <row r="587" spans="1:3" ht="15" x14ac:dyDescent="0.25">
      <c r="A587" s="122" t="s">
        <v>1452</v>
      </c>
      <c r="B587" s="3" t="s">
        <v>1453</v>
      </c>
      <c r="C587" s="19">
        <v>90499.719999999987</v>
      </c>
    </row>
    <row r="588" spans="1:3" ht="15" x14ac:dyDescent="0.25">
      <c r="A588" s="122" t="s">
        <v>1454</v>
      </c>
      <c r="B588" s="3" t="s">
        <v>1455</v>
      </c>
      <c r="C588" s="19">
        <v>466828.93999999989</v>
      </c>
    </row>
    <row r="589" spans="1:3" ht="15" x14ac:dyDescent="0.25">
      <c r="A589" s="122" t="s">
        <v>1456</v>
      </c>
      <c r="B589" s="3" t="s">
        <v>1457</v>
      </c>
      <c r="C589" s="19">
        <v>-177603.23000000007</v>
      </c>
    </row>
    <row r="590" spans="1:3" ht="15" x14ac:dyDescent="0.25">
      <c r="A590" s="122" t="s">
        <v>1458</v>
      </c>
      <c r="B590" s="3" t="s">
        <v>1459</v>
      </c>
      <c r="C590" s="19">
        <v>-444.13000000000005</v>
      </c>
    </row>
    <row r="591" spans="1:3" ht="15" x14ac:dyDescent="0.25">
      <c r="A591" s="122" t="s">
        <v>1460</v>
      </c>
      <c r="B591" s="3" t="s">
        <v>1461</v>
      </c>
      <c r="C591" s="19">
        <v>247548.84000000011</v>
      </c>
    </row>
    <row r="592" spans="1:3" ht="15" x14ac:dyDescent="0.25">
      <c r="A592" s="122" t="s">
        <v>1462</v>
      </c>
      <c r="B592" s="3" t="s">
        <v>1463</v>
      </c>
      <c r="C592" s="19">
        <v>305622.33999999979</v>
      </c>
    </row>
    <row r="593" spans="1:3" ht="15" x14ac:dyDescent="0.25">
      <c r="A593" s="122" t="s">
        <v>1464</v>
      </c>
      <c r="B593" s="3" t="s">
        <v>1465</v>
      </c>
      <c r="C593" s="19">
        <v>118439.23</v>
      </c>
    </row>
    <row r="594" spans="1:3" ht="15" x14ac:dyDescent="0.25">
      <c r="A594" s="122" t="s">
        <v>1466</v>
      </c>
      <c r="B594" s="3" t="s">
        <v>1467</v>
      </c>
      <c r="C594" s="19">
        <v>366856.86</v>
      </c>
    </row>
    <row r="595" spans="1:3" ht="15" x14ac:dyDescent="0.25">
      <c r="A595" s="122" t="s">
        <v>1468</v>
      </c>
      <c r="B595" s="3" t="s">
        <v>1469</v>
      </c>
      <c r="C595" s="19">
        <v>202026.31999999998</v>
      </c>
    </row>
    <row r="596" spans="1:3" ht="15" x14ac:dyDescent="0.25">
      <c r="A596" s="122" t="s">
        <v>1470</v>
      </c>
      <c r="B596" s="3" t="s">
        <v>1471</v>
      </c>
      <c r="C596" s="19">
        <v>236257.22000000003</v>
      </c>
    </row>
    <row r="597" spans="1:3" ht="15" x14ac:dyDescent="0.25">
      <c r="A597" s="122" t="s">
        <v>1472</v>
      </c>
      <c r="B597" s="3" t="s">
        <v>1473</v>
      </c>
      <c r="C597" s="19">
        <v>318.47999999999996</v>
      </c>
    </row>
    <row r="598" spans="1:3" ht="15" x14ac:dyDescent="0.25">
      <c r="A598" s="122" t="s">
        <v>1474</v>
      </c>
      <c r="B598" s="3" t="s">
        <v>1475</v>
      </c>
      <c r="C598" s="19">
        <v>3008.72</v>
      </c>
    </row>
    <row r="599" spans="1:3" ht="15" x14ac:dyDescent="0.25">
      <c r="A599" s="122" t="s">
        <v>1476</v>
      </c>
      <c r="B599" s="3" t="s">
        <v>1477</v>
      </c>
      <c r="C599" s="19">
        <v>-8799.2099999999991</v>
      </c>
    </row>
    <row r="600" spans="1:3" ht="15" x14ac:dyDescent="0.25">
      <c r="A600" s="122" t="s">
        <v>1478</v>
      </c>
      <c r="B600" s="3" t="s">
        <v>1479</v>
      </c>
      <c r="C600" s="19">
        <v>187277.08</v>
      </c>
    </row>
    <row r="601" spans="1:3" ht="15" x14ac:dyDescent="0.25">
      <c r="A601" s="122" t="s">
        <v>1480</v>
      </c>
      <c r="B601" s="3" t="s">
        <v>1481</v>
      </c>
      <c r="C601" s="19">
        <v>28848.290000000015</v>
      </c>
    </row>
    <row r="602" spans="1:3" ht="15" x14ac:dyDescent="0.25">
      <c r="A602" s="122" t="s">
        <v>1482</v>
      </c>
      <c r="B602" s="3" t="s">
        <v>1483</v>
      </c>
      <c r="C602" s="19">
        <v>83649.420000000013</v>
      </c>
    </row>
    <row r="603" spans="1:3" ht="15" x14ac:dyDescent="0.25">
      <c r="A603" s="122" t="s">
        <v>1484</v>
      </c>
      <c r="B603" s="3" t="s">
        <v>1485</v>
      </c>
      <c r="C603" s="19">
        <v>8455.4999999999982</v>
      </c>
    </row>
    <row r="604" spans="1:3" ht="15" x14ac:dyDescent="0.25">
      <c r="A604" s="122" t="s">
        <v>1486</v>
      </c>
      <c r="B604" s="3" t="s">
        <v>1487</v>
      </c>
      <c r="C604" s="19">
        <v>54683.849999999955</v>
      </c>
    </row>
    <row r="605" spans="1:3" ht="15" x14ac:dyDescent="0.25">
      <c r="A605" s="122" t="s">
        <v>1488</v>
      </c>
      <c r="B605" s="3" t="s">
        <v>1489</v>
      </c>
      <c r="C605" s="19">
        <v>309307.67000000033</v>
      </c>
    </row>
    <row r="606" spans="1:3" ht="15" x14ac:dyDescent="0.25">
      <c r="A606" s="122" t="s">
        <v>1490</v>
      </c>
      <c r="B606" s="3" t="s">
        <v>1491</v>
      </c>
      <c r="C606" s="19">
        <v>299406.38999999996</v>
      </c>
    </row>
    <row r="607" spans="1:3" ht="15" x14ac:dyDescent="0.25">
      <c r="A607" s="122" t="s">
        <v>1492</v>
      </c>
      <c r="B607" s="3" t="s">
        <v>1493</v>
      </c>
      <c r="C607" s="19">
        <v>230333.44000000006</v>
      </c>
    </row>
    <row r="608" spans="1:3" ht="15" x14ac:dyDescent="0.25">
      <c r="A608" s="122" t="s">
        <v>1494</v>
      </c>
      <c r="B608" s="3" t="s">
        <v>1495</v>
      </c>
      <c r="C608" s="19">
        <v>91997.61</v>
      </c>
    </row>
    <row r="609" spans="1:3" ht="15" x14ac:dyDescent="0.25">
      <c r="A609" s="122" t="s">
        <v>1496</v>
      </c>
      <c r="B609" s="3" t="s">
        <v>1497</v>
      </c>
      <c r="C609" s="19">
        <v>0</v>
      </c>
    </row>
    <row r="610" spans="1:3" ht="15" x14ac:dyDescent="0.25">
      <c r="A610" s="122" t="s">
        <v>1498</v>
      </c>
      <c r="B610" s="3" t="s">
        <v>1499</v>
      </c>
      <c r="C610" s="19">
        <v>6500</v>
      </c>
    </row>
    <row r="611" spans="1:3" ht="15" x14ac:dyDescent="0.25">
      <c r="A611" s="122" t="s">
        <v>1500</v>
      </c>
      <c r="B611" s="3" t="s">
        <v>1501</v>
      </c>
      <c r="C611" s="19">
        <v>32746.149999999994</v>
      </c>
    </row>
    <row r="612" spans="1:3" ht="15" x14ac:dyDescent="0.25">
      <c r="A612" s="122" t="s">
        <v>1502</v>
      </c>
      <c r="B612" s="3" t="s">
        <v>1503</v>
      </c>
      <c r="C612" s="19">
        <v>39418.169999999991</v>
      </c>
    </row>
    <row r="613" spans="1:3" ht="15" x14ac:dyDescent="0.25">
      <c r="A613" s="122" t="s">
        <v>1504</v>
      </c>
      <c r="B613" s="3" t="s">
        <v>1505</v>
      </c>
      <c r="C613" s="19">
        <v>44919.19</v>
      </c>
    </row>
    <row r="614" spans="1:3" ht="15" x14ac:dyDescent="0.25">
      <c r="A614" s="122" t="s">
        <v>1506</v>
      </c>
      <c r="B614" s="3" t="s">
        <v>1507</v>
      </c>
      <c r="C614" s="19">
        <v>17400</v>
      </c>
    </row>
    <row r="615" spans="1:3" ht="15" x14ac:dyDescent="0.25">
      <c r="A615" s="122" t="s">
        <v>1508</v>
      </c>
      <c r="B615" s="3" t="s">
        <v>1509</v>
      </c>
      <c r="C615" s="19">
        <v>1141713.3000000005</v>
      </c>
    </row>
    <row r="616" spans="1:3" ht="15" x14ac:dyDescent="0.25">
      <c r="A616" s="122" t="s">
        <v>1510</v>
      </c>
      <c r="B616" s="3" t="s">
        <v>1511</v>
      </c>
      <c r="C616" s="19">
        <v>40492236.059999973</v>
      </c>
    </row>
    <row r="617" spans="1:3" ht="15" x14ac:dyDescent="0.25">
      <c r="A617" s="122" t="s">
        <v>1512</v>
      </c>
      <c r="B617" s="3" t="s">
        <v>1513</v>
      </c>
      <c r="C617" s="19">
        <v>12999447.18</v>
      </c>
    </row>
    <row r="618" spans="1:3" ht="15" x14ac:dyDescent="0.25">
      <c r="A618" s="122" t="s">
        <v>1514</v>
      </c>
      <c r="B618" s="3" t="s">
        <v>1515</v>
      </c>
      <c r="C618" s="19">
        <v>33723.920000000006</v>
      </c>
    </row>
    <row r="619" spans="1:3" ht="15" x14ac:dyDescent="0.25">
      <c r="A619" s="122" t="s">
        <v>1516</v>
      </c>
      <c r="B619" s="3" t="s">
        <v>1517</v>
      </c>
      <c r="C619" s="19">
        <v>813375.33000000031</v>
      </c>
    </row>
    <row r="620" spans="1:3" ht="15" x14ac:dyDescent="0.25">
      <c r="A620" s="122" t="s">
        <v>1518</v>
      </c>
      <c r="B620" s="3" t="s">
        <v>1519</v>
      </c>
      <c r="C620" s="19">
        <v>-4888.5099999999838</v>
      </c>
    </row>
    <row r="621" spans="1:3" ht="15" x14ac:dyDescent="0.25">
      <c r="A621" s="122" t="s">
        <v>1520</v>
      </c>
      <c r="B621" s="3" t="s">
        <v>1521</v>
      </c>
      <c r="C621" s="19">
        <v>6775.76</v>
      </c>
    </row>
    <row r="622" spans="1:3" ht="15" x14ac:dyDescent="0.25">
      <c r="A622" s="122" t="s">
        <v>1522</v>
      </c>
      <c r="B622" s="3" t="s">
        <v>1523</v>
      </c>
      <c r="C622" s="19">
        <v>38627.31</v>
      </c>
    </row>
    <row r="623" spans="1:3" ht="15" x14ac:dyDescent="0.25">
      <c r="A623" s="122" t="s">
        <v>1524</v>
      </c>
      <c r="B623" s="3" t="s">
        <v>1525</v>
      </c>
      <c r="C623" s="19">
        <v>24750.929999999997</v>
      </c>
    </row>
    <row r="624" spans="1:3" ht="15" x14ac:dyDescent="0.25">
      <c r="A624" s="122" t="s">
        <v>1526</v>
      </c>
      <c r="B624" s="3" t="s">
        <v>1527</v>
      </c>
      <c r="C624" s="19">
        <v>13933.009999999998</v>
      </c>
    </row>
    <row r="625" spans="1:3" ht="15" x14ac:dyDescent="0.25">
      <c r="A625" s="122" t="s">
        <v>1528</v>
      </c>
      <c r="B625" s="3" t="s">
        <v>1529</v>
      </c>
      <c r="C625" s="19">
        <v>9432.76</v>
      </c>
    </row>
    <row r="626" spans="1:3" ht="15" x14ac:dyDescent="0.25">
      <c r="A626" s="122" t="s">
        <v>1530</v>
      </c>
      <c r="B626" s="3" t="s">
        <v>1531</v>
      </c>
      <c r="C626" s="19">
        <v>23480.59</v>
      </c>
    </row>
    <row r="627" spans="1:3" ht="15" x14ac:dyDescent="0.25">
      <c r="A627" s="122" t="s">
        <v>1532</v>
      </c>
      <c r="B627" s="3" t="s">
        <v>1533</v>
      </c>
      <c r="C627" s="19">
        <v>954360.04000000062</v>
      </c>
    </row>
    <row r="628" spans="1:3" ht="15" x14ac:dyDescent="0.25">
      <c r="A628" s="122" t="s">
        <v>1534</v>
      </c>
      <c r="B628" s="3" t="s">
        <v>1535</v>
      </c>
      <c r="C628" s="19">
        <v>11620.9</v>
      </c>
    </row>
    <row r="629" spans="1:3" ht="15" x14ac:dyDescent="0.25">
      <c r="A629" s="122" t="s">
        <v>1536</v>
      </c>
      <c r="B629" s="3" t="s">
        <v>1537</v>
      </c>
      <c r="C629" s="19">
        <v>199411.62999999992</v>
      </c>
    </row>
    <row r="630" spans="1:3" ht="15" x14ac:dyDescent="0.25">
      <c r="A630" s="122" t="s">
        <v>1538</v>
      </c>
      <c r="B630" s="3" t="s">
        <v>1539</v>
      </c>
      <c r="C630" s="19">
        <v>1192.04</v>
      </c>
    </row>
    <row r="631" spans="1:3" ht="15" x14ac:dyDescent="0.25">
      <c r="A631" s="122" t="s">
        <v>1540</v>
      </c>
      <c r="B631" s="3" t="s">
        <v>1541</v>
      </c>
      <c r="C631" s="19">
        <v>114033.02</v>
      </c>
    </row>
    <row r="632" spans="1:3" ht="15" x14ac:dyDescent="0.25">
      <c r="A632" s="122" t="s">
        <v>1542</v>
      </c>
      <c r="B632" s="3" t="s">
        <v>1543</v>
      </c>
      <c r="C632" s="19">
        <v>656.86999999999352</v>
      </c>
    </row>
    <row r="633" spans="1:3" ht="15" x14ac:dyDescent="0.25">
      <c r="A633" s="122" t="s">
        <v>1544</v>
      </c>
      <c r="B633" s="3" t="s">
        <v>1545</v>
      </c>
      <c r="C633" s="19">
        <v>-277.3599999999999</v>
      </c>
    </row>
    <row r="634" spans="1:3" ht="15" x14ac:dyDescent="0.25">
      <c r="A634" s="122" t="s">
        <v>1546</v>
      </c>
      <c r="B634" s="3" t="s">
        <v>1547</v>
      </c>
      <c r="C634" s="19">
        <v>35638.660000000003</v>
      </c>
    </row>
    <row r="635" spans="1:3" ht="15" x14ac:dyDescent="0.25">
      <c r="A635" s="122" t="s">
        <v>1548</v>
      </c>
      <c r="B635" s="3" t="s">
        <v>1549</v>
      </c>
      <c r="C635" s="19">
        <v>17777</v>
      </c>
    </row>
    <row r="636" spans="1:3" ht="15" x14ac:dyDescent="0.25">
      <c r="A636" s="122" t="s">
        <v>1550</v>
      </c>
      <c r="B636" s="3" t="s">
        <v>1551</v>
      </c>
      <c r="C636" s="19">
        <v>203788.45000000004</v>
      </c>
    </row>
    <row r="637" spans="1:3" ht="15" x14ac:dyDescent="0.25">
      <c r="A637" s="122" t="s">
        <v>1552</v>
      </c>
      <c r="B637" s="3" t="s">
        <v>1553</v>
      </c>
      <c r="C637" s="19">
        <v>250090.00999999998</v>
      </c>
    </row>
    <row r="638" spans="1:3" ht="15" x14ac:dyDescent="0.25">
      <c r="A638" s="122" t="s">
        <v>1554</v>
      </c>
      <c r="B638" s="3" t="s">
        <v>1555</v>
      </c>
      <c r="C638" s="19">
        <v>247410.21000000008</v>
      </c>
    </row>
    <row r="639" spans="1:3" ht="15" x14ac:dyDescent="0.25">
      <c r="A639" s="122" t="s">
        <v>1556</v>
      </c>
      <c r="B639" s="3" t="s">
        <v>1557</v>
      </c>
      <c r="C639" s="19">
        <v>63550.130000000005</v>
      </c>
    </row>
    <row r="640" spans="1:3" ht="15" x14ac:dyDescent="0.25">
      <c r="A640" s="122" t="s">
        <v>1558</v>
      </c>
      <c r="B640" s="3" t="s">
        <v>1559</v>
      </c>
      <c r="C640" s="19">
        <v>75350.070000000007</v>
      </c>
    </row>
    <row r="641" spans="1:3" ht="15" x14ac:dyDescent="0.25">
      <c r="A641" s="122" t="s">
        <v>1560</v>
      </c>
      <c r="B641" s="3" t="s">
        <v>1561</v>
      </c>
      <c r="C641" s="19">
        <v>298787.69</v>
      </c>
    </row>
    <row r="642" spans="1:3" ht="15" x14ac:dyDescent="0.25">
      <c r="A642" s="122" t="s">
        <v>1562</v>
      </c>
      <c r="B642" s="3" t="s">
        <v>1563</v>
      </c>
      <c r="C642" s="19">
        <v>341950.77999999991</v>
      </c>
    </row>
    <row r="643" spans="1:3" ht="15" x14ac:dyDescent="0.25">
      <c r="A643" s="122" t="s">
        <v>1564</v>
      </c>
      <c r="B643" s="3" t="s">
        <v>1565</v>
      </c>
      <c r="C643" s="19">
        <v>509978.69000000035</v>
      </c>
    </row>
    <row r="644" spans="1:3" ht="15" x14ac:dyDescent="0.25">
      <c r="A644" s="122" t="s">
        <v>1566</v>
      </c>
      <c r="B644" s="3" t="s">
        <v>1567</v>
      </c>
      <c r="C644" s="19">
        <v>153116.91</v>
      </c>
    </row>
    <row r="645" spans="1:3" ht="15" x14ac:dyDescent="0.25">
      <c r="A645" s="122" t="s">
        <v>1568</v>
      </c>
      <c r="B645" s="3" t="s">
        <v>1569</v>
      </c>
      <c r="C645" s="19">
        <v>147115.53000000006</v>
      </c>
    </row>
    <row r="646" spans="1:3" ht="15" x14ac:dyDescent="0.25">
      <c r="A646" s="122" t="s">
        <v>1570</v>
      </c>
      <c r="B646" s="3" t="s">
        <v>1571</v>
      </c>
      <c r="C646" s="19">
        <v>98914.619999999952</v>
      </c>
    </row>
    <row r="647" spans="1:3" ht="15" x14ac:dyDescent="0.25">
      <c r="A647" s="122" t="s">
        <v>1572</v>
      </c>
      <c r="B647" s="3" t="s">
        <v>1573</v>
      </c>
      <c r="C647" s="19">
        <v>107233.98000000005</v>
      </c>
    </row>
    <row r="648" spans="1:3" ht="15" x14ac:dyDescent="0.25">
      <c r="A648" s="122" t="s">
        <v>1574</v>
      </c>
      <c r="B648" s="3" t="s">
        <v>1575</v>
      </c>
      <c r="C648" s="19">
        <v>335652.18</v>
      </c>
    </row>
    <row r="649" spans="1:3" ht="15" x14ac:dyDescent="0.25">
      <c r="A649" s="122" t="s">
        <v>1576</v>
      </c>
      <c r="B649" s="3" t="s">
        <v>1577</v>
      </c>
      <c r="C649" s="19">
        <v>348121.24999999994</v>
      </c>
    </row>
    <row r="650" spans="1:3" ht="15" x14ac:dyDescent="0.25">
      <c r="A650" s="122" t="s">
        <v>1578</v>
      </c>
      <c r="B650" s="3" t="s">
        <v>1579</v>
      </c>
      <c r="C650" s="19">
        <v>8248.4500000000007</v>
      </c>
    </row>
    <row r="651" spans="1:3" ht="15" x14ac:dyDescent="0.25">
      <c r="A651" s="122" t="s">
        <v>1580</v>
      </c>
      <c r="B651" s="3" t="s">
        <v>1581</v>
      </c>
      <c r="C651" s="19">
        <v>2172335.290000001</v>
      </c>
    </row>
    <row r="652" spans="1:3" ht="15" x14ac:dyDescent="0.25">
      <c r="A652" s="122" t="s">
        <v>1582</v>
      </c>
      <c r="B652" s="3" t="s">
        <v>1583</v>
      </c>
      <c r="C652" s="19">
        <v>0</v>
      </c>
    </row>
    <row r="653" spans="1:3" ht="15" x14ac:dyDescent="0.25">
      <c r="A653" s="122" t="s">
        <v>1584</v>
      </c>
      <c r="B653" s="3" t="s">
        <v>1585</v>
      </c>
      <c r="C653" s="19">
        <v>213851.09</v>
      </c>
    </row>
    <row r="654" spans="1:3" ht="15" x14ac:dyDescent="0.25">
      <c r="A654" s="122" t="s">
        <v>1586</v>
      </c>
      <c r="B654" s="3" t="s">
        <v>1587</v>
      </c>
      <c r="C654" s="19">
        <v>-3154.25</v>
      </c>
    </row>
    <row r="655" spans="1:3" ht="15" x14ac:dyDescent="0.25">
      <c r="A655" s="122" t="s">
        <v>1588</v>
      </c>
      <c r="B655" s="3" t="s">
        <v>1589</v>
      </c>
      <c r="C655" s="19">
        <v>63101.750000000022</v>
      </c>
    </row>
    <row r="656" spans="1:3" ht="15" x14ac:dyDescent="0.25">
      <c r="A656" s="122" t="s">
        <v>1590</v>
      </c>
      <c r="B656" s="3" t="s">
        <v>1591</v>
      </c>
      <c r="C656" s="19">
        <v>16279.460000000001</v>
      </c>
    </row>
    <row r="657" spans="1:3" ht="15" x14ac:dyDescent="0.25">
      <c r="A657" s="122" t="s">
        <v>1592</v>
      </c>
      <c r="B657" s="3" t="s">
        <v>1593</v>
      </c>
      <c r="C657" s="19">
        <v>9726.4900000000016</v>
      </c>
    </row>
    <row r="658" spans="1:3" ht="15" x14ac:dyDescent="0.25">
      <c r="A658" s="122" t="s">
        <v>1594</v>
      </c>
      <c r="B658" s="3" t="s">
        <v>1595</v>
      </c>
      <c r="C658" s="19">
        <v>51677.22</v>
      </c>
    </row>
    <row r="659" spans="1:3" ht="15" x14ac:dyDescent="0.25">
      <c r="A659" s="122" t="s">
        <v>1596</v>
      </c>
      <c r="B659" s="3" t="s">
        <v>1597</v>
      </c>
      <c r="C659" s="19">
        <v>70271.08</v>
      </c>
    </row>
    <row r="660" spans="1:3" ht="15" x14ac:dyDescent="0.25">
      <c r="A660" s="122" t="s">
        <v>1598</v>
      </c>
      <c r="B660" s="3" t="s">
        <v>1599</v>
      </c>
      <c r="C660" s="19">
        <v>70604.179999999993</v>
      </c>
    </row>
    <row r="661" spans="1:3" ht="15" x14ac:dyDescent="0.25">
      <c r="A661" s="122" t="s">
        <v>1600</v>
      </c>
      <c r="B661" s="3" t="s">
        <v>1601</v>
      </c>
      <c r="C661" s="19">
        <v>9318.0999999999967</v>
      </c>
    </row>
    <row r="662" spans="1:3" ht="15" x14ac:dyDescent="0.25">
      <c r="A662" s="122" t="s">
        <v>1602</v>
      </c>
      <c r="B662" s="3" t="s">
        <v>1603</v>
      </c>
      <c r="C662" s="19">
        <v>651985.06999999995</v>
      </c>
    </row>
    <row r="663" spans="1:3" ht="15" x14ac:dyDescent="0.25">
      <c r="A663" s="122" t="s">
        <v>1604</v>
      </c>
      <c r="B663" s="3" t="s">
        <v>1605</v>
      </c>
      <c r="C663" s="19">
        <v>66973.73</v>
      </c>
    </row>
    <row r="664" spans="1:3" ht="15" x14ac:dyDescent="0.25">
      <c r="A664" s="122" t="s">
        <v>1606</v>
      </c>
      <c r="B664" s="3" t="s">
        <v>1607</v>
      </c>
      <c r="C664" s="19">
        <v>2177.0300000000002</v>
      </c>
    </row>
    <row r="665" spans="1:3" ht="15" x14ac:dyDescent="0.25">
      <c r="A665" s="122" t="s">
        <v>1608</v>
      </c>
      <c r="B665" s="3" t="s">
        <v>1609</v>
      </c>
      <c r="C665" s="19">
        <v>1963.0700000000099</v>
      </c>
    </row>
    <row r="666" spans="1:3" ht="15" x14ac:dyDescent="0.25">
      <c r="A666" s="122" t="s">
        <v>1610</v>
      </c>
      <c r="B666" s="3" t="s">
        <v>1611</v>
      </c>
      <c r="C666" s="19">
        <v>73983.960000000036</v>
      </c>
    </row>
    <row r="667" spans="1:3" ht="15" x14ac:dyDescent="0.25">
      <c r="A667" s="122" t="s">
        <v>1612</v>
      </c>
      <c r="B667" s="3" t="s">
        <v>1613</v>
      </c>
      <c r="C667" s="19">
        <v>66847.44</v>
      </c>
    </row>
    <row r="668" spans="1:3" ht="15" x14ac:dyDescent="0.25">
      <c r="A668" s="122" t="s">
        <v>1614</v>
      </c>
      <c r="B668" s="3" t="s">
        <v>1615</v>
      </c>
      <c r="C668" s="19">
        <v>56507.120000000032</v>
      </c>
    </row>
    <row r="669" spans="1:3" ht="15" x14ac:dyDescent="0.25">
      <c r="A669" s="122" t="s">
        <v>1616</v>
      </c>
      <c r="B669" s="3" t="s">
        <v>1617</v>
      </c>
      <c r="C669" s="19">
        <v>319987.84000000003</v>
      </c>
    </row>
    <row r="670" spans="1:3" ht="15" x14ac:dyDescent="0.25">
      <c r="A670" s="122" t="s">
        <v>1618</v>
      </c>
      <c r="B670" s="3" t="s">
        <v>1619</v>
      </c>
      <c r="C670" s="19">
        <v>190718.25999999998</v>
      </c>
    </row>
    <row r="671" spans="1:3" ht="15" x14ac:dyDescent="0.25">
      <c r="A671" s="122" t="s">
        <v>1620</v>
      </c>
      <c r="B671" s="3" t="s">
        <v>1621</v>
      </c>
      <c r="C671" s="19">
        <v>-10461</v>
      </c>
    </row>
    <row r="672" spans="1:3" ht="15" x14ac:dyDescent="0.25">
      <c r="A672" s="122" t="s">
        <v>1622</v>
      </c>
      <c r="B672" s="3" t="s">
        <v>1623</v>
      </c>
      <c r="C672" s="19">
        <v>15822.21</v>
      </c>
    </row>
    <row r="673" spans="1:3" ht="15" x14ac:dyDescent="0.25">
      <c r="A673" s="122" t="s">
        <v>1624</v>
      </c>
      <c r="B673" s="3" t="s">
        <v>1625</v>
      </c>
      <c r="C673" s="19">
        <v>875.38999999999942</v>
      </c>
    </row>
    <row r="674" spans="1:3" ht="15" x14ac:dyDescent="0.25">
      <c r="A674" s="122" t="s">
        <v>1626</v>
      </c>
      <c r="B674" s="3" t="s">
        <v>1627</v>
      </c>
      <c r="C674" s="19">
        <v>34903.449999999997</v>
      </c>
    </row>
    <row r="675" spans="1:3" ht="15" x14ac:dyDescent="0.25">
      <c r="A675" s="122" t="s">
        <v>1628</v>
      </c>
      <c r="B675" s="3" t="s">
        <v>1629</v>
      </c>
      <c r="C675" s="19">
        <v>104574</v>
      </c>
    </row>
    <row r="676" spans="1:3" ht="15" x14ac:dyDescent="0.25">
      <c r="A676" s="122" t="s">
        <v>1630</v>
      </c>
      <c r="B676" s="3" t="s">
        <v>1631</v>
      </c>
      <c r="C676" s="19">
        <v>104574</v>
      </c>
    </row>
    <row r="677" spans="1:3" ht="15" x14ac:dyDescent="0.25">
      <c r="A677" s="122" t="s">
        <v>1632</v>
      </c>
      <c r="B677" s="3" t="s">
        <v>1633</v>
      </c>
      <c r="C677" s="19">
        <v>104574</v>
      </c>
    </row>
    <row r="678" spans="1:3" ht="15" x14ac:dyDescent="0.25">
      <c r="A678" s="122" t="s">
        <v>1634</v>
      </c>
      <c r="B678" s="3" t="s">
        <v>1635</v>
      </c>
      <c r="C678" s="19">
        <v>2603.8599999999951</v>
      </c>
    </row>
    <row r="679" spans="1:3" ht="15" x14ac:dyDescent="0.25">
      <c r="A679" s="122" t="s">
        <v>1636</v>
      </c>
      <c r="B679" s="3" t="s">
        <v>1637</v>
      </c>
      <c r="C679" s="19">
        <v>-10063.960000000001</v>
      </c>
    </row>
    <row r="680" spans="1:3" ht="15" x14ac:dyDescent="0.25">
      <c r="A680" s="122" t="s">
        <v>1638</v>
      </c>
      <c r="B680" s="3" t="s">
        <v>1639</v>
      </c>
      <c r="C680" s="19">
        <v>73.950000000000017</v>
      </c>
    </row>
    <row r="681" spans="1:3" ht="15" x14ac:dyDescent="0.25">
      <c r="A681" s="122" t="s">
        <v>1640</v>
      </c>
      <c r="B681" s="3" t="s">
        <v>1641</v>
      </c>
      <c r="C681" s="19">
        <v>0.39</v>
      </c>
    </row>
    <row r="682" spans="1:3" ht="15" x14ac:dyDescent="0.25">
      <c r="A682" s="122" t="s">
        <v>1642</v>
      </c>
      <c r="B682" s="3" t="s">
        <v>1643</v>
      </c>
      <c r="C682" s="19">
        <v>224513.71999999997</v>
      </c>
    </row>
    <row r="683" spans="1:3" ht="15" x14ac:dyDescent="0.25">
      <c r="A683" s="122" t="s">
        <v>1644</v>
      </c>
      <c r="B683" s="3" t="s">
        <v>1645</v>
      </c>
      <c r="C683" s="19">
        <v>29966.13</v>
      </c>
    </row>
    <row r="684" spans="1:3" ht="15" x14ac:dyDescent="0.25">
      <c r="A684" s="122" t="s">
        <v>1646</v>
      </c>
      <c r="B684" s="3" t="s">
        <v>1647</v>
      </c>
      <c r="C684" s="19">
        <v>1708.8899999999994</v>
      </c>
    </row>
    <row r="685" spans="1:3" ht="15" x14ac:dyDescent="0.25">
      <c r="A685" s="122" t="s">
        <v>1648</v>
      </c>
      <c r="B685" s="3" t="s">
        <v>1649</v>
      </c>
      <c r="C685" s="19">
        <v>135.11000000000001</v>
      </c>
    </row>
    <row r="686" spans="1:3" ht="15" x14ac:dyDescent="0.25">
      <c r="A686" s="122" t="s">
        <v>1650</v>
      </c>
      <c r="B686" s="3" t="s">
        <v>1651</v>
      </c>
      <c r="C686" s="19">
        <v>90472.329999999973</v>
      </c>
    </row>
    <row r="687" spans="1:3" ht="15" x14ac:dyDescent="0.25">
      <c r="A687" s="122" t="s">
        <v>1652</v>
      </c>
      <c r="B687" s="3" t="s">
        <v>1653</v>
      </c>
      <c r="C687" s="19">
        <v>65679.22</v>
      </c>
    </row>
    <row r="688" spans="1:3" ht="15" x14ac:dyDescent="0.25">
      <c r="A688" s="122" t="s">
        <v>1654</v>
      </c>
      <c r="B688" s="3" t="s">
        <v>1655</v>
      </c>
      <c r="C688" s="19">
        <v>3971644.6899999976</v>
      </c>
    </row>
    <row r="689" spans="1:3" ht="15" x14ac:dyDescent="0.25">
      <c r="A689" s="122" t="s">
        <v>1656</v>
      </c>
      <c r="B689" s="3" t="s">
        <v>1657</v>
      </c>
      <c r="C689" s="19">
        <v>3686728.5800000015</v>
      </c>
    </row>
    <row r="690" spans="1:3" ht="15" x14ac:dyDescent="0.25">
      <c r="A690" s="122" t="s">
        <v>1658</v>
      </c>
      <c r="B690" s="3" t="s">
        <v>1659</v>
      </c>
      <c r="C690" s="19">
        <v>1858183.7400000021</v>
      </c>
    </row>
    <row r="691" spans="1:3" ht="15" x14ac:dyDescent="0.25">
      <c r="A691" s="122" t="s">
        <v>1660</v>
      </c>
      <c r="B691" s="3" t="s">
        <v>1661</v>
      </c>
      <c r="C691" s="19">
        <v>495962.01999999996</v>
      </c>
    </row>
    <row r="692" spans="1:3" ht="15" x14ac:dyDescent="0.25">
      <c r="A692" s="122" t="s">
        <v>1662</v>
      </c>
      <c r="B692" s="3" t="s">
        <v>1663</v>
      </c>
      <c r="C692" s="19">
        <v>2189734.5699999994</v>
      </c>
    </row>
    <row r="693" spans="1:3" ht="15" x14ac:dyDescent="0.25">
      <c r="A693" s="122" t="s">
        <v>1664</v>
      </c>
      <c r="B693" s="3" t="s">
        <v>1665</v>
      </c>
      <c r="C693" s="19">
        <v>5868.53</v>
      </c>
    </row>
    <row r="694" spans="1:3" ht="15" x14ac:dyDescent="0.25">
      <c r="A694" s="122" t="s">
        <v>1666</v>
      </c>
      <c r="B694" s="3" t="s">
        <v>1667</v>
      </c>
      <c r="C694" s="19">
        <v>277315.39999999997</v>
      </c>
    </row>
    <row r="695" spans="1:3" ht="15" x14ac:dyDescent="0.25">
      <c r="A695" s="122" t="s">
        <v>1668</v>
      </c>
      <c r="B695" s="3" t="s">
        <v>1669</v>
      </c>
      <c r="C695" s="19">
        <v>692848.57000000018</v>
      </c>
    </row>
    <row r="696" spans="1:3" ht="15" x14ac:dyDescent="0.25">
      <c r="A696" s="122" t="s">
        <v>1670</v>
      </c>
      <c r="B696" s="3" t="s">
        <v>1671</v>
      </c>
      <c r="C696" s="19">
        <v>34471.589999999997</v>
      </c>
    </row>
    <row r="697" spans="1:3" ht="15" x14ac:dyDescent="0.25">
      <c r="A697" s="122" t="s">
        <v>1672</v>
      </c>
      <c r="B697" s="3" t="s">
        <v>1673</v>
      </c>
      <c r="C697" s="19">
        <v>-93004.54</v>
      </c>
    </row>
    <row r="698" spans="1:3" ht="15" x14ac:dyDescent="0.25">
      <c r="A698" s="122" t="s">
        <v>1674</v>
      </c>
      <c r="B698" s="3" t="s">
        <v>1675</v>
      </c>
      <c r="C698" s="19">
        <v>294.77999999999963</v>
      </c>
    </row>
    <row r="699" spans="1:3" ht="15" x14ac:dyDescent="0.25">
      <c r="A699" s="122" t="s">
        <v>1676</v>
      </c>
      <c r="B699" s="3" t="s">
        <v>1677</v>
      </c>
      <c r="C699" s="19">
        <v>1712.0400000000009</v>
      </c>
    </row>
    <row r="700" spans="1:3" ht="15" x14ac:dyDescent="0.25">
      <c r="A700" s="122" t="s">
        <v>1678</v>
      </c>
      <c r="B700" s="3" t="s">
        <v>1679</v>
      </c>
      <c r="C700" s="19">
        <v>827.27</v>
      </c>
    </row>
    <row r="701" spans="1:3" ht="15" x14ac:dyDescent="0.25">
      <c r="A701" s="122" t="s">
        <v>1680</v>
      </c>
      <c r="B701" s="3" t="s">
        <v>1681</v>
      </c>
      <c r="C701" s="19">
        <v>-11617.93</v>
      </c>
    </row>
    <row r="702" spans="1:3" ht="15" x14ac:dyDescent="0.25">
      <c r="A702" s="122" t="s">
        <v>1682</v>
      </c>
      <c r="B702" s="3" t="s">
        <v>1683</v>
      </c>
      <c r="C702" s="19">
        <v>112938.26999999999</v>
      </c>
    </row>
    <row r="703" spans="1:3" ht="15" x14ac:dyDescent="0.25">
      <c r="A703" s="122" t="s">
        <v>1684</v>
      </c>
      <c r="B703" s="3" t="s">
        <v>1685</v>
      </c>
      <c r="C703" s="19">
        <v>-26451.410000000018</v>
      </c>
    </row>
    <row r="704" spans="1:3" ht="15" x14ac:dyDescent="0.25">
      <c r="A704" s="122" t="s">
        <v>1686</v>
      </c>
      <c r="B704" s="3" t="s">
        <v>1687</v>
      </c>
      <c r="C704" s="19">
        <v>1696.72</v>
      </c>
    </row>
    <row r="705" spans="1:3" ht="15" x14ac:dyDescent="0.25">
      <c r="A705" s="122" t="s">
        <v>1688</v>
      </c>
      <c r="B705" s="3" t="s">
        <v>1689</v>
      </c>
      <c r="C705" s="19">
        <v>174838.91999999987</v>
      </c>
    </row>
    <row r="706" spans="1:3" ht="15" x14ac:dyDescent="0.25">
      <c r="A706" s="122" t="s">
        <v>1690</v>
      </c>
      <c r="B706" s="3" t="s">
        <v>1691</v>
      </c>
      <c r="C706" s="19">
        <v>540.15000000000009</v>
      </c>
    </row>
    <row r="707" spans="1:3" ht="15" x14ac:dyDescent="0.25">
      <c r="A707" s="122" t="s">
        <v>1692</v>
      </c>
      <c r="B707" s="3" t="s">
        <v>1693</v>
      </c>
      <c r="C707" s="19">
        <v>205735.98000000004</v>
      </c>
    </row>
    <row r="708" spans="1:3" ht="15" x14ac:dyDescent="0.25">
      <c r="A708" s="122" t="s">
        <v>1694</v>
      </c>
      <c r="B708" s="3" t="s">
        <v>1695</v>
      </c>
      <c r="C708" s="19">
        <v>-14.320000000000313</v>
      </c>
    </row>
    <row r="709" spans="1:3" ht="15" x14ac:dyDescent="0.25">
      <c r="A709" s="122" t="s">
        <v>1696</v>
      </c>
      <c r="B709" s="3" t="s">
        <v>1697</v>
      </c>
      <c r="C709" s="19">
        <v>6508.73</v>
      </c>
    </row>
    <row r="710" spans="1:3" ht="15" x14ac:dyDescent="0.25">
      <c r="A710" s="122" t="s">
        <v>1698</v>
      </c>
      <c r="B710" s="3" t="s">
        <v>1699</v>
      </c>
      <c r="C710" s="19">
        <v>2078.6700000000128</v>
      </c>
    </row>
    <row r="711" spans="1:3" ht="15" x14ac:dyDescent="0.25">
      <c r="A711" s="122" t="s">
        <v>1700</v>
      </c>
      <c r="B711" s="3" t="s">
        <v>1701</v>
      </c>
      <c r="C711" s="19">
        <v>1190.08</v>
      </c>
    </row>
    <row r="712" spans="1:3" ht="15" x14ac:dyDescent="0.25">
      <c r="A712" s="122" t="s">
        <v>1702</v>
      </c>
      <c r="B712" s="3" t="s">
        <v>1703</v>
      </c>
      <c r="C712" s="19">
        <v>42751.159999999996</v>
      </c>
    </row>
    <row r="713" spans="1:3" ht="15" x14ac:dyDescent="0.25">
      <c r="A713" s="122" t="s">
        <v>1704</v>
      </c>
      <c r="B713" s="3" t="s">
        <v>1705</v>
      </c>
      <c r="C713" s="19">
        <v>54422.960000000006</v>
      </c>
    </row>
    <row r="714" spans="1:3" ht="15" x14ac:dyDescent="0.25">
      <c r="A714" s="122" t="s">
        <v>1706</v>
      </c>
      <c r="B714" s="3" t="s">
        <v>1707</v>
      </c>
      <c r="C714" s="19">
        <v>209.51</v>
      </c>
    </row>
    <row r="715" spans="1:3" ht="15" x14ac:dyDescent="0.25">
      <c r="A715" s="122" t="s">
        <v>1708</v>
      </c>
      <c r="B715" s="3" t="s">
        <v>1709</v>
      </c>
      <c r="C715" s="19">
        <v>57705.010000000017</v>
      </c>
    </row>
    <row r="716" spans="1:3" ht="15" x14ac:dyDescent="0.25">
      <c r="A716" s="122" t="s">
        <v>1710</v>
      </c>
      <c r="B716" s="3" t="s">
        <v>1711</v>
      </c>
      <c r="C716" s="19">
        <v>380942.28999999975</v>
      </c>
    </row>
    <row r="717" spans="1:3" ht="15" x14ac:dyDescent="0.25">
      <c r="A717" s="122" t="s">
        <v>1712</v>
      </c>
      <c r="B717" s="3" t="s">
        <v>1713</v>
      </c>
      <c r="C717" s="19">
        <v>58894.899999999972</v>
      </c>
    </row>
    <row r="718" spans="1:3" ht="15" x14ac:dyDescent="0.25">
      <c r="A718" s="122" t="s">
        <v>1714</v>
      </c>
      <c r="B718" s="3" t="s">
        <v>1715</v>
      </c>
      <c r="C718" s="19">
        <v>-1.4210854715202004E-14</v>
      </c>
    </row>
    <row r="719" spans="1:3" ht="15" x14ac:dyDescent="0.25">
      <c r="A719" s="122" t="s">
        <v>1716</v>
      </c>
      <c r="B719" s="3" t="s">
        <v>1717</v>
      </c>
      <c r="C719" s="19">
        <v>19541.310000000005</v>
      </c>
    </row>
    <row r="720" spans="1:3" ht="15" x14ac:dyDescent="0.25">
      <c r="A720" s="122" t="s">
        <v>1718</v>
      </c>
      <c r="B720" s="3" t="s">
        <v>1719</v>
      </c>
      <c r="C720" s="19">
        <v>55032.69</v>
      </c>
    </row>
    <row r="721" spans="1:3" ht="15" x14ac:dyDescent="0.25">
      <c r="A721" s="122" t="s">
        <v>1720</v>
      </c>
      <c r="B721" s="3" t="s">
        <v>1721</v>
      </c>
      <c r="C721" s="19">
        <v>6805.7800000000007</v>
      </c>
    </row>
    <row r="722" spans="1:3" ht="15" x14ac:dyDescent="0.25">
      <c r="A722" s="122" t="s">
        <v>1722</v>
      </c>
      <c r="B722" s="3" t="s">
        <v>1723</v>
      </c>
      <c r="C722" s="19">
        <v>6425.49</v>
      </c>
    </row>
    <row r="723" spans="1:3" ht="15" x14ac:dyDescent="0.25">
      <c r="A723" s="122" t="s">
        <v>1724</v>
      </c>
      <c r="B723" s="3" t="s">
        <v>1725</v>
      </c>
      <c r="C723" s="19">
        <v>15403.600000000002</v>
      </c>
    </row>
    <row r="724" spans="1:3" ht="15" x14ac:dyDescent="0.25">
      <c r="A724" s="122" t="s">
        <v>1726</v>
      </c>
      <c r="B724" s="3" t="s">
        <v>1727</v>
      </c>
      <c r="C724" s="19">
        <v>0.20000000000247381</v>
      </c>
    </row>
    <row r="725" spans="1:3" ht="15" x14ac:dyDescent="0.25">
      <c r="A725" s="122" t="s">
        <v>1728</v>
      </c>
      <c r="B725" s="3" t="s">
        <v>1729</v>
      </c>
      <c r="C725" s="19">
        <v>968989.45999999961</v>
      </c>
    </row>
    <row r="726" spans="1:3" ht="15" x14ac:dyDescent="0.25">
      <c r="A726" s="122" t="s">
        <v>1730</v>
      </c>
      <c r="B726" s="3" t="s">
        <v>1731</v>
      </c>
      <c r="C726" s="19">
        <v>1833.2599999999998</v>
      </c>
    </row>
    <row r="727" spans="1:3" ht="15" x14ac:dyDescent="0.25">
      <c r="A727" s="122" t="s">
        <v>1732</v>
      </c>
      <c r="B727" s="3" t="s">
        <v>1733</v>
      </c>
      <c r="C727" s="19">
        <v>-13221.7</v>
      </c>
    </row>
    <row r="728" spans="1:3" ht="15" x14ac:dyDescent="0.25">
      <c r="A728" s="122" t="s">
        <v>1734</v>
      </c>
      <c r="B728" s="3" t="s">
        <v>1735</v>
      </c>
      <c r="C728" s="19">
        <v>151.27000000000001</v>
      </c>
    </row>
    <row r="729" spans="1:3" ht="15" x14ac:dyDescent="0.25">
      <c r="A729" s="122" t="s">
        <v>1736</v>
      </c>
      <c r="B729" s="3" t="s">
        <v>1737</v>
      </c>
      <c r="C729" s="19">
        <v>958350.95999999961</v>
      </c>
    </row>
    <row r="730" spans="1:3" ht="15" x14ac:dyDescent="0.25">
      <c r="A730" s="122" t="s">
        <v>1738</v>
      </c>
      <c r="B730" s="3" t="s">
        <v>1739</v>
      </c>
      <c r="C730" s="19">
        <v>650688.50999999954</v>
      </c>
    </row>
    <row r="731" spans="1:3" ht="15" x14ac:dyDescent="0.25">
      <c r="A731" s="122" t="s">
        <v>1740</v>
      </c>
      <c r="B731" s="3" t="s">
        <v>1741</v>
      </c>
      <c r="C731" s="19">
        <v>780769.00999999954</v>
      </c>
    </row>
    <row r="732" spans="1:3" ht="15" x14ac:dyDescent="0.25">
      <c r="A732" s="122" t="s">
        <v>1742</v>
      </c>
      <c r="B732" s="3" t="s">
        <v>1743</v>
      </c>
      <c r="C732" s="19">
        <v>1673377.1999999995</v>
      </c>
    </row>
    <row r="733" spans="1:3" ht="15" x14ac:dyDescent="0.25">
      <c r="A733" s="122" t="s">
        <v>1744</v>
      </c>
      <c r="B733" s="3" t="s">
        <v>1745</v>
      </c>
      <c r="C733" s="19">
        <v>389961.33999999985</v>
      </c>
    </row>
    <row r="734" spans="1:3" ht="15" x14ac:dyDescent="0.25">
      <c r="A734" s="122" t="s">
        <v>1746</v>
      </c>
      <c r="B734" s="3" t="s">
        <v>1747</v>
      </c>
      <c r="C734" s="19">
        <v>777958.44</v>
      </c>
    </row>
    <row r="735" spans="1:3" ht="15" x14ac:dyDescent="0.25">
      <c r="A735" s="122" t="s">
        <v>1748</v>
      </c>
      <c r="B735" s="3" t="s">
        <v>1749</v>
      </c>
      <c r="C735" s="19">
        <v>82629.429999999993</v>
      </c>
    </row>
    <row r="736" spans="1:3" ht="15" x14ac:dyDescent="0.25">
      <c r="A736" s="122" t="s">
        <v>1750</v>
      </c>
      <c r="B736" s="3" t="s">
        <v>1751</v>
      </c>
      <c r="C736" s="19">
        <v>712814.17</v>
      </c>
    </row>
    <row r="737" spans="1:3" ht="15" x14ac:dyDescent="0.25">
      <c r="A737" s="122" t="s">
        <v>1752</v>
      </c>
      <c r="B737" s="3" t="s">
        <v>1753</v>
      </c>
      <c r="C737" s="19">
        <v>305856.49000000011</v>
      </c>
    </row>
    <row r="738" spans="1:3" ht="15" x14ac:dyDescent="0.25">
      <c r="A738" s="122" t="s">
        <v>1754</v>
      </c>
      <c r="B738" s="3" t="s">
        <v>1755</v>
      </c>
      <c r="C738" s="19">
        <v>1504.9900000000023</v>
      </c>
    </row>
    <row r="739" spans="1:3" ht="15" x14ac:dyDescent="0.25">
      <c r="A739" s="122" t="s">
        <v>1756</v>
      </c>
      <c r="B739" s="3" t="s">
        <v>1757</v>
      </c>
      <c r="C739" s="19">
        <v>927806.40999999992</v>
      </c>
    </row>
    <row r="740" spans="1:3" ht="15" x14ac:dyDescent="0.25">
      <c r="A740" s="122" t="s">
        <v>1758</v>
      </c>
      <c r="B740" s="3" t="s">
        <v>1759</v>
      </c>
      <c r="C740" s="19">
        <v>69809.350000000006</v>
      </c>
    </row>
    <row r="741" spans="1:3" ht="15" x14ac:dyDescent="0.25">
      <c r="A741" s="122" t="s">
        <v>1760</v>
      </c>
      <c r="B741" s="3" t="s">
        <v>1761</v>
      </c>
      <c r="C741" s="19">
        <v>517667.08000000025</v>
      </c>
    </row>
    <row r="742" spans="1:3" ht="15" x14ac:dyDescent="0.25">
      <c r="A742" s="122" t="s">
        <v>1762</v>
      </c>
      <c r="B742" s="3" t="s">
        <v>1763</v>
      </c>
      <c r="C742" s="19">
        <v>874469.62999999919</v>
      </c>
    </row>
    <row r="743" spans="1:3" ht="15" x14ac:dyDescent="0.25">
      <c r="A743" s="122" t="s">
        <v>1764</v>
      </c>
      <c r="B743" s="3" t="s">
        <v>1765</v>
      </c>
      <c r="C743" s="19">
        <v>-48.730000000000018</v>
      </c>
    </row>
    <row r="744" spans="1:3" ht="15" x14ac:dyDescent="0.25">
      <c r="A744" s="122" t="s">
        <v>1766</v>
      </c>
      <c r="B744" s="3" t="s">
        <v>1767</v>
      </c>
      <c r="C744" s="19">
        <v>100243.95999999995</v>
      </c>
    </row>
    <row r="745" spans="1:3" ht="15" x14ac:dyDescent="0.25">
      <c r="A745" s="122" t="s">
        <v>1768</v>
      </c>
      <c r="B745" s="3" t="s">
        <v>1769</v>
      </c>
      <c r="C745" s="19">
        <v>7453.47</v>
      </c>
    </row>
    <row r="746" spans="1:3" ht="15" x14ac:dyDescent="0.25">
      <c r="A746" s="122" t="s">
        <v>1770</v>
      </c>
      <c r="B746" s="3" t="s">
        <v>1771</v>
      </c>
      <c r="C746" s="19">
        <v>6581.1299999999928</v>
      </c>
    </row>
    <row r="747" spans="1:3" ht="15" x14ac:dyDescent="0.25">
      <c r="A747" s="122" t="s">
        <v>1772</v>
      </c>
      <c r="B747" s="3" t="s">
        <v>1773</v>
      </c>
      <c r="C747" s="19">
        <v>31907.98</v>
      </c>
    </row>
    <row r="748" spans="1:3" ht="15" x14ac:dyDescent="0.25">
      <c r="A748" s="122" t="s">
        <v>1774</v>
      </c>
      <c r="B748" s="3" t="s">
        <v>1775</v>
      </c>
      <c r="C748" s="19">
        <v>69232.81</v>
      </c>
    </row>
    <row r="749" spans="1:3" ht="15" x14ac:dyDescent="0.25">
      <c r="A749" s="122" t="s">
        <v>1776</v>
      </c>
      <c r="B749" s="3" t="s">
        <v>1777</v>
      </c>
      <c r="C749" s="19">
        <v>-0.93000000000029104</v>
      </c>
    </row>
    <row r="750" spans="1:3" ht="15" x14ac:dyDescent="0.25">
      <c r="A750" s="122" t="s">
        <v>1778</v>
      </c>
      <c r="B750" s="3" t="s">
        <v>1779</v>
      </c>
      <c r="C750" s="19">
        <v>-0.61000000000058208</v>
      </c>
    </row>
    <row r="751" spans="1:3" ht="15" x14ac:dyDescent="0.25">
      <c r="A751" s="122" t="s">
        <v>1780</v>
      </c>
      <c r="B751" s="3" t="s">
        <v>1781</v>
      </c>
      <c r="C751" s="19">
        <v>324571.79999999993</v>
      </c>
    </row>
    <row r="752" spans="1:3" ht="15" x14ac:dyDescent="0.25">
      <c r="A752" s="122" t="s">
        <v>1782</v>
      </c>
      <c r="B752" s="3" t="s">
        <v>1783</v>
      </c>
      <c r="C752" s="19">
        <v>14025.480000000001</v>
      </c>
    </row>
    <row r="753" spans="1:3" ht="15" x14ac:dyDescent="0.25">
      <c r="A753" s="122" t="s">
        <v>1784</v>
      </c>
      <c r="B753" s="3" t="s">
        <v>1785</v>
      </c>
      <c r="C753" s="19">
        <v>17490.430000000004</v>
      </c>
    </row>
    <row r="754" spans="1:3" ht="15" x14ac:dyDescent="0.25">
      <c r="A754" s="122" t="s">
        <v>1786</v>
      </c>
      <c r="B754" s="3" t="s">
        <v>1787</v>
      </c>
      <c r="C754" s="19">
        <v>203708.25000000006</v>
      </c>
    </row>
    <row r="755" spans="1:3" ht="15" x14ac:dyDescent="0.25">
      <c r="A755" s="122" t="s">
        <v>1788</v>
      </c>
      <c r="B755" s="3" t="s">
        <v>1789</v>
      </c>
      <c r="C755" s="19">
        <v>105969.53000000003</v>
      </c>
    </row>
    <row r="756" spans="1:3" ht="15" x14ac:dyDescent="0.25">
      <c r="A756" s="122" t="s">
        <v>1790</v>
      </c>
      <c r="B756" s="3" t="s">
        <v>1791</v>
      </c>
      <c r="C756" s="19">
        <v>342048.50000000006</v>
      </c>
    </row>
    <row r="757" spans="1:3" ht="15" x14ac:dyDescent="0.25">
      <c r="A757" s="122" t="s">
        <v>1792</v>
      </c>
      <c r="B757" s="3" t="s">
        <v>1793</v>
      </c>
      <c r="C757" s="19">
        <v>-7200</v>
      </c>
    </row>
    <row r="758" spans="1:3" ht="15" x14ac:dyDescent="0.25">
      <c r="A758" s="122" t="s">
        <v>1794</v>
      </c>
      <c r="B758" s="3" t="s">
        <v>1795</v>
      </c>
      <c r="C758" s="19">
        <v>76225.049999999988</v>
      </c>
    </row>
    <row r="759" spans="1:3" ht="15" x14ac:dyDescent="0.25">
      <c r="A759" s="122" t="s">
        <v>1796</v>
      </c>
      <c r="B759" s="3" t="s">
        <v>1797</v>
      </c>
      <c r="C759" s="19">
        <v>33103.30000000001</v>
      </c>
    </row>
    <row r="760" spans="1:3" ht="15" x14ac:dyDescent="0.25">
      <c r="A760" s="122" t="s">
        <v>1798</v>
      </c>
      <c r="B760" s="3" t="s">
        <v>1799</v>
      </c>
      <c r="C760" s="19">
        <v>681413.01000000013</v>
      </c>
    </row>
    <row r="761" spans="1:3" ht="15" x14ac:dyDescent="0.25">
      <c r="A761" s="122" t="s">
        <v>1800</v>
      </c>
      <c r="B761" s="3" t="s">
        <v>1801</v>
      </c>
      <c r="C761" s="19">
        <v>465062.7799999998</v>
      </c>
    </row>
    <row r="762" spans="1:3" ht="15" x14ac:dyDescent="0.25">
      <c r="A762" s="122" t="s">
        <v>1802</v>
      </c>
      <c r="B762" s="3" t="s">
        <v>1803</v>
      </c>
      <c r="C762" s="19">
        <v>1270.6899999999951</v>
      </c>
    </row>
    <row r="763" spans="1:3" ht="15" x14ac:dyDescent="0.25">
      <c r="A763" s="122" t="s">
        <v>1804</v>
      </c>
      <c r="B763" s="3" t="s">
        <v>1805</v>
      </c>
      <c r="C763" s="19">
        <v>6080.62</v>
      </c>
    </row>
    <row r="764" spans="1:3" ht="15" x14ac:dyDescent="0.25">
      <c r="A764" s="122" t="s">
        <v>1806</v>
      </c>
      <c r="B764" s="3" t="s">
        <v>1807</v>
      </c>
      <c r="C764" s="19">
        <v>7646.9899999999989</v>
      </c>
    </row>
    <row r="765" spans="1:3" ht="15" x14ac:dyDescent="0.25">
      <c r="A765" s="122" t="s">
        <v>1808</v>
      </c>
      <c r="B765" s="3" t="s">
        <v>1809</v>
      </c>
      <c r="C765" s="19">
        <v>10025.630000000003</v>
      </c>
    </row>
    <row r="766" spans="1:3" ht="15" x14ac:dyDescent="0.25">
      <c r="A766" s="122" t="s">
        <v>1810</v>
      </c>
      <c r="B766" s="3" t="s">
        <v>1811</v>
      </c>
      <c r="C766" s="19">
        <v>6846.3900000000031</v>
      </c>
    </row>
    <row r="767" spans="1:3" ht="15" x14ac:dyDescent="0.25">
      <c r="A767" s="122" t="s">
        <v>1812</v>
      </c>
      <c r="B767" s="3" t="s">
        <v>1813</v>
      </c>
      <c r="C767" s="19">
        <v>27.340000000000174</v>
      </c>
    </row>
    <row r="768" spans="1:3" ht="15" x14ac:dyDescent="0.25">
      <c r="A768" s="122" t="s">
        <v>1814</v>
      </c>
      <c r="B768" s="3" t="s">
        <v>1815</v>
      </c>
      <c r="C768" s="19">
        <v>4562.5000000000009</v>
      </c>
    </row>
    <row r="769" spans="1:3" ht="15" x14ac:dyDescent="0.25">
      <c r="A769" s="122" t="s">
        <v>1816</v>
      </c>
      <c r="B769" s="3" t="s">
        <v>1817</v>
      </c>
      <c r="C769" s="19">
        <v>740.07</v>
      </c>
    </row>
    <row r="770" spans="1:3" ht="15" x14ac:dyDescent="0.25">
      <c r="A770" s="122" t="s">
        <v>1818</v>
      </c>
      <c r="B770" s="3" t="s">
        <v>1819</v>
      </c>
      <c r="C770" s="19">
        <v>33983.599999999999</v>
      </c>
    </row>
    <row r="771" spans="1:3" ht="15" x14ac:dyDescent="0.25">
      <c r="A771" s="122" t="s">
        <v>1820</v>
      </c>
      <c r="B771" s="3" t="s">
        <v>1821</v>
      </c>
      <c r="C771" s="19">
        <v>4197.6000000000004</v>
      </c>
    </row>
    <row r="772" spans="1:3" ht="15" x14ac:dyDescent="0.25">
      <c r="A772" s="122" t="s">
        <v>1822</v>
      </c>
      <c r="B772" s="3" t="s">
        <v>1823</v>
      </c>
      <c r="C772" s="19">
        <v>71980.799999999959</v>
      </c>
    </row>
    <row r="773" spans="1:3" ht="15" x14ac:dyDescent="0.25">
      <c r="A773" s="122" t="s">
        <v>1824</v>
      </c>
      <c r="B773" s="3" t="s">
        <v>1825</v>
      </c>
      <c r="C773" s="19">
        <v>2170.4999999999995</v>
      </c>
    </row>
    <row r="774" spans="1:3" ht="15" x14ac:dyDescent="0.25">
      <c r="A774" s="122" t="s">
        <v>1826</v>
      </c>
      <c r="B774" s="3" t="s">
        <v>1827</v>
      </c>
      <c r="C774" s="19">
        <v>26515.329999999994</v>
      </c>
    </row>
    <row r="775" spans="1:3" ht="15" x14ac:dyDescent="0.25">
      <c r="A775" s="122" t="s">
        <v>1828</v>
      </c>
      <c r="B775" s="3" t="s">
        <v>1829</v>
      </c>
      <c r="C775" s="19">
        <v>51497.380000000012</v>
      </c>
    </row>
    <row r="776" spans="1:3" ht="15" x14ac:dyDescent="0.25">
      <c r="A776" s="122" t="s">
        <v>1830</v>
      </c>
      <c r="B776" s="3" t="s">
        <v>1831</v>
      </c>
      <c r="C776" s="19">
        <v>31972.560000000001</v>
      </c>
    </row>
    <row r="777" spans="1:3" ht="15" x14ac:dyDescent="0.25">
      <c r="A777" s="122" t="s">
        <v>1832</v>
      </c>
      <c r="B777" s="3" t="s">
        <v>1833</v>
      </c>
      <c r="C777" s="19">
        <v>419655.33000000019</v>
      </c>
    </row>
    <row r="778" spans="1:3" ht="15" x14ac:dyDescent="0.25">
      <c r="A778" s="122" t="s">
        <v>1834</v>
      </c>
      <c r="B778" s="3" t="s">
        <v>1835</v>
      </c>
      <c r="C778" s="19">
        <v>189521.37999999986</v>
      </c>
    </row>
    <row r="779" spans="1:3" ht="15" x14ac:dyDescent="0.25">
      <c r="A779" s="122" t="s">
        <v>1836</v>
      </c>
      <c r="B779" s="3" t="s">
        <v>1837</v>
      </c>
      <c r="C779" s="19">
        <v>8604.5899999999983</v>
      </c>
    </row>
    <row r="780" spans="1:3" ht="15" x14ac:dyDescent="0.25">
      <c r="A780" s="122" t="s">
        <v>1838</v>
      </c>
      <c r="B780" s="3" t="s">
        <v>1839</v>
      </c>
      <c r="C780" s="19">
        <v>472252.10000000003</v>
      </c>
    </row>
    <row r="781" spans="1:3" ht="15" x14ac:dyDescent="0.25">
      <c r="A781" s="122" t="s">
        <v>1840</v>
      </c>
      <c r="B781" s="3" t="s">
        <v>1841</v>
      </c>
      <c r="C781" s="19">
        <v>480425.48999999993</v>
      </c>
    </row>
    <row r="782" spans="1:3" ht="15" x14ac:dyDescent="0.25">
      <c r="A782" s="122" t="s">
        <v>1842</v>
      </c>
      <c r="B782" s="3" t="s">
        <v>1843</v>
      </c>
      <c r="C782" s="19">
        <v>1202098.4600000002</v>
      </c>
    </row>
    <row r="783" spans="1:3" ht="15" x14ac:dyDescent="0.25">
      <c r="A783" s="122" t="s">
        <v>1844</v>
      </c>
      <c r="B783" s="3" t="s">
        <v>1845</v>
      </c>
      <c r="C783" s="19">
        <v>29489.05000000001</v>
      </c>
    </row>
    <row r="784" spans="1:3" ht="15" x14ac:dyDescent="0.25">
      <c r="A784" s="122" t="s">
        <v>1846</v>
      </c>
      <c r="B784" s="3" t="s">
        <v>1847</v>
      </c>
      <c r="C784" s="19">
        <v>78475.799999999974</v>
      </c>
    </row>
    <row r="785" spans="1:3" ht="15" x14ac:dyDescent="0.25">
      <c r="A785" s="122" t="s">
        <v>1848</v>
      </c>
      <c r="B785" s="3" t="s">
        <v>1849</v>
      </c>
      <c r="C785" s="19">
        <v>7032.65</v>
      </c>
    </row>
    <row r="786" spans="1:3" ht="15" x14ac:dyDescent="0.25">
      <c r="A786" s="122" t="s">
        <v>1850</v>
      </c>
      <c r="B786" s="3" t="s">
        <v>1851</v>
      </c>
      <c r="C786" s="19">
        <v>60155.7</v>
      </c>
    </row>
    <row r="787" spans="1:3" ht="15" x14ac:dyDescent="0.25">
      <c r="A787" s="122" t="s">
        <v>1852</v>
      </c>
      <c r="B787" s="3" t="s">
        <v>1853</v>
      </c>
      <c r="C787" s="19">
        <v>193301.04000000004</v>
      </c>
    </row>
    <row r="788" spans="1:3" ht="15" x14ac:dyDescent="0.25">
      <c r="A788" s="122" t="s">
        <v>1854</v>
      </c>
      <c r="B788" s="3" t="s">
        <v>1855</v>
      </c>
      <c r="C788" s="19">
        <v>176869.33000000002</v>
      </c>
    </row>
    <row r="789" spans="1:3" ht="15" x14ac:dyDescent="0.25">
      <c r="A789" s="122" t="s">
        <v>1856</v>
      </c>
      <c r="B789" s="3" t="s">
        <v>1857</v>
      </c>
      <c r="C789" s="19">
        <v>195694.91000000003</v>
      </c>
    </row>
    <row r="790" spans="1:3" ht="15" x14ac:dyDescent="0.25">
      <c r="A790" s="122" t="s">
        <v>1858</v>
      </c>
      <c r="B790" s="3" t="s">
        <v>1859</v>
      </c>
      <c r="C790" s="19">
        <v>138491.66999999998</v>
      </c>
    </row>
    <row r="791" spans="1:3" ht="15" x14ac:dyDescent="0.25">
      <c r="A791" s="122" t="s">
        <v>1860</v>
      </c>
      <c r="B791" s="3" t="s">
        <v>1861</v>
      </c>
      <c r="C791" s="19">
        <v>46888.320000000022</v>
      </c>
    </row>
    <row r="792" spans="1:3" ht="15" x14ac:dyDescent="0.25">
      <c r="A792" s="122" t="s">
        <v>1862</v>
      </c>
      <c r="B792" s="3" t="s">
        <v>1863</v>
      </c>
      <c r="C792" s="19">
        <v>154479.20999999996</v>
      </c>
    </row>
    <row r="793" spans="1:3" ht="15" x14ac:dyDescent="0.25">
      <c r="A793" s="122" t="s">
        <v>1864</v>
      </c>
      <c r="B793" s="3" t="s">
        <v>1865</v>
      </c>
      <c r="C793" s="19">
        <v>104544.03999999998</v>
      </c>
    </row>
    <row r="794" spans="1:3" ht="15" x14ac:dyDescent="0.25">
      <c r="A794" s="122" t="s">
        <v>1866</v>
      </c>
      <c r="B794" s="3" t="s">
        <v>1867</v>
      </c>
      <c r="C794" s="19">
        <v>45683.14</v>
      </c>
    </row>
    <row r="795" spans="1:3" ht="15" x14ac:dyDescent="0.25">
      <c r="A795" s="122" t="s">
        <v>1868</v>
      </c>
      <c r="B795" s="3" t="s">
        <v>1869</v>
      </c>
      <c r="C795" s="19">
        <v>6222.5000000000009</v>
      </c>
    </row>
    <row r="796" spans="1:3" ht="15" x14ac:dyDescent="0.25">
      <c r="A796" s="122" t="s">
        <v>1870</v>
      </c>
      <c r="B796" s="3" t="s">
        <v>1871</v>
      </c>
      <c r="C796" s="19">
        <v>38368.149999999994</v>
      </c>
    </row>
    <row r="797" spans="1:3" ht="15" x14ac:dyDescent="0.25">
      <c r="A797" s="122" t="s">
        <v>1872</v>
      </c>
      <c r="B797" s="3" t="s">
        <v>1873</v>
      </c>
      <c r="C797" s="19">
        <v>71410.45</v>
      </c>
    </row>
    <row r="798" spans="1:3" ht="15" x14ac:dyDescent="0.25">
      <c r="A798" s="122" t="s">
        <v>1874</v>
      </c>
      <c r="B798" s="3" t="s">
        <v>1875</v>
      </c>
      <c r="C798" s="19">
        <v>94484.869999999966</v>
      </c>
    </row>
    <row r="799" spans="1:3" ht="15" x14ac:dyDescent="0.25">
      <c r="A799" s="122" t="s">
        <v>1876</v>
      </c>
      <c r="B799" s="3" t="s">
        <v>1877</v>
      </c>
      <c r="C799" s="19">
        <v>124294.89000000003</v>
      </c>
    </row>
    <row r="800" spans="1:3" ht="15" x14ac:dyDescent="0.25">
      <c r="A800" s="122" t="s">
        <v>1878</v>
      </c>
      <c r="B800" s="3" t="s">
        <v>1879</v>
      </c>
      <c r="C800" s="19">
        <v>79126.459999999948</v>
      </c>
    </row>
    <row r="801" spans="1:3" ht="15" x14ac:dyDescent="0.25">
      <c r="A801" s="122" t="s">
        <v>1880</v>
      </c>
      <c r="B801" s="3" t="s">
        <v>1881</v>
      </c>
      <c r="C801" s="19">
        <v>60493.220000000023</v>
      </c>
    </row>
    <row r="802" spans="1:3" ht="15" x14ac:dyDescent="0.25">
      <c r="A802" s="122" t="s">
        <v>1882</v>
      </c>
      <c r="B802" s="3" t="s">
        <v>1883</v>
      </c>
      <c r="C802" s="19">
        <v>89336.129999999961</v>
      </c>
    </row>
    <row r="803" spans="1:3" ht="15" x14ac:dyDescent="0.25">
      <c r="A803" s="122" t="s">
        <v>1884</v>
      </c>
      <c r="B803" s="3" t="s">
        <v>1885</v>
      </c>
      <c r="C803" s="19">
        <v>137105.55999999997</v>
      </c>
    </row>
    <row r="804" spans="1:3" ht="15" x14ac:dyDescent="0.25">
      <c r="A804" s="122" t="s">
        <v>1886</v>
      </c>
      <c r="B804" s="3" t="s">
        <v>1887</v>
      </c>
      <c r="C804" s="19">
        <v>7170.01</v>
      </c>
    </row>
    <row r="805" spans="1:3" ht="15" x14ac:dyDescent="0.25">
      <c r="A805" s="122" t="s">
        <v>1888</v>
      </c>
      <c r="B805" s="3" t="s">
        <v>1889</v>
      </c>
      <c r="C805" s="19">
        <v>20207.389999999996</v>
      </c>
    </row>
    <row r="806" spans="1:3" ht="15" x14ac:dyDescent="0.25">
      <c r="A806" s="122" t="s">
        <v>1890</v>
      </c>
      <c r="B806" s="3" t="s">
        <v>1891</v>
      </c>
      <c r="C806" s="19">
        <v>90484.66</v>
      </c>
    </row>
    <row r="807" spans="1:3" ht="15" x14ac:dyDescent="0.25">
      <c r="A807" s="122" t="s">
        <v>1892</v>
      </c>
      <c r="B807" s="3" t="s">
        <v>1893</v>
      </c>
      <c r="C807" s="19">
        <v>53604.279999999992</v>
      </c>
    </row>
    <row r="808" spans="1:3" ht="15" x14ac:dyDescent="0.25">
      <c r="A808" s="122" t="s">
        <v>1894</v>
      </c>
      <c r="B808" s="3" t="s">
        <v>1895</v>
      </c>
      <c r="C808" s="19">
        <v>33224.32</v>
      </c>
    </row>
    <row r="809" spans="1:3" ht="15" x14ac:dyDescent="0.25">
      <c r="A809" s="122" t="s">
        <v>1896</v>
      </c>
      <c r="B809" s="3" t="s">
        <v>1897</v>
      </c>
      <c r="C809" s="19">
        <v>135509.41</v>
      </c>
    </row>
    <row r="810" spans="1:3" ht="15" x14ac:dyDescent="0.25">
      <c r="A810" s="122" t="s">
        <v>1898</v>
      </c>
      <c r="B810" s="3" t="s">
        <v>1899</v>
      </c>
      <c r="C810" s="19">
        <v>1038606.0399999997</v>
      </c>
    </row>
    <row r="811" spans="1:3" ht="15" x14ac:dyDescent="0.25">
      <c r="A811" s="122" t="s">
        <v>1900</v>
      </c>
      <c r="B811" s="3" t="s">
        <v>1901</v>
      </c>
      <c r="C811" s="19">
        <v>1076189.2400000005</v>
      </c>
    </row>
    <row r="812" spans="1:3" ht="15" x14ac:dyDescent="0.25">
      <c r="A812" s="122" t="s">
        <v>1902</v>
      </c>
      <c r="B812" s="3" t="s">
        <v>1903</v>
      </c>
      <c r="C812" s="19">
        <v>976633.70000000007</v>
      </c>
    </row>
    <row r="813" spans="1:3" ht="15" x14ac:dyDescent="0.25">
      <c r="A813" s="122" t="s">
        <v>1904</v>
      </c>
      <c r="B813" s="3" t="s">
        <v>1905</v>
      </c>
      <c r="C813" s="19">
        <v>1767315.2299999986</v>
      </c>
    </row>
    <row r="814" spans="1:3" ht="15" x14ac:dyDescent="0.25">
      <c r="A814" s="122" t="s">
        <v>1906</v>
      </c>
      <c r="B814" s="3" t="s">
        <v>1907</v>
      </c>
      <c r="C814" s="19">
        <v>962777.85000000033</v>
      </c>
    </row>
    <row r="815" spans="1:3" ht="15" x14ac:dyDescent="0.25">
      <c r="A815" s="122" t="s">
        <v>1908</v>
      </c>
      <c r="B815" s="3" t="s">
        <v>1909</v>
      </c>
      <c r="C815" s="19">
        <v>33243.040000000001</v>
      </c>
    </row>
    <row r="816" spans="1:3" ht="15" x14ac:dyDescent="0.25">
      <c r="A816" s="122" t="s">
        <v>1910</v>
      </c>
      <c r="B816" s="3" t="s">
        <v>1911</v>
      </c>
      <c r="C816" s="19">
        <v>67831.720000000016</v>
      </c>
    </row>
    <row r="817" spans="1:3" ht="15" x14ac:dyDescent="0.25">
      <c r="A817" s="122" t="s">
        <v>1912</v>
      </c>
      <c r="B817" s="3" t="s">
        <v>1913</v>
      </c>
      <c r="C817" s="19">
        <v>114176.81999999995</v>
      </c>
    </row>
    <row r="818" spans="1:3" ht="15" x14ac:dyDescent="0.25">
      <c r="A818" s="122" t="s">
        <v>1914</v>
      </c>
      <c r="B818" s="3" t="s">
        <v>1915</v>
      </c>
      <c r="C818" s="19">
        <v>204143.47000000006</v>
      </c>
    </row>
    <row r="819" spans="1:3" ht="15" x14ac:dyDescent="0.25">
      <c r="A819" s="122" t="s">
        <v>1916</v>
      </c>
      <c r="B819" s="3" t="s">
        <v>1917</v>
      </c>
      <c r="C819" s="19">
        <v>102801.29</v>
      </c>
    </row>
    <row r="820" spans="1:3" ht="15" x14ac:dyDescent="0.25">
      <c r="A820" s="122" t="s">
        <v>1918</v>
      </c>
      <c r="B820" s="3" t="s">
        <v>1919</v>
      </c>
      <c r="C820" s="19">
        <v>110415.95</v>
      </c>
    </row>
    <row r="821" spans="1:3" ht="15" x14ac:dyDescent="0.25">
      <c r="A821" s="122" t="s">
        <v>1920</v>
      </c>
      <c r="B821" s="3" t="s">
        <v>1921</v>
      </c>
      <c r="C821" s="19">
        <v>64161.45</v>
      </c>
    </row>
    <row r="822" spans="1:3" ht="15" x14ac:dyDescent="0.25">
      <c r="A822" s="122" t="s">
        <v>1922</v>
      </c>
      <c r="B822" s="3" t="s">
        <v>1923</v>
      </c>
      <c r="C822" s="19">
        <v>23229.24</v>
      </c>
    </row>
    <row r="823" spans="1:3" ht="15" x14ac:dyDescent="0.25">
      <c r="A823" s="122" t="s">
        <v>1924</v>
      </c>
      <c r="B823" s="3" t="s">
        <v>1925</v>
      </c>
      <c r="C823" s="19">
        <v>26418.460000000003</v>
      </c>
    </row>
    <row r="824" spans="1:3" ht="15" x14ac:dyDescent="0.25">
      <c r="A824" s="122" t="s">
        <v>1926</v>
      </c>
      <c r="B824" s="3" t="s">
        <v>1927</v>
      </c>
      <c r="C824" s="19">
        <v>7250.7500000000018</v>
      </c>
    </row>
    <row r="825" spans="1:3" ht="15" x14ac:dyDescent="0.25">
      <c r="A825" s="122" t="s">
        <v>1928</v>
      </c>
      <c r="B825" s="3" t="s">
        <v>1929</v>
      </c>
      <c r="C825" s="19">
        <v>27910.829999999991</v>
      </c>
    </row>
    <row r="826" spans="1:3" ht="15" x14ac:dyDescent="0.25">
      <c r="A826" s="122" t="s">
        <v>1930</v>
      </c>
      <c r="B826" s="3" t="s">
        <v>1931</v>
      </c>
      <c r="C826" s="19">
        <v>1464127.52</v>
      </c>
    </row>
    <row r="827" spans="1:3" ht="15" x14ac:dyDescent="0.25">
      <c r="A827" s="122" t="s">
        <v>1932</v>
      </c>
      <c r="B827" s="3" t="s">
        <v>1933</v>
      </c>
      <c r="C827" s="19">
        <v>8399.8700000000008</v>
      </c>
    </row>
    <row r="828" spans="1:3" ht="15" x14ac:dyDescent="0.25">
      <c r="A828" s="122" t="s">
        <v>1934</v>
      </c>
      <c r="B828" s="3" t="s">
        <v>1935</v>
      </c>
      <c r="C828" s="19">
        <v>1688852.9800000011</v>
      </c>
    </row>
    <row r="829" spans="1:3" ht="15" x14ac:dyDescent="0.25">
      <c r="A829" s="122" t="s">
        <v>1936</v>
      </c>
      <c r="B829" s="3" t="s">
        <v>1937</v>
      </c>
      <c r="C829" s="19">
        <v>12192.230000000001</v>
      </c>
    </row>
    <row r="830" spans="1:3" ht="15" x14ac:dyDescent="0.25">
      <c r="A830" s="122" t="s">
        <v>1938</v>
      </c>
      <c r="B830" s="3" t="s">
        <v>1939</v>
      </c>
      <c r="C830" s="19">
        <v>241705.63999999996</v>
      </c>
    </row>
    <row r="831" spans="1:3" ht="15" x14ac:dyDescent="0.25">
      <c r="A831" s="122" t="s">
        <v>1940</v>
      </c>
      <c r="B831" s="3" t="s">
        <v>1941</v>
      </c>
      <c r="C831" s="19">
        <v>655681.82000000018</v>
      </c>
    </row>
    <row r="832" spans="1:3" ht="15" x14ac:dyDescent="0.25">
      <c r="A832" s="122" t="s">
        <v>1942</v>
      </c>
      <c r="B832" s="3" t="s">
        <v>1943</v>
      </c>
      <c r="C832" s="19">
        <v>59422.799999999996</v>
      </c>
    </row>
    <row r="833" spans="1:3" ht="15" x14ac:dyDescent="0.25">
      <c r="A833" s="122" t="s">
        <v>1944</v>
      </c>
      <c r="B833" s="3" t="s">
        <v>1945</v>
      </c>
      <c r="C833" s="19">
        <v>678000.6599999998</v>
      </c>
    </row>
    <row r="834" spans="1:3" ht="15" x14ac:dyDescent="0.25">
      <c r="A834" s="122" t="s">
        <v>1946</v>
      </c>
      <c r="B834" s="3" t="s">
        <v>1947</v>
      </c>
      <c r="C834" s="19">
        <v>19248.599999999999</v>
      </c>
    </row>
    <row r="835" spans="1:3" ht="15" x14ac:dyDescent="0.25">
      <c r="A835" s="122" t="s">
        <v>1948</v>
      </c>
      <c r="B835" s="3" t="s">
        <v>1949</v>
      </c>
      <c r="C835" s="19">
        <v>16883.299999999996</v>
      </c>
    </row>
    <row r="836" spans="1:3" ht="15" x14ac:dyDescent="0.25">
      <c r="A836" s="122" t="s">
        <v>1950</v>
      </c>
      <c r="B836" s="3" t="s">
        <v>1951</v>
      </c>
      <c r="C836" s="19">
        <v>11567.939999999999</v>
      </c>
    </row>
    <row r="837" spans="1:3" ht="15" x14ac:dyDescent="0.25">
      <c r="A837" s="122" t="s">
        <v>1952</v>
      </c>
      <c r="B837" s="3" t="s">
        <v>1953</v>
      </c>
      <c r="C837" s="19">
        <v>36956.340000000018</v>
      </c>
    </row>
    <row r="838" spans="1:3" ht="15" x14ac:dyDescent="0.25">
      <c r="A838" s="122" t="s">
        <v>1954</v>
      </c>
      <c r="B838" s="3" t="s">
        <v>1955</v>
      </c>
      <c r="C838" s="19">
        <v>30567.8</v>
      </c>
    </row>
    <row r="839" spans="1:3" ht="15" x14ac:dyDescent="0.25">
      <c r="A839" s="122" t="s">
        <v>1956</v>
      </c>
      <c r="B839" s="3" t="s">
        <v>1957</v>
      </c>
      <c r="C839" s="19">
        <v>28222.01</v>
      </c>
    </row>
    <row r="840" spans="1:3" ht="15" x14ac:dyDescent="0.25">
      <c r="A840" s="122" t="s">
        <v>1958</v>
      </c>
      <c r="B840" s="3" t="s">
        <v>1959</v>
      </c>
      <c r="C840" s="19">
        <v>210650.88</v>
      </c>
    </row>
    <row r="841" spans="1:3" ht="15" x14ac:dyDescent="0.25">
      <c r="A841" s="122" t="s">
        <v>1960</v>
      </c>
      <c r="B841" s="3" t="s">
        <v>1961</v>
      </c>
      <c r="C841" s="19">
        <v>23974.71</v>
      </c>
    </row>
    <row r="842" spans="1:3" ht="15" x14ac:dyDescent="0.25">
      <c r="A842" s="122" t="s">
        <v>1962</v>
      </c>
      <c r="B842" s="3" t="s">
        <v>1963</v>
      </c>
      <c r="C842" s="19">
        <v>46501.61</v>
      </c>
    </row>
    <row r="843" spans="1:3" ht="15" x14ac:dyDescent="0.25">
      <c r="A843" s="122" t="s">
        <v>1964</v>
      </c>
      <c r="B843" s="3" t="s">
        <v>1965</v>
      </c>
      <c r="C843" s="19">
        <v>65635.06</v>
      </c>
    </row>
    <row r="844" spans="1:3" ht="15" x14ac:dyDescent="0.25">
      <c r="A844" s="122" t="s">
        <v>1966</v>
      </c>
      <c r="B844" s="3" t="s">
        <v>1967</v>
      </c>
      <c r="C844" s="19">
        <v>30760.800000000003</v>
      </c>
    </row>
    <row r="845" spans="1:3" ht="15" x14ac:dyDescent="0.25">
      <c r="A845" s="122" t="s">
        <v>1968</v>
      </c>
      <c r="B845" s="3" t="s">
        <v>1969</v>
      </c>
      <c r="C845" s="19">
        <v>39999.94</v>
      </c>
    </row>
    <row r="846" spans="1:3" ht="15" x14ac:dyDescent="0.25">
      <c r="A846" s="122" t="s">
        <v>1970</v>
      </c>
      <c r="B846" s="3" t="s">
        <v>1971</v>
      </c>
      <c r="C846" s="19">
        <v>9794.58</v>
      </c>
    </row>
    <row r="847" spans="1:3" ht="15" x14ac:dyDescent="0.25">
      <c r="A847" s="122" t="s">
        <v>1972</v>
      </c>
      <c r="B847" s="3" t="s">
        <v>1973</v>
      </c>
      <c r="C847" s="19">
        <v>150947.98000000004</v>
      </c>
    </row>
    <row r="848" spans="1:3" ht="15" x14ac:dyDescent="0.25">
      <c r="A848" s="122" t="s">
        <v>1974</v>
      </c>
      <c r="B848" s="3" t="s">
        <v>1975</v>
      </c>
      <c r="C848" s="19">
        <v>67375.960000000006</v>
      </c>
    </row>
    <row r="849" spans="1:3" ht="15" x14ac:dyDescent="0.25">
      <c r="A849" s="122" t="s">
        <v>1976</v>
      </c>
      <c r="B849" s="3" t="s">
        <v>1977</v>
      </c>
      <c r="C849" s="19">
        <v>32680.799999999992</v>
      </c>
    </row>
    <row r="850" spans="1:3" ht="15" x14ac:dyDescent="0.25">
      <c r="A850" s="122" t="s">
        <v>1978</v>
      </c>
      <c r="B850" s="3" t="s">
        <v>1979</v>
      </c>
      <c r="C850" s="19">
        <v>129441.90000000029</v>
      </c>
    </row>
    <row r="851" spans="1:3" ht="15" x14ac:dyDescent="0.25">
      <c r="A851" s="122" t="s">
        <v>1980</v>
      </c>
      <c r="B851" s="3" t="s">
        <v>1981</v>
      </c>
      <c r="C851" s="19">
        <v>112403.77000000002</v>
      </c>
    </row>
    <row r="852" spans="1:3" ht="15" x14ac:dyDescent="0.25">
      <c r="A852" s="122" t="s">
        <v>1982</v>
      </c>
      <c r="B852" s="3" t="s">
        <v>1983</v>
      </c>
      <c r="C852" s="19">
        <v>7023.3899999999985</v>
      </c>
    </row>
    <row r="853" spans="1:3" ht="15" x14ac:dyDescent="0.25">
      <c r="A853" s="122" t="s">
        <v>1984</v>
      </c>
      <c r="B853" s="3" t="s">
        <v>1985</v>
      </c>
      <c r="C853" s="19">
        <v>2755502.0799999987</v>
      </c>
    </row>
    <row r="854" spans="1:3" ht="15" x14ac:dyDescent="0.25">
      <c r="A854" s="122" t="s">
        <v>1986</v>
      </c>
      <c r="B854" s="3" t="s">
        <v>1987</v>
      </c>
      <c r="C854" s="19">
        <v>101280.31000000003</v>
      </c>
    </row>
    <row r="855" spans="1:3" ht="15" x14ac:dyDescent="0.25">
      <c r="A855" s="122" t="s">
        <v>1988</v>
      </c>
      <c r="B855" s="3" t="s">
        <v>1989</v>
      </c>
      <c r="C855" s="19">
        <v>23761.17</v>
      </c>
    </row>
    <row r="856" spans="1:3" ht="15" x14ac:dyDescent="0.25">
      <c r="A856" s="122" t="s">
        <v>1990</v>
      </c>
      <c r="B856" s="3" t="s">
        <v>1991</v>
      </c>
      <c r="C856" s="19">
        <v>1064059.8600000001</v>
      </c>
    </row>
    <row r="857" spans="1:3" ht="15" x14ac:dyDescent="0.25">
      <c r="A857" s="122" t="s">
        <v>1992</v>
      </c>
      <c r="B857" s="3" t="s">
        <v>1993</v>
      </c>
      <c r="C857" s="19">
        <v>218829.17</v>
      </c>
    </row>
    <row r="858" spans="1:3" ht="15" x14ac:dyDescent="0.25">
      <c r="A858" s="122" t="s">
        <v>1994</v>
      </c>
      <c r="B858" s="3" t="s">
        <v>1995</v>
      </c>
      <c r="C858" s="19">
        <v>38507.18</v>
      </c>
    </row>
    <row r="859" spans="1:3" ht="15" x14ac:dyDescent="0.25">
      <c r="A859" s="122" t="s">
        <v>1996</v>
      </c>
      <c r="B859" s="3" t="s">
        <v>1997</v>
      </c>
      <c r="C859" s="19">
        <v>138444.77999999994</v>
      </c>
    </row>
    <row r="860" spans="1:3" ht="15" x14ac:dyDescent="0.25">
      <c r="A860" s="122" t="s">
        <v>1998</v>
      </c>
      <c r="B860" s="3" t="s">
        <v>1999</v>
      </c>
      <c r="C860" s="19">
        <v>43936.040000000008</v>
      </c>
    </row>
    <row r="861" spans="1:3" ht="15" x14ac:dyDescent="0.25">
      <c r="A861" s="122" t="s">
        <v>2000</v>
      </c>
      <c r="B861" s="3" t="s">
        <v>2001</v>
      </c>
      <c r="C861" s="19">
        <v>50326.11</v>
      </c>
    </row>
    <row r="862" spans="1:3" ht="15" x14ac:dyDescent="0.25">
      <c r="A862" s="122" t="s">
        <v>2002</v>
      </c>
      <c r="B862" s="3" t="s">
        <v>2003</v>
      </c>
      <c r="C862" s="19">
        <v>73686.450000000012</v>
      </c>
    </row>
    <row r="863" spans="1:3" ht="15" x14ac:dyDescent="0.25">
      <c r="A863" s="122" t="s">
        <v>2004</v>
      </c>
      <c r="B863" s="3" t="s">
        <v>2005</v>
      </c>
      <c r="C863" s="19">
        <v>142023.57</v>
      </c>
    </row>
    <row r="864" spans="1:3" ht="15" x14ac:dyDescent="0.25">
      <c r="A864" s="122" t="s">
        <v>2006</v>
      </c>
      <c r="B864" s="3" t="s">
        <v>2007</v>
      </c>
      <c r="C864" s="19">
        <v>30012.869999999995</v>
      </c>
    </row>
    <row r="865" spans="1:3" ht="15" x14ac:dyDescent="0.25">
      <c r="A865" s="122" t="s">
        <v>2008</v>
      </c>
      <c r="B865" s="3" t="s">
        <v>2009</v>
      </c>
      <c r="C865" s="19">
        <v>129481.81</v>
      </c>
    </row>
    <row r="866" spans="1:3" ht="15" x14ac:dyDescent="0.25">
      <c r="A866" s="122" t="s">
        <v>2010</v>
      </c>
      <c r="B866" s="3" t="s">
        <v>2011</v>
      </c>
      <c r="C866" s="19">
        <v>22445.09</v>
      </c>
    </row>
    <row r="867" spans="1:3" ht="15" x14ac:dyDescent="0.25">
      <c r="A867" s="122" t="s">
        <v>2012</v>
      </c>
      <c r="B867" s="3" t="s">
        <v>2013</v>
      </c>
      <c r="C867" s="19">
        <v>47031.58</v>
      </c>
    </row>
    <row r="868" spans="1:3" ht="15" x14ac:dyDescent="0.25">
      <c r="A868" s="122" t="s">
        <v>2014</v>
      </c>
      <c r="B868" s="3" t="s">
        <v>2015</v>
      </c>
      <c r="C868" s="19">
        <v>32764.949999999997</v>
      </c>
    </row>
    <row r="869" spans="1:3" ht="15" x14ac:dyDescent="0.25">
      <c r="A869" s="122" t="s">
        <v>2016</v>
      </c>
      <c r="B869" s="3" t="s">
        <v>2017</v>
      </c>
      <c r="C869" s="19">
        <v>13619.6</v>
      </c>
    </row>
    <row r="870" spans="1:3" ht="15" x14ac:dyDescent="0.25">
      <c r="A870" s="122" t="s">
        <v>2018</v>
      </c>
      <c r="B870" s="3" t="s">
        <v>2019</v>
      </c>
      <c r="C870" s="19">
        <v>376094.4599999999</v>
      </c>
    </row>
    <row r="871" spans="1:3" ht="15" x14ac:dyDescent="0.25">
      <c r="A871" s="122" t="s">
        <v>2020</v>
      </c>
      <c r="B871" s="3" t="s">
        <v>2021</v>
      </c>
      <c r="C871" s="19">
        <v>4909.76</v>
      </c>
    </row>
    <row r="872" spans="1:3" ht="15" x14ac:dyDescent="0.25">
      <c r="A872" s="122" t="s">
        <v>2022</v>
      </c>
      <c r="B872" s="3" t="s">
        <v>2023</v>
      </c>
      <c r="C872" s="19">
        <v>14235.79</v>
      </c>
    </row>
    <row r="873" spans="1:3" ht="15" x14ac:dyDescent="0.25">
      <c r="A873" s="122" t="s">
        <v>2024</v>
      </c>
      <c r="B873" s="3" t="s">
        <v>2025</v>
      </c>
      <c r="C873" s="19">
        <v>1199389.429999999</v>
      </c>
    </row>
    <row r="874" spans="1:3" ht="15" x14ac:dyDescent="0.25">
      <c r="A874" s="122" t="s">
        <v>2026</v>
      </c>
      <c r="B874" s="3" t="s">
        <v>2027</v>
      </c>
      <c r="C874" s="19">
        <v>2965139.1400000006</v>
      </c>
    </row>
    <row r="875" spans="1:3" ht="15" x14ac:dyDescent="0.25">
      <c r="A875" s="122" t="s">
        <v>2028</v>
      </c>
      <c r="B875" s="3" t="s">
        <v>2029</v>
      </c>
      <c r="C875" s="19">
        <v>19794.96</v>
      </c>
    </row>
    <row r="876" spans="1:3" ht="15" x14ac:dyDescent="0.25">
      <c r="A876" s="122" t="s">
        <v>2030</v>
      </c>
      <c r="B876" s="3" t="s">
        <v>2031</v>
      </c>
      <c r="C876" s="19">
        <v>97402.25</v>
      </c>
    </row>
    <row r="877" spans="1:3" ht="15" x14ac:dyDescent="0.25">
      <c r="A877" s="122" t="s">
        <v>2032</v>
      </c>
      <c r="B877" s="3" t="s">
        <v>2033</v>
      </c>
      <c r="C877" s="19">
        <v>3831259.2800000021</v>
      </c>
    </row>
    <row r="878" spans="1:3" ht="15" x14ac:dyDescent="0.25">
      <c r="A878" s="122" t="s">
        <v>2034</v>
      </c>
      <c r="B878" s="3" t="s">
        <v>2035</v>
      </c>
      <c r="C878" s="19">
        <v>1417160.3900000006</v>
      </c>
    </row>
    <row r="879" spans="1:3" ht="15" x14ac:dyDescent="0.25">
      <c r="A879" s="122" t="s">
        <v>2036</v>
      </c>
      <c r="B879" s="3" t="s">
        <v>2037</v>
      </c>
      <c r="C879" s="19">
        <v>23577.159999999993</v>
      </c>
    </row>
    <row r="880" spans="1:3" ht="15" x14ac:dyDescent="0.25">
      <c r="A880" s="122" t="s">
        <v>2038</v>
      </c>
      <c r="B880" s="3" t="s">
        <v>2039</v>
      </c>
      <c r="C880" s="19">
        <v>94410.5</v>
      </c>
    </row>
    <row r="881" spans="1:3" ht="15" x14ac:dyDescent="0.25">
      <c r="A881" s="122" t="s">
        <v>2040</v>
      </c>
      <c r="B881" s="3" t="s">
        <v>2041</v>
      </c>
      <c r="C881" s="19">
        <v>120084.46000000004</v>
      </c>
    </row>
    <row r="882" spans="1:3" ht="15" x14ac:dyDescent="0.25">
      <c r="A882" s="122" t="s">
        <v>2042</v>
      </c>
      <c r="B882" s="3" t="s">
        <v>2043</v>
      </c>
      <c r="C882" s="19">
        <v>739908.28</v>
      </c>
    </row>
    <row r="883" spans="1:3" ht="15" x14ac:dyDescent="0.25">
      <c r="A883" s="122" t="s">
        <v>2044</v>
      </c>
      <c r="B883" s="3" t="s">
        <v>2045</v>
      </c>
      <c r="C883" s="19">
        <v>683707.47000000032</v>
      </c>
    </row>
    <row r="884" spans="1:3" ht="15" x14ac:dyDescent="0.25">
      <c r="A884" s="122" t="s">
        <v>2046</v>
      </c>
      <c r="B884" s="3" t="s">
        <v>2047</v>
      </c>
      <c r="C884" s="19">
        <v>937181.63999999955</v>
      </c>
    </row>
    <row r="885" spans="1:3" ht="15" x14ac:dyDescent="0.25">
      <c r="A885" s="122" t="s">
        <v>2048</v>
      </c>
      <c r="B885" s="3" t="s">
        <v>2049</v>
      </c>
      <c r="C885" s="19">
        <v>857643.90999999992</v>
      </c>
    </row>
    <row r="886" spans="1:3" ht="15" x14ac:dyDescent="0.25">
      <c r="A886" s="122" t="s">
        <v>2050</v>
      </c>
      <c r="B886" s="3" t="s">
        <v>2051</v>
      </c>
      <c r="C886" s="19">
        <v>96520.37999999999</v>
      </c>
    </row>
    <row r="887" spans="1:3" ht="15" x14ac:dyDescent="0.25">
      <c r="A887" s="122" t="s">
        <v>2052</v>
      </c>
      <c r="B887" s="3" t="s">
        <v>2053</v>
      </c>
      <c r="C887" s="19">
        <v>-4.1836756281554699E-11</v>
      </c>
    </row>
    <row r="888" spans="1:3" ht="15" x14ac:dyDescent="0.25">
      <c r="A888" s="122" t="s">
        <v>2054</v>
      </c>
      <c r="B888" s="3" t="s">
        <v>2055</v>
      </c>
      <c r="C888" s="19">
        <v>15008.670000000002</v>
      </c>
    </row>
    <row r="889" spans="1:3" ht="15" x14ac:dyDescent="0.25">
      <c r="A889" s="122" t="s">
        <v>2056</v>
      </c>
      <c r="B889" s="3" t="s">
        <v>2057</v>
      </c>
      <c r="C889" s="19">
        <v>8274.4699999999993</v>
      </c>
    </row>
    <row r="890" spans="1:3" ht="15" x14ac:dyDescent="0.25">
      <c r="A890" s="122" t="s">
        <v>2058</v>
      </c>
      <c r="B890" s="3" t="s">
        <v>2059</v>
      </c>
      <c r="C890" s="19">
        <v>38967.049999999996</v>
      </c>
    </row>
    <row r="891" spans="1:3" ht="15" x14ac:dyDescent="0.25">
      <c r="A891" s="122" t="s">
        <v>2060</v>
      </c>
      <c r="B891" s="3" t="s">
        <v>2061</v>
      </c>
      <c r="C891" s="19">
        <v>25019.589999999997</v>
      </c>
    </row>
    <row r="892" spans="1:3" ht="15" x14ac:dyDescent="0.25">
      <c r="A892" s="122" t="s">
        <v>2062</v>
      </c>
      <c r="B892" s="3" t="s">
        <v>2063</v>
      </c>
      <c r="C892" s="19">
        <v>43149.440000000017</v>
      </c>
    </row>
    <row r="893" spans="1:3" ht="15" x14ac:dyDescent="0.25">
      <c r="A893" s="122" t="s">
        <v>2064</v>
      </c>
      <c r="B893" s="3" t="s">
        <v>2065</v>
      </c>
      <c r="C893" s="19">
        <v>4993.4500000000007</v>
      </c>
    </row>
    <row r="894" spans="1:3" ht="15" x14ac:dyDescent="0.25">
      <c r="A894" s="122" t="s">
        <v>2066</v>
      </c>
      <c r="B894" s="3" t="s">
        <v>2067</v>
      </c>
      <c r="C894" s="19">
        <v>457151.79000000004</v>
      </c>
    </row>
    <row r="895" spans="1:3" ht="15" x14ac:dyDescent="0.25">
      <c r="A895" s="122" t="s">
        <v>2068</v>
      </c>
      <c r="B895" s="3" t="s">
        <v>2069</v>
      </c>
      <c r="C895" s="19">
        <v>46518.15</v>
      </c>
    </row>
    <row r="896" spans="1:3" ht="15" x14ac:dyDescent="0.25">
      <c r="A896" s="122" t="s">
        <v>2070</v>
      </c>
      <c r="B896" s="3" t="s">
        <v>2071</v>
      </c>
      <c r="C896" s="19">
        <v>68579.5</v>
      </c>
    </row>
    <row r="897" spans="1:3" ht="15" x14ac:dyDescent="0.25">
      <c r="A897" s="122" t="s">
        <v>2072</v>
      </c>
      <c r="B897" s="3" t="s">
        <v>2073</v>
      </c>
      <c r="C897" s="19">
        <v>110417.33000000007</v>
      </c>
    </row>
    <row r="898" spans="1:3" ht="15" x14ac:dyDescent="0.25">
      <c r="A898" s="122" t="s">
        <v>2074</v>
      </c>
      <c r="B898" s="3" t="s">
        <v>2075</v>
      </c>
      <c r="C898" s="19">
        <v>121589.34</v>
      </c>
    </row>
    <row r="899" spans="1:3" ht="15" x14ac:dyDescent="0.25">
      <c r="A899" s="122" t="s">
        <v>2076</v>
      </c>
      <c r="B899" s="3" t="s">
        <v>2077</v>
      </c>
      <c r="C899" s="19">
        <v>508270.11000000028</v>
      </c>
    </row>
    <row r="900" spans="1:3" ht="15" x14ac:dyDescent="0.25">
      <c r="A900" s="122" t="s">
        <v>2078</v>
      </c>
      <c r="B900" s="3" t="s">
        <v>2079</v>
      </c>
      <c r="C900" s="19">
        <v>1465046.3500000008</v>
      </c>
    </row>
    <row r="901" spans="1:3" ht="15" x14ac:dyDescent="0.25">
      <c r="A901" s="122" t="s">
        <v>2080</v>
      </c>
      <c r="B901" s="3" t="s">
        <v>2081</v>
      </c>
      <c r="C901" s="19">
        <v>48558.94999999999</v>
      </c>
    </row>
    <row r="902" spans="1:3" ht="15" x14ac:dyDescent="0.25">
      <c r="A902" s="122" t="s">
        <v>2082</v>
      </c>
      <c r="B902" s="3" t="s">
        <v>2083</v>
      </c>
      <c r="C902" s="19">
        <v>1917160.2899999993</v>
      </c>
    </row>
    <row r="903" spans="1:3" ht="15" x14ac:dyDescent="0.25">
      <c r="A903" s="122" t="s">
        <v>2084</v>
      </c>
      <c r="B903" s="3" t="s">
        <v>2085</v>
      </c>
      <c r="C903" s="19">
        <v>-9.8232533218833851E-12</v>
      </c>
    </row>
    <row r="904" spans="1:3" ht="15" x14ac:dyDescent="0.25">
      <c r="A904" s="122" t="s">
        <v>2086</v>
      </c>
      <c r="B904" s="3" t="s">
        <v>2087</v>
      </c>
      <c r="C904" s="19">
        <v>16231.63</v>
      </c>
    </row>
    <row r="905" spans="1:3" ht="15" x14ac:dyDescent="0.25">
      <c r="A905" s="122" t="s">
        <v>2088</v>
      </c>
      <c r="B905" s="3" t="s">
        <v>2089</v>
      </c>
      <c r="C905" s="19">
        <v>146813.80999999994</v>
      </c>
    </row>
    <row r="906" spans="1:3" ht="15" x14ac:dyDescent="0.25">
      <c r="A906" s="122" t="s">
        <v>2090</v>
      </c>
      <c r="B906" s="3" t="s">
        <v>2091</v>
      </c>
      <c r="C906" s="19">
        <v>75677.119999999995</v>
      </c>
    </row>
    <row r="907" spans="1:3" ht="15" x14ac:dyDescent="0.25">
      <c r="A907" s="122" t="s">
        <v>2092</v>
      </c>
      <c r="B907" s="3" t="s">
        <v>2093</v>
      </c>
      <c r="C907" s="19">
        <v>10755.269999999999</v>
      </c>
    </row>
    <row r="908" spans="1:3" ht="15" x14ac:dyDescent="0.25">
      <c r="A908" s="122" t="s">
        <v>2094</v>
      </c>
      <c r="B908" s="3" t="s">
        <v>2095</v>
      </c>
      <c r="C908" s="19">
        <v>66018.530000000013</v>
      </c>
    </row>
    <row r="909" spans="1:3" ht="15" x14ac:dyDescent="0.25">
      <c r="A909" s="122" t="s">
        <v>2096</v>
      </c>
      <c r="B909" s="3" t="s">
        <v>2097</v>
      </c>
      <c r="C909" s="19">
        <v>43591.970000000008</v>
      </c>
    </row>
    <row r="910" spans="1:3" ht="15" x14ac:dyDescent="0.25">
      <c r="A910" s="122" t="s">
        <v>2098</v>
      </c>
      <c r="B910" s="3" t="s">
        <v>2099</v>
      </c>
      <c r="C910" s="19">
        <v>164552.62000000002</v>
      </c>
    </row>
    <row r="911" spans="1:3" ht="15" x14ac:dyDescent="0.25">
      <c r="A911" s="122" t="s">
        <v>2100</v>
      </c>
      <c r="B911" s="3" t="s">
        <v>2101</v>
      </c>
      <c r="C911" s="19">
        <v>6178</v>
      </c>
    </row>
    <row r="912" spans="1:3" ht="15" x14ac:dyDescent="0.25">
      <c r="A912" s="122" t="s">
        <v>2102</v>
      </c>
      <c r="B912" s="3" t="s">
        <v>2103</v>
      </c>
      <c r="C912" s="19">
        <v>31189.010000000002</v>
      </c>
    </row>
    <row r="913" spans="1:3" ht="15" x14ac:dyDescent="0.25">
      <c r="A913" s="122" t="s">
        <v>2104</v>
      </c>
      <c r="B913" s="3" t="s">
        <v>2105</v>
      </c>
      <c r="C913" s="19">
        <v>25347.38</v>
      </c>
    </row>
    <row r="914" spans="1:3" ht="15" x14ac:dyDescent="0.25">
      <c r="A914" s="122" t="s">
        <v>2106</v>
      </c>
      <c r="B914" s="3" t="s">
        <v>2107</v>
      </c>
      <c r="C914" s="19">
        <v>17593.55</v>
      </c>
    </row>
    <row r="915" spans="1:3" ht="15" x14ac:dyDescent="0.25">
      <c r="A915" s="122" t="s">
        <v>2108</v>
      </c>
      <c r="B915" s="3" t="s">
        <v>2109</v>
      </c>
      <c r="C915" s="19">
        <v>14128.409999999998</v>
      </c>
    </row>
    <row r="916" spans="1:3" ht="15" x14ac:dyDescent="0.25">
      <c r="A916" s="122" t="s">
        <v>2110</v>
      </c>
      <c r="B916" s="3" t="s">
        <v>2111</v>
      </c>
      <c r="C916" s="19">
        <v>10575.26</v>
      </c>
    </row>
    <row r="917" spans="1:3" ht="15" x14ac:dyDescent="0.25">
      <c r="A917" s="122" t="s">
        <v>2112</v>
      </c>
      <c r="B917" s="3" t="s">
        <v>2113</v>
      </c>
      <c r="C917" s="19">
        <v>56555.22</v>
      </c>
    </row>
    <row r="918" spans="1:3" ht="15" x14ac:dyDescent="0.25">
      <c r="A918" s="122" t="s">
        <v>2114</v>
      </c>
      <c r="B918" s="3" t="s">
        <v>2115</v>
      </c>
      <c r="C918" s="19">
        <v>229356.61</v>
      </c>
    </row>
    <row r="919" spans="1:3" ht="15" x14ac:dyDescent="0.25">
      <c r="A919" s="122" t="s">
        <v>2116</v>
      </c>
      <c r="B919" s="3" t="s">
        <v>2117</v>
      </c>
      <c r="C919" s="19">
        <v>23081.470000000005</v>
      </c>
    </row>
    <row r="920" spans="1:3" ht="15" x14ac:dyDescent="0.25">
      <c r="A920" s="122" t="s">
        <v>2118</v>
      </c>
      <c r="B920" s="3" t="s">
        <v>2119</v>
      </c>
      <c r="C920" s="19">
        <v>178303.41999999998</v>
      </c>
    </row>
    <row r="921" spans="1:3" ht="15" x14ac:dyDescent="0.25">
      <c r="A921" s="122" t="s">
        <v>2120</v>
      </c>
      <c r="B921" s="3" t="s">
        <v>2121</v>
      </c>
      <c r="C921" s="19">
        <v>23824.31</v>
      </c>
    </row>
    <row r="922" spans="1:3" ht="15" x14ac:dyDescent="0.25">
      <c r="A922" s="122" t="s">
        <v>2122</v>
      </c>
      <c r="B922" s="3" t="s">
        <v>2123</v>
      </c>
      <c r="C922" s="19">
        <v>426376.24000000005</v>
      </c>
    </row>
    <row r="923" spans="1:3" ht="15" x14ac:dyDescent="0.25">
      <c r="A923" s="122" t="s">
        <v>2124</v>
      </c>
      <c r="B923" s="3" t="s">
        <v>2125</v>
      </c>
      <c r="C923" s="19">
        <v>337120.52000000008</v>
      </c>
    </row>
    <row r="924" spans="1:3" ht="15" x14ac:dyDescent="0.25">
      <c r="A924" s="122" t="s">
        <v>2126</v>
      </c>
      <c r="B924" s="3" t="s">
        <v>2127</v>
      </c>
      <c r="C924" s="19">
        <v>31809.49</v>
      </c>
    </row>
    <row r="925" spans="1:3" ht="15" x14ac:dyDescent="0.25">
      <c r="A925" s="122" t="s">
        <v>2128</v>
      </c>
      <c r="B925" s="3" t="s">
        <v>2129</v>
      </c>
      <c r="C925" s="19">
        <v>37287.280000000006</v>
      </c>
    </row>
    <row r="926" spans="1:3" ht="15" x14ac:dyDescent="0.25">
      <c r="A926" s="122" t="s">
        <v>2130</v>
      </c>
      <c r="B926" s="3" t="s">
        <v>2131</v>
      </c>
      <c r="C926" s="19">
        <v>64460.170000000006</v>
      </c>
    </row>
    <row r="927" spans="1:3" ht="15" x14ac:dyDescent="0.25">
      <c r="A927" s="122" t="s">
        <v>2132</v>
      </c>
      <c r="B927" s="3" t="s">
        <v>2133</v>
      </c>
      <c r="C927" s="19">
        <v>6858.2699999999995</v>
      </c>
    </row>
    <row r="928" spans="1:3" ht="15" x14ac:dyDescent="0.25">
      <c r="A928" s="122" t="s">
        <v>2134</v>
      </c>
      <c r="B928" s="3" t="s">
        <v>2135</v>
      </c>
      <c r="C928" s="19">
        <v>67093.570000000022</v>
      </c>
    </row>
    <row r="929" spans="1:3" ht="15" x14ac:dyDescent="0.25">
      <c r="A929" s="122" t="s">
        <v>2136</v>
      </c>
      <c r="B929" s="3" t="s">
        <v>2137</v>
      </c>
      <c r="C929" s="19">
        <v>123364.17</v>
      </c>
    </row>
    <row r="930" spans="1:3" ht="15" x14ac:dyDescent="0.25">
      <c r="A930" s="122" t="s">
        <v>2138</v>
      </c>
      <c r="B930" s="3" t="s">
        <v>2139</v>
      </c>
      <c r="C930" s="19">
        <v>126985.87999999999</v>
      </c>
    </row>
    <row r="931" spans="1:3" ht="15" x14ac:dyDescent="0.25">
      <c r="A931" s="122" t="s">
        <v>2140</v>
      </c>
      <c r="B931" s="3" t="s">
        <v>2141</v>
      </c>
      <c r="C931" s="19">
        <v>90157.500000000015</v>
      </c>
    </row>
    <row r="932" spans="1:3" ht="15" x14ac:dyDescent="0.25">
      <c r="A932" s="122" t="s">
        <v>2142</v>
      </c>
      <c r="B932" s="3" t="s">
        <v>2143</v>
      </c>
      <c r="C932" s="19">
        <v>66975.990000000005</v>
      </c>
    </row>
    <row r="933" spans="1:3" ht="15" x14ac:dyDescent="0.25">
      <c r="A933" s="122" t="s">
        <v>2144</v>
      </c>
      <c r="B933" s="3" t="s">
        <v>2145</v>
      </c>
      <c r="C933" s="19">
        <v>19675.320000000007</v>
      </c>
    </row>
    <row r="934" spans="1:3" ht="15" x14ac:dyDescent="0.25">
      <c r="A934" s="122" t="s">
        <v>2146</v>
      </c>
      <c r="B934" s="3" t="s">
        <v>2147</v>
      </c>
      <c r="C934" s="19">
        <v>60549.559999999976</v>
      </c>
    </row>
    <row r="935" spans="1:3" ht="15" x14ac:dyDescent="0.25">
      <c r="A935" s="122" t="s">
        <v>2148</v>
      </c>
      <c r="B935" s="3" t="s">
        <v>2149</v>
      </c>
      <c r="C935" s="19">
        <v>19661.439999999999</v>
      </c>
    </row>
    <row r="936" spans="1:3" ht="15" x14ac:dyDescent="0.25">
      <c r="A936" s="122" t="s">
        <v>2150</v>
      </c>
      <c r="B936" s="3" t="s">
        <v>2151</v>
      </c>
      <c r="C936" s="19">
        <v>172250.49</v>
      </c>
    </row>
    <row r="937" spans="1:3" ht="15" x14ac:dyDescent="0.25">
      <c r="A937" s="122" t="s">
        <v>2152</v>
      </c>
      <c r="B937" s="3" t="s">
        <v>2153</v>
      </c>
      <c r="C937" s="19">
        <v>2654.8200000000011</v>
      </c>
    </row>
    <row r="938" spans="1:3" ht="15" x14ac:dyDescent="0.25">
      <c r="A938" s="122" t="s">
        <v>2154</v>
      </c>
      <c r="B938" s="3" t="s">
        <v>2155</v>
      </c>
      <c r="C938" s="19">
        <v>32391.999999999996</v>
      </c>
    </row>
    <row r="939" spans="1:3" ht="15" x14ac:dyDescent="0.25">
      <c r="A939" s="122" t="s">
        <v>2156</v>
      </c>
      <c r="B939" s="3" t="s">
        <v>2157</v>
      </c>
      <c r="C939" s="19">
        <v>24109.850000000002</v>
      </c>
    </row>
    <row r="940" spans="1:3" ht="15" x14ac:dyDescent="0.25">
      <c r="A940" s="122" t="s">
        <v>2158</v>
      </c>
      <c r="B940" s="3" t="s">
        <v>2159</v>
      </c>
      <c r="C940" s="19">
        <v>66948.989999999991</v>
      </c>
    </row>
    <row r="941" spans="1:3" ht="15" x14ac:dyDescent="0.25">
      <c r="A941" s="122" t="s">
        <v>2160</v>
      </c>
      <c r="B941" s="3" t="s">
        <v>2161</v>
      </c>
      <c r="C941" s="19">
        <v>343708.23</v>
      </c>
    </row>
    <row r="942" spans="1:3" ht="15" x14ac:dyDescent="0.25">
      <c r="A942" s="122" t="s">
        <v>2162</v>
      </c>
      <c r="B942" s="3" t="s">
        <v>2163</v>
      </c>
      <c r="C942" s="19">
        <v>7884.83</v>
      </c>
    </row>
    <row r="943" spans="1:3" ht="15" x14ac:dyDescent="0.25">
      <c r="A943" s="122" t="s">
        <v>2164</v>
      </c>
      <c r="B943" s="3" t="s">
        <v>2165</v>
      </c>
      <c r="C943" s="19">
        <v>17535.89</v>
      </c>
    </row>
    <row r="944" spans="1:3" ht="15" x14ac:dyDescent="0.25">
      <c r="A944" s="122" t="s">
        <v>2166</v>
      </c>
      <c r="B944" s="3" t="s">
        <v>2167</v>
      </c>
      <c r="C944" s="19">
        <v>30383.39</v>
      </c>
    </row>
    <row r="945" spans="1:3" ht="15" x14ac:dyDescent="0.25">
      <c r="A945" s="122" t="s">
        <v>2168</v>
      </c>
      <c r="B945" s="3" t="s">
        <v>2169</v>
      </c>
      <c r="C945" s="19">
        <v>404525.68000000005</v>
      </c>
    </row>
    <row r="946" spans="1:3" ht="15" x14ac:dyDescent="0.25">
      <c r="A946" s="122" t="s">
        <v>2170</v>
      </c>
      <c r="B946" s="3" t="s">
        <v>2171</v>
      </c>
      <c r="C946" s="19">
        <v>8624.9500000000007</v>
      </c>
    </row>
    <row r="947" spans="1:3" ht="15" x14ac:dyDescent="0.25">
      <c r="A947" s="122" t="s">
        <v>2172</v>
      </c>
      <c r="B947" s="3" t="s">
        <v>2173</v>
      </c>
      <c r="C947" s="19">
        <v>10401.959999999999</v>
      </c>
    </row>
    <row r="948" spans="1:3" ht="15" x14ac:dyDescent="0.25">
      <c r="A948" s="122" t="s">
        <v>2174</v>
      </c>
      <c r="B948" s="3" t="s">
        <v>2175</v>
      </c>
      <c r="C948" s="19">
        <v>114697.64000000004</v>
      </c>
    </row>
    <row r="949" spans="1:3" ht="15" x14ac:dyDescent="0.25">
      <c r="A949" s="122" t="s">
        <v>2176</v>
      </c>
      <c r="B949" s="3" t="s">
        <v>2177</v>
      </c>
      <c r="C949" s="19">
        <v>29946.82</v>
      </c>
    </row>
    <row r="950" spans="1:3" ht="15" x14ac:dyDescent="0.25">
      <c r="A950" s="122" t="s">
        <v>2178</v>
      </c>
      <c r="B950" s="3" t="s">
        <v>2179</v>
      </c>
      <c r="C950" s="19">
        <v>98.850000000000009</v>
      </c>
    </row>
    <row r="951" spans="1:3" ht="15" x14ac:dyDescent="0.25">
      <c r="A951" s="122" t="s">
        <v>2180</v>
      </c>
      <c r="B951" s="3" t="s">
        <v>2181</v>
      </c>
      <c r="C951" s="19">
        <v>23237.1</v>
      </c>
    </row>
    <row r="952" spans="1:3" ht="15" x14ac:dyDescent="0.25">
      <c r="A952" s="122" t="s">
        <v>2182</v>
      </c>
      <c r="B952" s="3" t="s">
        <v>2183</v>
      </c>
      <c r="C952" s="19">
        <v>393581.32000000007</v>
      </c>
    </row>
    <row r="953" spans="1:3" ht="15" x14ac:dyDescent="0.25">
      <c r="A953" s="122" t="s">
        <v>2184</v>
      </c>
      <c r="B953" s="3" t="s">
        <v>2185</v>
      </c>
      <c r="C953" s="19">
        <v>436249.03</v>
      </c>
    </row>
    <row r="954" spans="1:3" ht="15" x14ac:dyDescent="0.25">
      <c r="A954" s="122" t="s">
        <v>2186</v>
      </c>
      <c r="B954" s="3" t="s">
        <v>2187</v>
      </c>
      <c r="C954" s="19">
        <v>58002.950000000004</v>
      </c>
    </row>
    <row r="955" spans="1:3" ht="15" x14ac:dyDescent="0.25">
      <c r="A955" s="122" t="s">
        <v>2188</v>
      </c>
      <c r="B955" s="3" t="s">
        <v>2189</v>
      </c>
      <c r="C955" s="19">
        <v>69222.779999999984</v>
      </c>
    </row>
    <row r="956" spans="1:3" ht="15" x14ac:dyDescent="0.25">
      <c r="A956" s="122" t="s">
        <v>2190</v>
      </c>
      <c r="B956" s="3" t="s">
        <v>2191</v>
      </c>
      <c r="C956" s="19">
        <v>101.65</v>
      </c>
    </row>
    <row r="957" spans="1:3" ht="15" x14ac:dyDescent="0.25">
      <c r="A957" s="122" t="s">
        <v>2192</v>
      </c>
      <c r="B957" s="3" t="s">
        <v>2193</v>
      </c>
      <c r="C957" s="19">
        <v>19285.87999999999</v>
      </c>
    </row>
    <row r="958" spans="1:3" ht="15" x14ac:dyDescent="0.25">
      <c r="A958" s="122" t="s">
        <v>2194</v>
      </c>
      <c r="B958" s="3" t="s">
        <v>2195</v>
      </c>
      <c r="C958" s="19">
        <v>6971.1999999999989</v>
      </c>
    </row>
    <row r="959" spans="1:3" ht="15" x14ac:dyDescent="0.25">
      <c r="A959" s="122" t="s">
        <v>2196</v>
      </c>
      <c r="B959" s="3" t="s">
        <v>2197</v>
      </c>
      <c r="C959" s="19">
        <v>9823.2200000000012</v>
      </c>
    </row>
    <row r="960" spans="1:3" ht="15" x14ac:dyDescent="0.25">
      <c r="A960" s="122" t="s">
        <v>2198</v>
      </c>
      <c r="B960" s="3" t="s">
        <v>2199</v>
      </c>
      <c r="C960" s="19">
        <v>113307.81000000001</v>
      </c>
    </row>
    <row r="961" spans="1:3" ht="15" x14ac:dyDescent="0.25">
      <c r="A961" s="122" t="s">
        <v>2200</v>
      </c>
      <c r="B961" s="3" t="s">
        <v>2201</v>
      </c>
      <c r="C961" s="19">
        <v>29647.339999999993</v>
      </c>
    </row>
    <row r="962" spans="1:3" ht="15" x14ac:dyDescent="0.25">
      <c r="A962" s="122" t="s">
        <v>2202</v>
      </c>
      <c r="B962" s="3" t="s">
        <v>2203</v>
      </c>
      <c r="C962" s="19">
        <v>49128.289999999986</v>
      </c>
    </row>
    <row r="963" spans="1:3" ht="15" x14ac:dyDescent="0.25">
      <c r="A963" s="122" t="s">
        <v>2204</v>
      </c>
      <c r="B963" s="3" t="s">
        <v>2205</v>
      </c>
      <c r="C963" s="19">
        <v>72640.759999999995</v>
      </c>
    </row>
    <row r="964" spans="1:3" ht="15" x14ac:dyDescent="0.25">
      <c r="A964" s="122" t="s">
        <v>2206</v>
      </c>
      <c r="B964" s="3" t="s">
        <v>2207</v>
      </c>
      <c r="C964" s="19">
        <v>28374.31</v>
      </c>
    </row>
    <row r="965" spans="1:3" ht="15" x14ac:dyDescent="0.25">
      <c r="A965" s="122" t="s">
        <v>2208</v>
      </c>
      <c r="B965" s="3" t="s">
        <v>2209</v>
      </c>
      <c r="C965" s="19">
        <v>109264.68</v>
      </c>
    </row>
    <row r="966" spans="1:3" ht="15" x14ac:dyDescent="0.25">
      <c r="A966" s="122" t="s">
        <v>2210</v>
      </c>
      <c r="B966" s="3" t="s">
        <v>2211</v>
      </c>
      <c r="C966" s="19">
        <v>48936.149999999987</v>
      </c>
    </row>
    <row r="967" spans="1:3" ht="15" x14ac:dyDescent="0.25">
      <c r="A967" s="122" t="s">
        <v>2212</v>
      </c>
      <c r="B967" s="3" t="s">
        <v>2213</v>
      </c>
      <c r="C967" s="19">
        <v>72207.329999999987</v>
      </c>
    </row>
    <row r="968" spans="1:3" ht="15" x14ac:dyDescent="0.25">
      <c r="A968" s="122" t="s">
        <v>2214</v>
      </c>
      <c r="B968" s="3" t="s">
        <v>2215</v>
      </c>
      <c r="C968" s="19">
        <v>7556.3099999999995</v>
      </c>
    </row>
    <row r="969" spans="1:3" ht="15" x14ac:dyDescent="0.25">
      <c r="A969" s="122" t="s">
        <v>2216</v>
      </c>
      <c r="B969" s="3" t="s">
        <v>2217</v>
      </c>
      <c r="C969" s="19">
        <v>8629.2999999999993</v>
      </c>
    </row>
    <row r="970" spans="1:3" ht="15" x14ac:dyDescent="0.25">
      <c r="A970" s="122" t="s">
        <v>2218</v>
      </c>
      <c r="B970" s="3" t="s">
        <v>2219</v>
      </c>
      <c r="C970" s="19">
        <v>134869.32999999999</v>
      </c>
    </row>
    <row r="971" spans="1:3" ht="15" x14ac:dyDescent="0.25">
      <c r="A971" s="122" t="s">
        <v>2220</v>
      </c>
      <c r="B971" s="3" t="s">
        <v>2221</v>
      </c>
      <c r="C971" s="19">
        <v>13510.1</v>
      </c>
    </row>
    <row r="972" spans="1:3" ht="15" x14ac:dyDescent="0.25">
      <c r="A972" s="122" t="s">
        <v>2222</v>
      </c>
      <c r="B972" s="3" t="s">
        <v>2223</v>
      </c>
      <c r="C972" s="19">
        <v>7140</v>
      </c>
    </row>
    <row r="973" spans="1:3" ht="15" x14ac:dyDescent="0.25">
      <c r="A973" s="122" t="s">
        <v>2224</v>
      </c>
      <c r="B973" s="3" t="s">
        <v>2225</v>
      </c>
      <c r="C973" s="19">
        <v>24170</v>
      </c>
    </row>
    <row r="974" spans="1:3" ht="15" x14ac:dyDescent="0.25">
      <c r="A974" s="122" t="s">
        <v>2226</v>
      </c>
      <c r="B974" s="3" t="s">
        <v>2227</v>
      </c>
      <c r="C974" s="19">
        <v>88485.209999999977</v>
      </c>
    </row>
    <row r="975" spans="1:3" ht="15" x14ac:dyDescent="0.25">
      <c r="A975" s="122" t="s">
        <v>2228</v>
      </c>
      <c r="B975" s="3" t="s">
        <v>2229</v>
      </c>
      <c r="C975" s="19">
        <v>491271.07</v>
      </c>
    </row>
    <row r="976" spans="1:3" ht="15" x14ac:dyDescent="0.25">
      <c r="A976" s="122" t="s">
        <v>2230</v>
      </c>
      <c r="B976" s="3" t="s">
        <v>2231</v>
      </c>
      <c r="C976" s="19">
        <v>252229.97999999998</v>
      </c>
    </row>
    <row r="977" spans="1:3" ht="15" x14ac:dyDescent="0.25">
      <c r="A977" s="122" t="s">
        <v>2232</v>
      </c>
      <c r="B977" s="3" t="s">
        <v>2233</v>
      </c>
      <c r="C977" s="19">
        <v>42073.75</v>
      </c>
    </row>
    <row r="978" spans="1:3" ht="15" x14ac:dyDescent="0.25">
      <c r="A978" s="122" t="s">
        <v>2234</v>
      </c>
      <c r="B978" s="3" t="s">
        <v>2235</v>
      </c>
      <c r="C978" s="19">
        <v>323491.05999999994</v>
      </c>
    </row>
    <row r="979" spans="1:3" ht="15" x14ac:dyDescent="0.25">
      <c r="A979" s="122" t="s">
        <v>2236</v>
      </c>
      <c r="B979" s="3" t="s">
        <v>2237</v>
      </c>
      <c r="C979" s="19">
        <v>-1.3380940799834207E-10</v>
      </c>
    </row>
    <row r="980" spans="1:3" ht="15" x14ac:dyDescent="0.25">
      <c r="A980" s="122" t="s">
        <v>2238</v>
      </c>
      <c r="B980" s="3" t="s">
        <v>2239</v>
      </c>
      <c r="C980" s="19">
        <v>28771.91</v>
      </c>
    </row>
    <row r="981" spans="1:3" ht="15" x14ac:dyDescent="0.25">
      <c r="A981" s="122" t="s">
        <v>2240</v>
      </c>
      <c r="B981" s="3" t="s">
        <v>2241</v>
      </c>
      <c r="C981" s="19">
        <v>85455.560000000012</v>
      </c>
    </row>
    <row r="982" spans="1:3" ht="15" x14ac:dyDescent="0.25">
      <c r="A982" s="122" t="s">
        <v>2242</v>
      </c>
      <c r="B982" s="3" t="s">
        <v>2243</v>
      </c>
      <c r="C982" s="19">
        <v>2633.9300000000003</v>
      </c>
    </row>
    <row r="983" spans="1:3" ht="15" x14ac:dyDescent="0.25">
      <c r="A983" s="122" t="s">
        <v>2244</v>
      </c>
      <c r="B983" s="3" t="s">
        <v>2245</v>
      </c>
      <c r="C983" s="19">
        <v>41962.879999999997</v>
      </c>
    </row>
    <row r="984" spans="1:3" ht="15" x14ac:dyDescent="0.25">
      <c r="A984" s="122" t="s">
        <v>2246</v>
      </c>
      <c r="B984" s="3" t="s">
        <v>2247</v>
      </c>
      <c r="C984" s="19">
        <v>49633.799999999996</v>
      </c>
    </row>
    <row r="985" spans="1:3" ht="15" x14ac:dyDescent="0.25">
      <c r="A985" s="122" t="s">
        <v>2248</v>
      </c>
      <c r="B985" s="3" t="s">
        <v>2249</v>
      </c>
      <c r="C985" s="19">
        <v>13392.46</v>
      </c>
    </row>
    <row r="986" spans="1:3" ht="15" x14ac:dyDescent="0.25">
      <c r="A986" s="122" t="s">
        <v>2250</v>
      </c>
      <c r="B986" s="3" t="s">
        <v>2251</v>
      </c>
      <c r="C986" s="19">
        <v>13548.279999999999</v>
      </c>
    </row>
    <row r="987" spans="1:3" ht="15" x14ac:dyDescent="0.25">
      <c r="A987" s="122" t="s">
        <v>2252</v>
      </c>
      <c r="B987" s="3" t="s">
        <v>2253</v>
      </c>
      <c r="C987" s="19">
        <v>61105.540000000008</v>
      </c>
    </row>
    <row r="988" spans="1:3" ht="15" x14ac:dyDescent="0.25">
      <c r="A988" s="122" t="s">
        <v>2254</v>
      </c>
      <c r="B988" s="3" t="s">
        <v>2255</v>
      </c>
      <c r="C988" s="19">
        <v>132290.51</v>
      </c>
    </row>
    <row r="989" spans="1:3" ht="15" x14ac:dyDescent="0.25">
      <c r="A989" s="122" t="s">
        <v>2256</v>
      </c>
      <c r="B989" s="3" t="s">
        <v>2257</v>
      </c>
      <c r="C989" s="19">
        <v>22360.719999999998</v>
      </c>
    </row>
    <row r="990" spans="1:3" ht="15" x14ac:dyDescent="0.25">
      <c r="A990" s="122" t="s">
        <v>2258</v>
      </c>
      <c r="B990" s="3" t="s">
        <v>2259</v>
      </c>
      <c r="C990" s="19">
        <v>224531.76000000004</v>
      </c>
    </row>
    <row r="991" spans="1:3" ht="15" x14ac:dyDescent="0.25">
      <c r="A991" s="122" t="s">
        <v>2260</v>
      </c>
      <c r="B991" s="3" t="s">
        <v>2261</v>
      </c>
      <c r="C991" s="19">
        <v>-1.2516210290414165E-11</v>
      </c>
    </row>
    <row r="992" spans="1:3" ht="15" x14ac:dyDescent="0.25">
      <c r="A992" s="122" t="s">
        <v>2262</v>
      </c>
      <c r="B992" s="3" t="s">
        <v>2263</v>
      </c>
      <c r="C992" s="19">
        <v>1340401.9300000002</v>
      </c>
    </row>
    <row r="993" spans="1:3" ht="15" x14ac:dyDescent="0.25">
      <c r="A993" s="122" t="s">
        <v>2264</v>
      </c>
      <c r="B993" s="3" t="s">
        <v>2265</v>
      </c>
      <c r="C993" s="19">
        <v>691474.18999999983</v>
      </c>
    </row>
    <row r="994" spans="1:3" ht="15" x14ac:dyDescent="0.25">
      <c r="A994" s="122" t="s">
        <v>2266</v>
      </c>
      <c r="B994" s="3" t="s">
        <v>2267</v>
      </c>
      <c r="C994" s="19">
        <v>143309.75000000006</v>
      </c>
    </row>
    <row r="995" spans="1:3" ht="15" x14ac:dyDescent="0.25">
      <c r="A995" s="122" t="s">
        <v>2268</v>
      </c>
      <c r="B995" s="3" t="s">
        <v>2269</v>
      </c>
      <c r="C995" s="19">
        <v>36901.040000000008</v>
      </c>
    </row>
    <row r="996" spans="1:3" ht="15" x14ac:dyDescent="0.25">
      <c r="A996" s="122" t="s">
        <v>2270</v>
      </c>
      <c r="B996" s="3" t="s">
        <v>2271</v>
      </c>
      <c r="C996" s="19">
        <v>85800.359999999986</v>
      </c>
    </row>
    <row r="997" spans="1:3" ht="15" x14ac:dyDescent="0.25">
      <c r="A997" s="122" t="s">
        <v>2272</v>
      </c>
      <c r="B997" s="3" t="s">
        <v>2273</v>
      </c>
      <c r="C997" s="19">
        <v>61514.540000000008</v>
      </c>
    </row>
    <row r="998" spans="1:3" ht="15" x14ac:dyDescent="0.25">
      <c r="A998" s="122" t="s">
        <v>2274</v>
      </c>
      <c r="B998" s="3" t="s">
        <v>2275</v>
      </c>
      <c r="C998" s="19">
        <v>20835.14</v>
      </c>
    </row>
    <row r="999" spans="1:3" ht="15" x14ac:dyDescent="0.25">
      <c r="A999" s="122" t="s">
        <v>2276</v>
      </c>
      <c r="B999" s="3" t="s">
        <v>2277</v>
      </c>
      <c r="C999" s="19">
        <v>58036.869999999988</v>
      </c>
    </row>
    <row r="1000" spans="1:3" ht="15" x14ac:dyDescent="0.25">
      <c r="A1000" s="122" t="s">
        <v>2278</v>
      </c>
      <c r="B1000" s="3" t="s">
        <v>2279</v>
      </c>
      <c r="C1000" s="19">
        <v>34195.43</v>
      </c>
    </row>
    <row r="1001" spans="1:3" ht="15" x14ac:dyDescent="0.25">
      <c r="A1001" s="122" t="s">
        <v>2280</v>
      </c>
      <c r="B1001" s="3" t="s">
        <v>2281</v>
      </c>
      <c r="C1001" s="19">
        <v>30919.529999999995</v>
      </c>
    </row>
    <row r="1002" spans="1:3" ht="15" x14ac:dyDescent="0.25">
      <c r="A1002" s="122" t="s">
        <v>2282</v>
      </c>
      <c r="B1002" s="3" t="s">
        <v>2283</v>
      </c>
      <c r="C1002" s="19">
        <v>181848.62000000002</v>
      </c>
    </row>
    <row r="1003" spans="1:3" ht="15" x14ac:dyDescent="0.25">
      <c r="A1003" s="122" t="s">
        <v>2284</v>
      </c>
      <c r="B1003" s="3" t="s">
        <v>2285</v>
      </c>
      <c r="C1003" s="19">
        <v>181848.62000000002</v>
      </c>
    </row>
    <row r="1004" spans="1:3" ht="15" x14ac:dyDescent="0.25">
      <c r="A1004" s="122" t="s">
        <v>2286</v>
      </c>
      <c r="B1004" s="3" t="s">
        <v>2287</v>
      </c>
      <c r="C1004" s="19">
        <v>181848.62</v>
      </c>
    </row>
    <row r="1005" spans="1:3" ht="15" x14ac:dyDescent="0.25">
      <c r="A1005" s="122" t="s">
        <v>2288</v>
      </c>
      <c r="B1005" s="3" t="s">
        <v>2289</v>
      </c>
      <c r="C1005" s="19">
        <v>281310.19999999995</v>
      </c>
    </row>
    <row r="1006" spans="1:3" ht="15" x14ac:dyDescent="0.25">
      <c r="A1006" s="122" t="s">
        <v>2290</v>
      </c>
      <c r="B1006" s="3" t="s">
        <v>2291</v>
      </c>
      <c r="C1006" s="19">
        <v>1643294.6800000006</v>
      </c>
    </row>
    <row r="1007" spans="1:3" ht="15" x14ac:dyDescent="0.25">
      <c r="A1007" s="122" t="s">
        <v>2292</v>
      </c>
      <c r="B1007" s="3" t="s">
        <v>2293</v>
      </c>
      <c r="C1007" s="19">
        <v>71985.12000000001</v>
      </c>
    </row>
    <row r="1008" spans="1:3" ht="15" x14ac:dyDescent="0.25">
      <c r="A1008" s="122" t="s">
        <v>2294</v>
      </c>
      <c r="B1008" s="3" t="s">
        <v>2295</v>
      </c>
      <c r="C1008" s="19">
        <v>70525.89</v>
      </c>
    </row>
    <row r="1009" spans="1:3" ht="15" x14ac:dyDescent="0.25">
      <c r="A1009" s="122" t="s">
        <v>2296</v>
      </c>
      <c r="B1009" s="3" t="s">
        <v>2297</v>
      </c>
      <c r="C1009" s="19">
        <v>13876.39</v>
      </c>
    </row>
    <row r="1010" spans="1:3" ht="15" x14ac:dyDescent="0.25">
      <c r="A1010" s="122" t="s">
        <v>2298</v>
      </c>
      <c r="B1010" s="3" t="s">
        <v>2299</v>
      </c>
      <c r="C1010" s="19">
        <v>234266.1</v>
      </c>
    </row>
    <row r="1011" spans="1:3" ht="15" x14ac:dyDescent="0.25">
      <c r="A1011" s="122" t="s">
        <v>2300</v>
      </c>
      <c r="B1011" s="3" t="s">
        <v>2301</v>
      </c>
      <c r="C1011" s="19">
        <v>227631.31999999998</v>
      </c>
    </row>
    <row r="1012" spans="1:3" ht="15" x14ac:dyDescent="0.25">
      <c r="A1012" s="122" t="s">
        <v>2302</v>
      </c>
      <c r="B1012" s="3" t="s">
        <v>2303</v>
      </c>
      <c r="C1012" s="19">
        <v>36599.68</v>
      </c>
    </row>
    <row r="1013" spans="1:3" ht="15" x14ac:dyDescent="0.25">
      <c r="A1013" s="122" t="s">
        <v>2304</v>
      </c>
      <c r="B1013" s="3" t="s">
        <v>2305</v>
      </c>
      <c r="C1013" s="19">
        <v>114432.40000000001</v>
      </c>
    </row>
    <row r="1014" spans="1:3" ht="15" x14ac:dyDescent="0.25">
      <c r="A1014" s="122" t="s">
        <v>2306</v>
      </c>
      <c r="B1014" s="3" t="s">
        <v>2307</v>
      </c>
      <c r="C1014" s="19">
        <v>7393.48</v>
      </c>
    </row>
    <row r="1015" spans="1:3" ht="15" x14ac:dyDescent="0.25">
      <c r="A1015" s="122" t="s">
        <v>2308</v>
      </c>
      <c r="B1015" s="3" t="s">
        <v>2309</v>
      </c>
      <c r="C1015" s="19">
        <v>67129.62</v>
      </c>
    </row>
    <row r="1016" spans="1:3" ht="15" x14ac:dyDescent="0.25">
      <c r="A1016" s="122" t="s">
        <v>2310</v>
      </c>
      <c r="B1016" s="3" t="s">
        <v>2311</v>
      </c>
      <c r="C1016" s="19">
        <v>17546.07</v>
      </c>
    </row>
    <row r="1017" spans="1:3" ht="15" x14ac:dyDescent="0.25">
      <c r="A1017" s="122" t="s">
        <v>2312</v>
      </c>
      <c r="B1017" s="3" t="s">
        <v>2313</v>
      </c>
      <c r="C1017" s="19">
        <v>38868.619999999995</v>
      </c>
    </row>
    <row r="1018" spans="1:3" ht="15" x14ac:dyDescent="0.25">
      <c r="A1018" s="122" t="s">
        <v>2314</v>
      </c>
      <c r="B1018" s="3" t="s">
        <v>2315</v>
      </c>
      <c r="C1018" s="19">
        <v>6658.5900000000011</v>
      </c>
    </row>
    <row r="1019" spans="1:3" ht="15" x14ac:dyDescent="0.25">
      <c r="A1019" s="122" t="s">
        <v>2316</v>
      </c>
      <c r="B1019" s="3" t="s">
        <v>2317</v>
      </c>
      <c r="C1019" s="19">
        <v>379764.56</v>
      </c>
    </row>
    <row r="1020" spans="1:3" ht="15" x14ac:dyDescent="0.25">
      <c r="A1020" s="122" t="s">
        <v>2318</v>
      </c>
      <c r="B1020" s="3" t="s">
        <v>2319</v>
      </c>
      <c r="C1020" s="19">
        <v>133819.07999999999</v>
      </c>
    </row>
    <row r="1021" spans="1:3" ht="15" x14ac:dyDescent="0.25">
      <c r="A1021" s="122" t="s">
        <v>2320</v>
      </c>
      <c r="B1021" s="3" t="s">
        <v>2321</v>
      </c>
      <c r="C1021" s="19">
        <v>14360.88</v>
      </c>
    </row>
    <row r="1022" spans="1:3" ht="15" x14ac:dyDescent="0.25">
      <c r="A1022" s="122" t="s">
        <v>2322</v>
      </c>
      <c r="B1022" s="3" t="s">
        <v>2323</v>
      </c>
      <c r="C1022" s="19">
        <v>24732.600000000002</v>
      </c>
    </row>
    <row r="1023" spans="1:3" ht="15" x14ac:dyDescent="0.25">
      <c r="A1023" s="122" t="s">
        <v>2324</v>
      </c>
      <c r="B1023" s="3" t="s">
        <v>2325</v>
      </c>
      <c r="C1023" s="19">
        <v>314926.0299999998</v>
      </c>
    </row>
    <row r="1024" spans="1:3" ht="15" x14ac:dyDescent="0.25">
      <c r="A1024" s="122" t="s">
        <v>2326</v>
      </c>
      <c r="B1024" s="3" t="s">
        <v>2327</v>
      </c>
      <c r="C1024" s="19">
        <v>807964.62</v>
      </c>
    </row>
    <row r="1025" spans="1:3" ht="15" x14ac:dyDescent="0.25">
      <c r="A1025" s="122" t="s">
        <v>2328</v>
      </c>
      <c r="B1025" s="3" t="s">
        <v>2329</v>
      </c>
      <c r="C1025" s="19">
        <v>43870.599999999977</v>
      </c>
    </row>
    <row r="1026" spans="1:3" ht="15" x14ac:dyDescent="0.25">
      <c r="A1026" s="122" t="s">
        <v>2330</v>
      </c>
      <c r="B1026" s="3" t="s">
        <v>2331</v>
      </c>
      <c r="C1026" s="19">
        <v>14946.4</v>
      </c>
    </row>
    <row r="1027" spans="1:3" ht="15" x14ac:dyDescent="0.25">
      <c r="A1027" s="122" t="s">
        <v>2332</v>
      </c>
      <c r="B1027" s="3" t="s">
        <v>2333</v>
      </c>
      <c r="C1027" s="19">
        <v>5785.9400000000005</v>
      </c>
    </row>
    <row r="1028" spans="1:3" ht="15" x14ac:dyDescent="0.25">
      <c r="A1028" s="122" t="s">
        <v>2334</v>
      </c>
      <c r="B1028" s="3" t="s">
        <v>2335</v>
      </c>
      <c r="C1028" s="19">
        <v>10611.410000000002</v>
      </c>
    </row>
    <row r="1029" spans="1:3" ht="15" x14ac:dyDescent="0.25">
      <c r="A1029" s="122" t="s">
        <v>2336</v>
      </c>
      <c r="B1029" s="3" t="s">
        <v>2337</v>
      </c>
      <c r="C1029" s="19">
        <v>15569.019999999999</v>
      </c>
    </row>
    <row r="1030" spans="1:3" ht="15" x14ac:dyDescent="0.25">
      <c r="A1030" s="122" t="s">
        <v>2338</v>
      </c>
      <c r="B1030" s="3" t="s">
        <v>2339</v>
      </c>
      <c r="C1030" s="19">
        <v>27006.54</v>
      </c>
    </row>
    <row r="1031" spans="1:3" ht="15" x14ac:dyDescent="0.25">
      <c r="A1031" s="122" t="s">
        <v>2340</v>
      </c>
      <c r="B1031" s="3" t="s">
        <v>2341</v>
      </c>
      <c r="C1031" s="19">
        <v>51316.69</v>
      </c>
    </row>
    <row r="1032" spans="1:3" ht="15" x14ac:dyDescent="0.25">
      <c r="A1032" s="122" t="s">
        <v>2342</v>
      </c>
      <c r="B1032" s="3" t="s">
        <v>2343</v>
      </c>
      <c r="C1032" s="19">
        <v>19419.75</v>
      </c>
    </row>
    <row r="1033" spans="1:3" ht="15" x14ac:dyDescent="0.25">
      <c r="A1033" s="122" t="s">
        <v>2344</v>
      </c>
      <c r="B1033" s="3" t="s">
        <v>2345</v>
      </c>
      <c r="C1033" s="19">
        <v>71676.28</v>
      </c>
    </row>
    <row r="1034" spans="1:3" ht="15" x14ac:dyDescent="0.25">
      <c r="A1034" s="122" t="s">
        <v>2346</v>
      </c>
      <c r="B1034" s="3" t="s">
        <v>2347</v>
      </c>
      <c r="C1034" s="19">
        <v>34019</v>
      </c>
    </row>
    <row r="1035" spans="1:3" ht="15" x14ac:dyDescent="0.25">
      <c r="A1035" s="122" t="s">
        <v>2348</v>
      </c>
      <c r="B1035" s="3" t="s">
        <v>2349</v>
      </c>
      <c r="C1035" s="19">
        <v>24825</v>
      </c>
    </row>
    <row r="1036" spans="1:3" ht="15" x14ac:dyDescent="0.25">
      <c r="A1036" s="122" t="s">
        <v>2350</v>
      </c>
      <c r="B1036" s="3" t="s">
        <v>2351</v>
      </c>
      <c r="C1036" s="19">
        <v>7887.88</v>
      </c>
    </row>
    <row r="1037" spans="1:3" ht="15" x14ac:dyDescent="0.25">
      <c r="A1037" s="122" t="s">
        <v>2352</v>
      </c>
      <c r="B1037" s="3" t="s">
        <v>2353</v>
      </c>
      <c r="C1037" s="19">
        <v>20549.349999999999</v>
      </c>
    </row>
    <row r="1038" spans="1:3" ht="15" x14ac:dyDescent="0.25">
      <c r="A1038" s="122" t="s">
        <v>2354</v>
      </c>
      <c r="B1038" s="3" t="s">
        <v>2355</v>
      </c>
      <c r="C1038" s="19">
        <v>30401.41</v>
      </c>
    </row>
    <row r="1039" spans="1:3" ht="15" x14ac:dyDescent="0.25">
      <c r="A1039" s="122" t="s">
        <v>2356</v>
      </c>
      <c r="B1039" s="3" t="s">
        <v>2357</v>
      </c>
      <c r="C1039" s="19">
        <v>933478.59999999974</v>
      </c>
    </row>
    <row r="1040" spans="1:3" ht="15" x14ac:dyDescent="0.25">
      <c r="A1040" s="122" t="s">
        <v>2358</v>
      </c>
      <c r="B1040" s="3" t="s">
        <v>2359</v>
      </c>
      <c r="C1040" s="19">
        <v>4345265.9299999988</v>
      </c>
    </row>
    <row r="1041" spans="1:3" ht="15" x14ac:dyDescent="0.25">
      <c r="A1041" s="122" t="s">
        <v>2360</v>
      </c>
      <c r="B1041" s="3" t="s">
        <v>2361</v>
      </c>
      <c r="C1041" s="19">
        <v>11825.78</v>
      </c>
    </row>
    <row r="1042" spans="1:3" ht="15" x14ac:dyDescent="0.25">
      <c r="A1042" s="122" t="s">
        <v>2362</v>
      </c>
      <c r="B1042" s="3" t="s">
        <v>2363</v>
      </c>
      <c r="C1042" s="19">
        <v>23998.000000000011</v>
      </c>
    </row>
    <row r="1043" spans="1:3" ht="15" x14ac:dyDescent="0.25">
      <c r="A1043" s="122" t="s">
        <v>2364</v>
      </c>
      <c r="B1043" s="3" t="s">
        <v>2365</v>
      </c>
      <c r="C1043" s="19">
        <v>790133.7</v>
      </c>
    </row>
    <row r="1044" spans="1:3" ht="15" x14ac:dyDescent="0.25">
      <c r="A1044" s="122" t="s">
        <v>2366</v>
      </c>
      <c r="B1044" s="3" t="s">
        <v>2367</v>
      </c>
      <c r="C1044" s="19">
        <v>33285.090000000004</v>
      </c>
    </row>
    <row r="1045" spans="1:3" ht="15" x14ac:dyDescent="0.25">
      <c r="A1045" s="122" t="s">
        <v>2368</v>
      </c>
      <c r="B1045" s="3" t="s">
        <v>2369</v>
      </c>
      <c r="C1045" s="19">
        <v>18359.870000000006</v>
      </c>
    </row>
    <row r="1046" spans="1:3" ht="15" x14ac:dyDescent="0.25">
      <c r="A1046" s="122" t="s">
        <v>2370</v>
      </c>
      <c r="B1046" s="3" t="s">
        <v>2371</v>
      </c>
      <c r="C1046" s="19">
        <v>9277.77</v>
      </c>
    </row>
    <row r="1047" spans="1:3" ht="15" x14ac:dyDescent="0.25">
      <c r="A1047" s="122" t="s">
        <v>2372</v>
      </c>
      <c r="B1047" s="3" t="s">
        <v>2373</v>
      </c>
      <c r="C1047" s="19">
        <v>111187.77</v>
      </c>
    </row>
    <row r="1048" spans="1:3" ht="15" x14ac:dyDescent="0.25">
      <c r="A1048" s="122" t="s">
        <v>2374</v>
      </c>
      <c r="B1048" s="3" t="s">
        <v>2375</v>
      </c>
      <c r="C1048" s="19">
        <v>21046.589999999997</v>
      </c>
    </row>
    <row r="1049" spans="1:3" ht="15" x14ac:dyDescent="0.25">
      <c r="A1049" s="122" t="s">
        <v>2376</v>
      </c>
      <c r="B1049" s="3" t="s">
        <v>2377</v>
      </c>
      <c r="C1049" s="19">
        <v>99133.190000000017</v>
      </c>
    </row>
    <row r="1050" spans="1:3" ht="15" x14ac:dyDescent="0.25">
      <c r="A1050" s="122" t="s">
        <v>2378</v>
      </c>
      <c r="B1050" s="3" t="s">
        <v>2379</v>
      </c>
      <c r="C1050" s="19">
        <v>32428.16</v>
      </c>
    </row>
    <row r="1051" spans="1:3" ht="15" x14ac:dyDescent="0.25">
      <c r="A1051" s="122" t="s">
        <v>2380</v>
      </c>
      <c r="B1051" s="3" t="s">
        <v>2381</v>
      </c>
      <c r="C1051" s="19">
        <v>268563.05</v>
      </c>
    </row>
    <row r="1052" spans="1:3" ht="15" x14ac:dyDescent="0.25">
      <c r="A1052" s="122" t="s">
        <v>2382</v>
      </c>
      <c r="B1052" s="3" t="s">
        <v>2383</v>
      </c>
      <c r="C1052" s="19">
        <v>268563.05</v>
      </c>
    </row>
    <row r="1053" spans="1:3" ht="15" x14ac:dyDescent="0.25">
      <c r="A1053" s="122" t="s">
        <v>2384</v>
      </c>
      <c r="B1053" s="3" t="s">
        <v>2385</v>
      </c>
      <c r="C1053" s="19">
        <v>11463.22</v>
      </c>
    </row>
    <row r="1054" spans="1:3" ht="15" x14ac:dyDescent="0.25">
      <c r="A1054" s="122" t="s">
        <v>2386</v>
      </c>
      <c r="B1054" s="3" t="s">
        <v>2387</v>
      </c>
      <c r="C1054" s="19">
        <v>87786.62999999999</v>
      </c>
    </row>
    <row r="1055" spans="1:3" ht="15" x14ac:dyDescent="0.25">
      <c r="A1055" s="122" t="s">
        <v>2388</v>
      </c>
      <c r="B1055" s="3" t="s">
        <v>2389</v>
      </c>
      <c r="C1055" s="19">
        <v>319592.96000000002</v>
      </c>
    </row>
    <row r="1056" spans="1:3" ht="15" x14ac:dyDescent="0.25">
      <c r="A1056" s="122" t="s">
        <v>2390</v>
      </c>
      <c r="B1056" s="3" t="s">
        <v>2391</v>
      </c>
      <c r="C1056" s="19">
        <v>236672.94999999995</v>
      </c>
    </row>
    <row r="1057" spans="1:3" ht="15" x14ac:dyDescent="0.25">
      <c r="A1057" s="122" t="s">
        <v>2392</v>
      </c>
      <c r="B1057" s="3" t="s">
        <v>2393</v>
      </c>
      <c r="C1057" s="19">
        <v>37801.53</v>
      </c>
    </row>
    <row r="1058" spans="1:3" ht="15" x14ac:dyDescent="0.25">
      <c r="A1058" s="122" t="s">
        <v>2394</v>
      </c>
      <c r="B1058" s="3" t="s">
        <v>2395</v>
      </c>
      <c r="C1058" s="19">
        <v>26151.909999999996</v>
      </c>
    </row>
    <row r="1059" spans="1:3" ht="15" x14ac:dyDescent="0.25">
      <c r="A1059" s="122" t="s">
        <v>2396</v>
      </c>
      <c r="B1059" s="3" t="s">
        <v>2397</v>
      </c>
      <c r="C1059" s="19">
        <v>3578.7700000000009</v>
      </c>
    </row>
    <row r="1060" spans="1:3" ht="15" x14ac:dyDescent="0.25">
      <c r="A1060" s="122" t="s">
        <v>2398</v>
      </c>
      <c r="B1060" s="3" t="s">
        <v>2399</v>
      </c>
      <c r="C1060" s="19">
        <v>6969</v>
      </c>
    </row>
    <row r="1061" spans="1:3" ht="15" x14ac:dyDescent="0.25">
      <c r="A1061" s="122" t="s">
        <v>2400</v>
      </c>
      <c r="B1061" s="3" t="s">
        <v>2401</v>
      </c>
      <c r="C1061" s="19">
        <v>10750</v>
      </c>
    </row>
    <row r="1062" spans="1:3" ht="15" x14ac:dyDescent="0.25">
      <c r="A1062" s="122" t="s">
        <v>2402</v>
      </c>
      <c r="B1062" s="3" t="s">
        <v>2403</v>
      </c>
      <c r="C1062" s="19">
        <v>31429.72</v>
      </c>
    </row>
    <row r="1063" spans="1:3" ht="15" x14ac:dyDescent="0.25">
      <c r="A1063" s="122" t="s">
        <v>2404</v>
      </c>
      <c r="B1063" s="3" t="s">
        <v>2405</v>
      </c>
      <c r="C1063" s="19">
        <v>14819.269999999999</v>
      </c>
    </row>
    <row r="1064" spans="1:3" ht="15" x14ac:dyDescent="0.25">
      <c r="A1064" s="122" t="s">
        <v>2406</v>
      </c>
      <c r="B1064" s="3" t="s">
        <v>2407</v>
      </c>
      <c r="C1064" s="19">
        <v>94831.349999999991</v>
      </c>
    </row>
    <row r="1065" spans="1:3" ht="15" x14ac:dyDescent="0.25">
      <c r="A1065" s="122" t="s">
        <v>2408</v>
      </c>
      <c r="B1065" s="3" t="s">
        <v>2409</v>
      </c>
      <c r="C1065" s="19">
        <v>104022.87999999998</v>
      </c>
    </row>
    <row r="1066" spans="1:3" ht="15" x14ac:dyDescent="0.25">
      <c r="A1066" s="122" t="s">
        <v>2410</v>
      </c>
      <c r="B1066" s="3" t="s">
        <v>2411</v>
      </c>
      <c r="C1066" s="19">
        <v>11401.77</v>
      </c>
    </row>
    <row r="1067" spans="1:3" ht="15" x14ac:dyDescent="0.25">
      <c r="A1067" s="122" t="s">
        <v>2412</v>
      </c>
      <c r="B1067" s="3" t="s">
        <v>2413</v>
      </c>
      <c r="C1067" s="19">
        <v>126074.71000000002</v>
      </c>
    </row>
    <row r="1068" spans="1:3" ht="15" x14ac:dyDescent="0.25">
      <c r="A1068" s="122" t="s">
        <v>2414</v>
      </c>
      <c r="B1068" s="3" t="s">
        <v>2415</v>
      </c>
      <c r="C1068" s="19">
        <v>491591.44000000006</v>
      </c>
    </row>
    <row r="1069" spans="1:3" ht="15" x14ac:dyDescent="0.25">
      <c r="A1069" s="122" t="s">
        <v>2416</v>
      </c>
      <c r="B1069" s="3" t="s">
        <v>2417</v>
      </c>
      <c r="C1069" s="19">
        <v>8200</v>
      </c>
    </row>
    <row r="1070" spans="1:3" ht="15" x14ac:dyDescent="0.25">
      <c r="A1070" s="122" t="s">
        <v>2418</v>
      </c>
      <c r="B1070" s="3" t="s">
        <v>2419</v>
      </c>
      <c r="C1070" s="19">
        <v>214.06999999999996</v>
      </c>
    </row>
    <row r="1071" spans="1:3" ht="15" x14ac:dyDescent="0.25">
      <c r="A1071" s="122" t="s">
        <v>2420</v>
      </c>
      <c r="B1071" s="3" t="s">
        <v>2421</v>
      </c>
      <c r="C1071" s="19">
        <v>63654.14</v>
      </c>
    </row>
    <row r="1072" spans="1:3" ht="15" x14ac:dyDescent="0.25">
      <c r="A1072" s="122" t="s">
        <v>2422</v>
      </c>
      <c r="B1072" s="3" t="s">
        <v>2423</v>
      </c>
      <c r="C1072" s="19">
        <v>211667.03000000006</v>
      </c>
    </row>
    <row r="1073" spans="1:3" ht="15" x14ac:dyDescent="0.25">
      <c r="A1073" s="122" t="s">
        <v>2424</v>
      </c>
      <c r="B1073" s="3" t="s">
        <v>2425</v>
      </c>
      <c r="C1073" s="19">
        <v>6101.17</v>
      </c>
    </row>
    <row r="1074" spans="1:3" ht="15" x14ac:dyDescent="0.25">
      <c r="A1074" s="122" t="s">
        <v>2426</v>
      </c>
      <c r="B1074" s="3" t="s">
        <v>2427</v>
      </c>
      <c r="C1074" s="19">
        <v>45509.990000000005</v>
      </c>
    </row>
    <row r="1075" spans="1:3" ht="15" x14ac:dyDescent="0.25">
      <c r="A1075" s="122" t="s">
        <v>2428</v>
      </c>
      <c r="B1075" s="3" t="s">
        <v>2429</v>
      </c>
      <c r="C1075" s="19">
        <v>311852.07999999996</v>
      </c>
    </row>
    <row r="1076" spans="1:3" ht="15" x14ac:dyDescent="0.25">
      <c r="A1076" s="122" t="s">
        <v>2430</v>
      </c>
      <c r="B1076" s="3" t="s">
        <v>2431</v>
      </c>
      <c r="C1076" s="19">
        <v>31006.649999999998</v>
      </c>
    </row>
    <row r="1077" spans="1:3" ht="15" x14ac:dyDescent="0.25">
      <c r="A1077" s="122" t="s">
        <v>2432</v>
      </c>
      <c r="B1077" s="3" t="s">
        <v>2433</v>
      </c>
      <c r="C1077" s="19">
        <v>7391.9500000000007</v>
      </c>
    </row>
    <row r="1078" spans="1:3" ht="15" x14ac:dyDescent="0.25">
      <c r="A1078" s="122" t="s">
        <v>2434</v>
      </c>
      <c r="B1078" s="3" t="s">
        <v>2435</v>
      </c>
      <c r="C1078" s="19">
        <v>7897.5</v>
      </c>
    </row>
    <row r="1079" spans="1:3" ht="15" x14ac:dyDescent="0.25">
      <c r="A1079" s="122" t="s">
        <v>2436</v>
      </c>
      <c r="B1079" s="3" t="s">
        <v>2437</v>
      </c>
      <c r="C1079" s="19">
        <v>151789.06</v>
      </c>
    </row>
    <row r="1080" spans="1:3" ht="15" x14ac:dyDescent="0.25">
      <c r="A1080" s="122" t="s">
        <v>2438</v>
      </c>
      <c r="B1080" s="3" t="s">
        <v>2439</v>
      </c>
      <c r="C1080" s="19">
        <v>305894.11999999994</v>
      </c>
    </row>
    <row r="1081" spans="1:3" ht="15" x14ac:dyDescent="0.25">
      <c r="A1081" s="122" t="s">
        <v>2440</v>
      </c>
      <c r="B1081" s="3" t="s">
        <v>2441</v>
      </c>
      <c r="C1081" s="19">
        <v>885347.12000000034</v>
      </c>
    </row>
    <row r="1082" spans="1:3" ht="15" x14ac:dyDescent="0.25">
      <c r="A1082" s="122" t="s">
        <v>2442</v>
      </c>
      <c r="B1082" s="3" t="s">
        <v>2443</v>
      </c>
      <c r="C1082" s="19">
        <v>2.3646862246096134E-11</v>
      </c>
    </row>
    <row r="1083" spans="1:3" ht="15" x14ac:dyDescent="0.25">
      <c r="A1083" s="122" t="s">
        <v>2444</v>
      </c>
      <c r="B1083" s="3" t="s">
        <v>2445</v>
      </c>
      <c r="C1083" s="19">
        <v>33299.620000000003</v>
      </c>
    </row>
    <row r="1084" spans="1:3" ht="15" x14ac:dyDescent="0.25">
      <c r="A1084" s="122" t="s">
        <v>2446</v>
      </c>
      <c r="B1084" s="3" t="s">
        <v>2447</v>
      </c>
      <c r="C1084" s="19">
        <v>1178.6899999999998</v>
      </c>
    </row>
    <row r="1085" spans="1:3" ht="15" x14ac:dyDescent="0.25">
      <c r="A1085" s="122" t="s">
        <v>2448</v>
      </c>
      <c r="B1085" s="3" t="s">
        <v>2449</v>
      </c>
      <c r="C1085" s="19">
        <v>94725.22</v>
      </c>
    </row>
    <row r="1086" spans="1:3" ht="15" x14ac:dyDescent="0.25">
      <c r="A1086" s="122" t="s">
        <v>2450</v>
      </c>
      <c r="B1086" s="3" t="s">
        <v>2451</v>
      </c>
      <c r="C1086" s="19">
        <v>109536.30999999998</v>
      </c>
    </row>
    <row r="1087" spans="1:3" ht="15" x14ac:dyDescent="0.25">
      <c r="A1087" s="122" t="s">
        <v>2452</v>
      </c>
      <c r="B1087" s="3" t="s">
        <v>2453</v>
      </c>
      <c r="C1087" s="19">
        <v>119242.92</v>
      </c>
    </row>
    <row r="1088" spans="1:3" ht="15" x14ac:dyDescent="0.25">
      <c r="A1088" s="122" t="s">
        <v>2454</v>
      </c>
      <c r="B1088" s="3" t="s">
        <v>2455</v>
      </c>
      <c r="C1088" s="19">
        <v>48484.659999999974</v>
      </c>
    </row>
    <row r="1089" spans="1:3" ht="15" x14ac:dyDescent="0.25">
      <c r="A1089" s="122" t="s">
        <v>2456</v>
      </c>
      <c r="B1089" s="3" t="s">
        <v>2457</v>
      </c>
      <c r="C1089" s="19">
        <v>187019.59</v>
      </c>
    </row>
    <row r="1090" spans="1:3" ht="15" x14ac:dyDescent="0.25">
      <c r="A1090" s="122" t="s">
        <v>2458</v>
      </c>
      <c r="B1090" s="3" t="s">
        <v>2459</v>
      </c>
      <c r="C1090" s="19">
        <v>10546.529999999999</v>
      </c>
    </row>
    <row r="1091" spans="1:3" ht="15" x14ac:dyDescent="0.25">
      <c r="A1091" s="122" t="s">
        <v>2460</v>
      </c>
      <c r="B1091" s="3" t="s">
        <v>2461</v>
      </c>
      <c r="C1091" s="19">
        <v>13693.990000000002</v>
      </c>
    </row>
    <row r="1092" spans="1:3" ht="15" x14ac:dyDescent="0.25">
      <c r="A1092" s="122" t="s">
        <v>2462</v>
      </c>
      <c r="B1092" s="3" t="s">
        <v>2463</v>
      </c>
      <c r="C1092" s="19">
        <v>13693.990000000002</v>
      </c>
    </row>
    <row r="1093" spans="1:3" ht="15" x14ac:dyDescent="0.25">
      <c r="A1093" s="122" t="s">
        <v>2464</v>
      </c>
      <c r="B1093" s="3" t="s">
        <v>2465</v>
      </c>
      <c r="C1093" s="19">
        <v>13693.990000000002</v>
      </c>
    </row>
    <row r="1094" spans="1:3" ht="15" x14ac:dyDescent="0.25">
      <c r="A1094" s="122" t="s">
        <v>2466</v>
      </c>
      <c r="B1094" s="3" t="s">
        <v>2467</v>
      </c>
      <c r="C1094" s="19">
        <v>330111.31</v>
      </c>
    </row>
    <row r="1095" spans="1:3" ht="15" x14ac:dyDescent="0.25">
      <c r="A1095" s="122" t="s">
        <v>2468</v>
      </c>
      <c r="B1095" s="3" t="s">
        <v>2469</v>
      </c>
      <c r="C1095" s="19">
        <v>32890</v>
      </c>
    </row>
    <row r="1096" spans="1:3" ht="15" x14ac:dyDescent="0.25">
      <c r="A1096" s="122" t="s">
        <v>2470</v>
      </c>
      <c r="B1096" s="3" t="s">
        <v>2471</v>
      </c>
      <c r="C1096" s="19">
        <v>17243.39</v>
      </c>
    </row>
    <row r="1097" spans="1:3" ht="15" x14ac:dyDescent="0.25">
      <c r="A1097" s="122" t="s">
        <v>2472</v>
      </c>
      <c r="B1097" s="3" t="s">
        <v>2473</v>
      </c>
      <c r="C1097" s="19">
        <v>18789.52</v>
      </c>
    </row>
    <row r="1098" spans="1:3" ht="15" x14ac:dyDescent="0.25">
      <c r="A1098" s="122" t="s">
        <v>2474</v>
      </c>
      <c r="B1098" s="3" t="s">
        <v>2475</v>
      </c>
      <c r="C1098" s="19">
        <v>74407.06</v>
      </c>
    </row>
    <row r="1099" spans="1:3" ht="15" x14ac:dyDescent="0.25">
      <c r="A1099" s="122" t="s">
        <v>2476</v>
      </c>
      <c r="B1099" s="3" t="s">
        <v>2477</v>
      </c>
      <c r="C1099" s="19">
        <v>63549.160000000011</v>
      </c>
    </row>
    <row r="1100" spans="1:3" ht="15" x14ac:dyDescent="0.25">
      <c r="A1100" s="122" t="s">
        <v>2478</v>
      </c>
      <c r="B1100" s="3" t="s">
        <v>2479</v>
      </c>
      <c r="C1100" s="19">
        <v>5462.68</v>
      </c>
    </row>
    <row r="1101" spans="1:3" ht="15" x14ac:dyDescent="0.25">
      <c r="A1101" s="122" t="s">
        <v>2480</v>
      </c>
      <c r="B1101" s="3" t="s">
        <v>2481</v>
      </c>
      <c r="C1101" s="19">
        <v>54426.829999999994</v>
      </c>
    </row>
    <row r="1102" spans="1:3" ht="15" x14ac:dyDescent="0.25">
      <c r="A1102" s="122" t="s">
        <v>2482</v>
      </c>
      <c r="B1102" s="3" t="s">
        <v>2483</v>
      </c>
      <c r="C1102" s="19">
        <v>53335.61</v>
      </c>
    </row>
    <row r="1103" spans="1:3" ht="15" x14ac:dyDescent="0.25">
      <c r="A1103" s="122" t="s">
        <v>2484</v>
      </c>
      <c r="B1103" s="3" t="s">
        <v>2485</v>
      </c>
      <c r="C1103" s="19">
        <v>101263.52999999998</v>
      </c>
    </row>
    <row r="1104" spans="1:3" ht="15" x14ac:dyDescent="0.25">
      <c r="A1104" s="122" t="s">
        <v>2486</v>
      </c>
      <c r="B1104" s="3" t="s">
        <v>2487</v>
      </c>
      <c r="C1104" s="19">
        <v>25702.27</v>
      </c>
    </row>
    <row r="1105" spans="1:3" ht="15" x14ac:dyDescent="0.25">
      <c r="A1105" s="122" t="s">
        <v>2488</v>
      </c>
      <c r="B1105" s="3" t="s">
        <v>2489</v>
      </c>
      <c r="C1105" s="19">
        <v>12776.220000000001</v>
      </c>
    </row>
    <row r="1106" spans="1:3" ht="15" x14ac:dyDescent="0.25">
      <c r="A1106" s="122" t="s">
        <v>2490</v>
      </c>
      <c r="B1106" s="3" t="s">
        <v>2491</v>
      </c>
      <c r="C1106" s="19">
        <v>86701.13</v>
      </c>
    </row>
    <row r="1107" spans="1:3" ht="15" x14ac:dyDescent="0.25">
      <c r="A1107" s="122" t="s">
        <v>2492</v>
      </c>
      <c r="B1107" s="3" t="s">
        <v>2493</v>
      </c>
      <c r="C1107" s="19">
        <v>47622.51</v>
      </c>
    </row>
    <row r="1108" spans="1:3" ht="15" x14ac:dyDescent="0.25">
      <c r="A1108" s="122" t="s">
        <v>2494</v>
      </c>
      <c r="B1108" s="3" t="s">
        <v>2495</v>
      </c>
      <c r="C1108" s="19">
        <v>19493.649999999998</v>
      </c>
    </row>
    <row r="1109" spans="1:3" ht="15" x14ac:dyDescent="0.25">
      <c r="A1109" s="122" t="s">
        <v>2496</v>
      </c>
      <c r="B1109" s="3" t="s">
        <v>2497</v>
      </c>
      <c r="C1109" s="19">
        <v>44973.55</v>
      </c>
    </row>
    <row r="1110" spans="1:3" ht="15" x14ac:dyDescent="0.25">
      <c r="A1110" s="122" t="s">
        <v>2498</v>
      </c>
      <c r="B1110" s="3" t="s">
        <v>2499</v>
      </c>
      <c r="C1110" s="19">
        <v>12325.05</v>
      </c>
    </row>
    <row r="1111" spans="1:3" ht="15" x14ac:dyDescent="0.25">
      <c r="A1111" s="122" t="s">
        <v>2500</v>
      </c>
      <c r="B1111" s="3" t="s">
        <v>2501</v>
      </c>
      <c r="C1111" s="19">
        <v>46176.479999999996</v>
      </c>
    </row>
    <row r="1112" spans="1:3" ht="15" x14ac:dyDescent="0.25">
      <c r="A1112" s="122" t="s">
        <v>2502</v>
      </c>
      <c r="B1112" s="3" t="s">
        <v>2503</v>
      </c>
      <c r="C1112" s="19">
        <v>32333.96</v>
      </c>
    </row>
    <row r="1113" spans="1:3" ht="15" x14ac:dyDescent="0.25">
      <c r="A1113" s="122" t="s">
        <v>2504</v>
      </c>
      <c r="B1113" s="3" t="s">
        <v>2505</v>
      </c>
      <c r="C1113" s="19">
        <v>210.95</v>
      </c>
    </row>
    <row r="1114" spans="1:3" ht="15" x14ac:dyDescent="0.25">
      <c r="A1114" s="122" t="s">
        <v>2506</v>
      </c>
      <c r="B1114" s="3" t="s">
        <v>2507</v>
      </c>
      <c r="C1114" s="19">
        <v>18729.600000000002</v>
      </c>
    </row>
    <row r="1115" spans="1:3" ht="15" x14ac:dyDescent="0.25">
      <c r="A1115" s="122" t="s">
        <v>2508</v>
      </c>
      <c r="B1115" s="3" t="s">
        <v>2509</v>
      </c>
      <c r="C1115" s="19">
        <v>27768.379999999997</v>
      </c>
    </row>
    <row r="1116" spans="1:3" ht="15" x14ac:dyDescent="0.25">
      <c r="A1116" s="122" t="s">
        <v>2510</v>
      </c>
      <c r="B1116" s="3" t="s">
        <v>2511</v>
      </c>
      <c r="C1116" s="19">
        <v>72065.560000000012</v>
      </c>
    </row>
    <row r="1117" spans="1:3" ht="15" x14ac:dyDescent="0.25">
      <c r="A1117" s="122" t="s">
        <v>2512</v>
      </c>
      <c r="B1117" s="3" t="s">
        <v>2513</v>
      </c>
      <c r="C1117" s="19">
        <v>82968.23000000001</v>
      </c>
    </row>
    <row r="1118" spans="1:3" ht="15" x14ac:dyDescent="0.25">
      <c r="A1118" s="122" t="s">
        <v>2514</v>
      </c>
      <c r="B1118" s="3" t="s">
        <v>2515</v>
      </c>
      <c r="C1118" s="19">
        <v>17518.009999999998</v>
      </c>
    </row>
    <row r="1119" spans="1:3" ht="15" x14ac:dyDescent="0.25">
      <c r="A1119" s="122" t="s">
        <v>2516</v>
      </c>
      <c r="B1119" s="3" t="s">
        <v>2517</v>
      </c>
      <c r="C1119" s="19">
        <v>14289.460000000001</v>
      </c>
    </row>
    <row r="1120" spans="1:3" ht="15" x14ac:dyDescent="0.25">
      <c r="A1120" s="122" t="s">
        <v>2518</v>
      </c>
      <c r="B1120" s="3" t="s">
        <v>2519</v>
      </c>
      <c r="C1120" s="19">
        <v>36855.939999999995</v>
      </c>
    </row>
    <row r="1121" spans="1:3" ht="15" x14ac:dyDescent="0.25">
      <c r="A1121" s="122" t="s">
        <v>2520</v>
      </c>
      <c r="B1121" s="3" t="s">
        <v>2521</v>
      </c>
      <c r="C1121" s="19">
        <v>61838.429999999993</v>
      </c>
    </row>
    <row r="1122" spans="1:3" ht="15" x14ac:dyDescent="0.25">
      <c r="A1122" s="122" t="s">
        <v>2522</v>
      </c>
      <c r="B1122" s="3" t="s">
        <v>2523</v>
      </c>
      <c r="C1122" s="19">
        <v>24822.419999999991</v>
      </c>
    </row>
    <row r="1123" spans="1:3" ht="15" x14ac:dyDescent="0.25">
      <c r="A1123" s="122" t="s">
        <v>2524</v>
      </c>
      <c r="B1123" s="3" t="s">
        <v>2525</v>
      </c>
      <c r="C1123" s="19">
        <v>19065.799999999992</v>
      </c>
    </row>
    <row r="1124" spans="1:3" ht="15" x14ac:dyDescent="0.25">
      <c r="A1124" s="122" t="s">
        <v>2526</v>
      </c>
      <c r="B1124" s="3" t="s">
        <v>2527</v>
      </c>
      <c r="C1124" s="19">
        <v>13739.1</v>
      </c>
    </row>
    <row r="1125" spans="1:3" ht="15" x14ac:dyDescent="0.25">
      <c r="A1125" s="122" t="s">
        <v>2528</v>
      </c>
      <c r="B1125" s="3" t="s">
        <v>2529</v>
      </c>
      <c r="C1125" s="19">
        <v>395452.19</v>
      </c>
    </row>
    <row r="1126" spans="1:3" ht="15" x14ac:dyDescent="0.25">
      <c r="A1126" s="122" t="s">
        <v>2530</v>
      </c>
      <c r="B1126" s="3" t="s">
        <v>2531</v>
      </c>
      <c r="C1126" s="19">
        <v>58470.38</v>
      </c>
    </row>
    <row r="1127" spans="1:3" ht="15" x14ac:dyDescent="0.25">
      <c r="A1127" s="122" t="s">
        <v>2532</v>
      </c>
      <c r="B1127" s="3" t="s">
        <v>2533</v>
      </c>
      <c r="C1127" s="19">
        <v>222876.13</v>
      </c>
    </row>
    <row r="1128" spans="1:3" ht="15" x14ac:dyDescent="0.25">
      <c r="A1128" s="122" t="s">
        <v>2534</v>
      </c>
      <c r="B1128" s="3" t="s">
        <v>2535</v>
      </c>
      <c r="C1128" s="19">
        <v>5305.64</v>
      </c>
    </row>
    <row r="1129" spans="1:3" ht="15" x14ac:dyDescent="0.25">
      <c r="A1129" s="122" t="s">
        <v>2536</v>
      </c>
      <c r="B1129" s="3" t="s">
        <v>2537</v>
      </c>
      <c r="C1129" s="19">
        <v>8083.82</v>
      </c>
    </row>
    <row r="1130" spans="1:3" ht="15" x14ac:dyDescent="0.25">
      <c r="A1130" s="122" t="s">
        <v>2538</v>
      </c>
      <c r="B1130" s="3" t="s">
        <v>2539</v>
      </c>
      <c r="C1130" s="19">
        <v>12757.480000000001</v>
      </c>
    </row>
    <row r="1131" spans="1:3" ht="15" x14ac:dyDescent="0.25">
      <c r="A1131" s="122" t="s">
        <v>2540</v>
      </c>
      <c r="B1131" s="3" t="s">
        <v>2541</v>
      </c>
      <c r="C1131" s="19">
        <v>37347.069999999992</v>
      </c>
    </row>
    <row r="1132" spans="1:3" ht="15" x14ac:dyDescent="0.25">
      <c r="A1132" s="122" t="s">
        <v>2542</v>
      </c>
      <c r="B1132" s="3" t="s">
        <v>2543</v>
      </c>
      <c r="C1132" s="19">
        <v>16714.310000000001</v>
      </c>
    </row>
    <row r="1133" spans="1:3" ht="15" x14ac:dyDescent="0.25">
      <c r="A1133" s="122" t="s">
        <v>2544</v>
      </c>
      <c r="B1133" s="3" t="s">
        <v>2545</v>
      </c>
      <c r="C1133" s="19">
        <v>8795.44</v>
      </c>
    </row>
    <row r="1134" spans="1:3" ht="15" x14ac:dyDescent="0.25">
      <c r="A1134" s="122" t="s">
        <v>2546</v>
      </c>
      <c r="B1134" s="3" t="s">
        <v>2547</v>
      </c>
      <c r="C1134" s="19">
        <v>116578.78000000001</v>
      </c>
    </row>
    <row r="1135" spans="1:3" ht="15" x14ac:dyDescent="0.25">
      <c r="A1135" s="122" t="s">
        <v>2548</v>
      </c>
      <c r="B1135" s="3" t="s">
        <v>2549</v>
      </c>
      <c r="C1135" s="19">
        <v>62372.98000000001</v>
      </c>
    </row>
    <row r="1136" spans="1:3" ht="15" x14ac:dyDescent="0.25">
      <c r="A1136" s="122" t="s">
        <v>2550</v>
      </c>
      <c r="B1136" s="3" t="s">
        <v>2551</v>
      </c>
      <c r="C1136" s="19">
        <v>92661.28</v>
      </c>
    </row>
    <row r="1137" spans="1:3" ht="15" x14ac:dyDescent="0.25">
      <c r="A1137" s="122" t="s">
        <v>2552</v>
      </c>
      <c r="B1137" s="3" t="s">
        <v>2553</v>
      </c>
      <c r="C1137" s="19">
        <v>8529.43</v>
      </c>
    </row>
    <row r="1138" spans="1:3" ht="15" x14ac:dyDescent="0.25">
      <c r="A1138" s="122" t="s">
        <v>2554</v>
      </c>
      <c r="B1138" s="3" t="s">
        <v>2555</v>
      </c>
      <c r="C1138" s="19">
        <v>57488.419999999991</v>
      </c>
    </row>
    <row r="1139" spans="1:3" ht="15" x14ac:dyDescent="0.25">
      <c r="A1139" s="122" t="s">
        <v>2556</v>
      </c>
      <c r="B1139" s="3" t="s">
        <v>2557</v>
      </c>
      <c r="C1139" s="19">
        <v>28144.679999999997</v>
      </c>
    </row>
    <row r="1140" spans="1:3" ht="15" x14ac:dyDescent="0.25">
      <c r="A1140" s="122" t="s">
        <v>2558</v>
      </c>
      <c r="B1140" s="3" t="s">
        <v>2559</v>
      </c>
      <c r="C1140" s="19">
        <v>5189.0200000000023</v>
      </c>
    </row>
    <row r="1141" spans="1:3" ht="15" x14ac:dyDescent="0.25">
      <c r="A1141" s="122" t="s">
        <v>2560</v>
      </c>
      <c r="B1141" s="3" t="s">
        <v>2561</v>
      </c>
      <c r="C1141" s="19">
        <v>184119.38000000009</v>
      </c>
    </row>
    <row r="1142" spans="1:3" ht="15" x14ac:dyDescent="0.25">
      <c r="A1142" s="122" t="s">
        <v>2562</v>
      </c>
      <c r="B1142" s="3" t="s">
        <v>2563</v>
      </c>
      <c r="C1142" s="19">
        <v>120048.2</v>
      </c>
    </row>
    <row r="1143" spans="1:3" ht="15" x14ac:dyDescent="0.25">
      <c r="A1143" s="122" t="s">
        <v>2564</v>
      </c>
      <c r="B1143" s="3" t="s">
        <v>2565</v>
      </c>
      <c r="C1143" s="19">
        <v>30213.77</v>
      </c>
    </row>
    <row r="1144" spans="1:3" ht="15" x14ac:dyDescent="0.25">
      <c r="A1144" s="122" t="s">
        <v>2566</v>
      </c>
      <c r="B1144" s="3" t="s">
        <v>2567</v>
      </c>
      <c r="C1144" s="19">
        <v>27372.33</v>
      </c>
    </row>
    <row r="1145" spans="1:3" ht="15" x14ac:dyDescent="0.25">
      <c r="A1145" s="122" t="s">
        <v>2568</v>
      </c>
      <c r="B1145" s="3" t="s">
        <v>2569</v>
      </c>
      <c r="C1145" s="19">
        <v>15875</v>
      </c>
    </row>
    <row r="1146" spans="1:3" ht="15" x14ac:dyDescent="0.25">
      <c r="A1146" s="122" t="s">
        <v>2570</v>
      </c>
      <c r="B1146" s="3" t="s">
        <v>2571</v>
      </c>
      <c r="C1146" s="19">
        <v>85620</v>
      </c>
    </row>
    <row r="1147" spans="1:3" ht="15" x14ac:dyDescent="0.25">
      <c r="A1147" s="122" t="s">
        <v>2572</v>
      </c>
      <c r="B1147" s="3" t="s">
        <v>2573</v>
      </c>
      <c r="C1147" s="19">
        <v>9752.42</v>
      </c>
    </row>
    <row r="1148" spans="1:3" ht="15" x14ac:dyDescent="0.25">
      <c r="A1148" s="122" t="s">
        <v>2574</v>
      </c>
      <c r="B1148" s="3" t="s">
        <v>2575</v>
      </c>
      <c r="C1148" s="19">
        <v>9529.5399999999991</v>
      </c>
    </row>
    <row r="1149" spans="1:3" ht="15" x14ac:dyDescent="0.25">
      <c r="A1149" s="122" t="s">
        <v>2576</v>
      </c>
      <c r="B1149" s="3" t="s">
        <v>2577</v>
      </c>
      <c r="C1149" s="19">
        <v>9504.61</v>
      </c>
    </row>
    <row r="1150" spans="1:3" ht="15" x14ac:dyDescent="0.25">
      <c r="A1150" s="122" t="s">
        <v>2578</v>
      </c>
      <c r="B1150" s="3" t="s">
        <v>2579</v>
      </c>
      <c r="C1150" s="19">
        <v>21441.3</v>
      </c>
    </row>
    <row r="1151" spans="1:3" ht="15" x14ac:dyDescent="0.25">
      <c r="A1151" s="122" t="s">
        <v>2580</v>
      </c>
      <c r="B1151" s="3" t="s">
        <v>2581</v>
      </c>
      <c r="C1151" s="19">
        <v>8795.409999999998</v>
      </c>
    </row>
    <row r="1152" spans="1:3" ht="15" x14ac:dyDescent="0.25">
      <c r="A1152" s="122" t="s">
        <v>2582</v>
      </c>
      <c r="B1152" s="3" t="s">
        <v>2583</v>
      </c>
      <c r="C1152" s="19">
        <v>9338.0500000000011</v>
      </c>
    </row>
    <row r="1153" spans="1:3" ht="15" x14ac:dyDescent="0.25">
      <c r="A1153" s="122" t="s">
        <v>2584</v>
      </c>
      <c r="B1153" s="3" t="s">
        <v>2585</v>
      </c>
      <c r="C1153" s="19">
        <v>226783.7</v>
      </c>
    </row>
    <row r="1154" spans="1:3" ht="15" x14ac:dyDescent="0.25">
      <c r="A1154" s="122" t="s">
        <v>2586</v>
      </c>
      <c r="B1154" s="3" t="s">
        <v>2587</v>
      </c>
      <c r="C1154" s="19">
        <v>3725.4200000000019</v>
      </c>
    </row>
    <row r="1155" spans="1:3" ht="15" x14ac:dyDescent="0.25">
      <c r="A1155" s="122" t="s">
        <v>2588</v>
      </c>
      <c r="B1155" s="3" t="s">
        <v>2589</v>
      </c>
      <c r="C1155" s="19">
        <v>20984.95</v>
      </c>
    </row>
    <row r="1156" spans="1:3" ht="15" x14ac:dyDescent="0.25">
      <c r="A1156" s="122" t="s">
        <v>2590</v>
      </c>
      <c r="B1156" s="3" t="s">
        <v>2591</v>
      </c>
      <c r="C1156" s="19">
        <v>68195.489999999991</v>
      </c>
    </row>
    <row r="1157" spans="1:3" ht="15" x14ac:dyDescent="0.25">
      <c r="A1157" s="122" t="s">
        <v>2592</v>
      </c>
      <c r="B1157" s="3" t="s">
        <v>2593</v>
      </c>
      <c r="C1157" s="19">
        <v>16000</v>
      </c>
    </row>
    <row r="1158" spans="1:3" ht="15" x14ac:dyDescent="0.25">
      <c r="A1158" s="122" t="s">
        <v>2594</v>
      </c>
      <c r="B1158" s="3" t="s">
        <v>2595</v>
      </c>
      <c r="C1158" s="19">
        <v>62526.649999999972</v>
      </c>
    </row>
    <row r="1159" spans="1:3" ht="15" x14ac:dyDescent="0.25">
      <c r="A1159" s="122" t="s">
        <v>2596</v>
      </c>
      <c r="B1159" s="3" t="s">
        <v>2597</v>
      </c>
      <c r="C1159" s="19">
        <v>27057.1</v>
      </c>
    </row>
    <row r="1160" spans="1:3" ht="15" x14ac:dyDescent="0.25">
      <c r="A1160" s="122" t="s">
        <v>2598</v>
      </c>
      <c r="B1160" s="3" t="s">
        <v>2599</v>
      </c>
      <c r="C1160" s="19">
        <v>36258.950000000004</v>
      </c>
    </row>
    <row r="1161" spans="1:3" ht="15" x14ac:dyDescent="0.25">
      <c r="A1161" s="122" t="s">
        <v>2600</v>
      </c>
      <c r="B1161" s="3" t="s">
        <v>2601</v>
      </c>
      <c r="C1161" s="19">
        <v>46907.439999999988</v>
      </c>
    </row>
    <row r="1162" spans="1:3" ht="15" x14ac:dyDescent="0.25">
      <c r="A1162" s="122" t="s">
        <v>2602</v>
      </c>
      <c r="B1162" s="3" t="s">
        <v>2603</v>
      </c>
      <c r="C1162" s="19">
        <v>24030.799999999999</v>
      </c>
    </row>
    <row r="1163" spans="1:3" ht="15" x14ac:dyDescent="0.25">
      <c r="A1163" s="122" t="s">
        <v>2604</v>
      </c>
      <c r="B1163" s="3" t="s">
        <v>2605</v>
      </c>
      <c r="C1163" s="19">
        <v>311080.5199999999</v>
      </c>
    </row>
    <row r="1164" spans="1:3" ht="15" x14ac:dyDescent="0.25">
      <c r="A1164" s="122" t="s">
        <v>2606</v>
      </c>
      <c r="B1164" s="3" t="s">
        <v>2607</v>
      </c>
      <c r="C1164" s="19">
        <v>2238630.98</v>
      </c>
    </row>
    <row r="1165" spans="1:3" ht="15" x14ac:dyDescent="0.25">
      <c r="A1165" s="122" t="s">
        <v>2608</v>
      </c>
      <c r="B1165" s="3" t="s">
        <v>2609</v>
      </c>
      <c r="C1165" s="19">
        <v>24387.21</v>
      </c>
    </row>
    <row r="1166" spans="1:3" ht="15" x14ac:dyDescent="0.25">
      <c r="A1166" s="122" t="s">
        <v>2610</v>
      </c>
      <c r="B1166" s="3" t="s">
        <v>2611</v>
      </c>
      <c r="C1166" s="19">
        <v>40286.559999999998</v>
      </c>
    </row>
    <row r="1167" spans="1:3" ht="15" x14ac:dyDescent="0.25">
      <c r="A1167" s="122" t="s">
        <v>2612</v>
      </c>
      <c r="B1167" s="3" t="s">
        <v>2613</v>
      </c>
      <c r="C1167" s="19">
        <v>10540.15</v>
      </c>
    </row>
    <row r="1168" spans="1:3" ht="15" x14ac:dyDescent="0.25">
      <c r="A1168" s="122" t="s">
        <v>2614</v>
      </c>
      <c r="B1168" s="3" t="s">
        <v>2615</v>
      </c>
      <c r="C1168" s="19">
        <v>9369.869999999999</v>
      </c>
    </row>
    <row r="1169" spans="1:3" ht="15" x14ac:dyDescent="0.25">
      <c r="A1169" s="122" t="s">
        <v>2616</v>
      </c>
      <c r="B1169" s="3" t="s">
        <v>2617</v>
      </c>
      <c r="C1169" s="19">
        <v>2011.41</v>
      </c>
    </row>
    <row r="1170" spans="1:3" ht="15" x14ac:dyDescent="0.25">
      <c r="A1170" s="122" t="s">
        <v>2618</v>
      </c>
      <c r="B1170" s="3" t="s">
        <v>2619</v>
      </c>
      <c r="C1170" s="19">
        <v>34510.04</v>
      </c>
    </row>
    <row r="1171" spans="1:3" ht="15" x14ac:dyDescent="0.25">
      <c r="A1171" s="122" t="s">
        <v>2620</v>
      </c>
      <c r="B1171" s="3" t="s">
        <v>2621</v>
      </c>
      <c r="C1171" s="19">
        <v>37591.49</v>
      </c>
    </row>
    <row r="1172" spans="1:3" ht="15" x14ac:dyDescent="0.25">
      <c r="A1172" s="122" t="s">
        <v>2622</v>
      </c>
      <c r="B1172" s="3" t="s">
        <v>2623</v>
      </c>
      <c r="C1172" s="19">
        <v>387311.1</v>
      </c>
    </row>
    <row r="1173" spans="1:3" ht="15" x14ac:dyDescent="0.25">
      <c r="A1173" s="122" t="s">
        <v>2624</v>
      </c>
      <c r="B1173" s="3" t="s">
        <v>2625</v>
      </c>
      <c r="C1173" s="19">
        <v>134447.37000000002</v>
      </c>
    </row>
    <row r="1174" spans="1:3" ht="15" x14ac:dyDescent="0.25">
      <c r="A1174" s="122" t="s">
        <v>2626</v>
      </c>
      <c r="B1174" s="3" t="s">
        <v>2627</v>
      </c>
      <c r="C1174" s="19">
        <v>12050</v>
      </c>
    </row>
    <row r="1175" spans="1:3" ht="15" x14ac:dyDescent="0.25">
      <c r="A1175" s="122" t="s">
        <v>2628</v>
      </c>
      <c r="B1175" s="3" t="s">
        <v>2629</v>
      </c>
      <c r="C1175" s="19">
        <v>481421.21</v>
      </c>
    </row>
    <row r="1176" spans="1:3" ht="15" x14ac:dyDescent="0.25">
      <c r="A1176" s="122" t="s">
        <v>2630</v>
      </c>
      <c r="B1176" s="3" t="s">
        <v>2631</v>
      </c>
      <c r="C1176" s="19">
        <v>6612</v>
      </c>
    </row>
    <row r="1177" spans="1:3" ht="15" x14ac:dyDescent="0.25">
      <c r="A1177" s="122" t="s">
        <v>2632</v>
      </c>
      <c r="B1177" s="3" t="s">
        <v>2633</v>
      </c>
      <c r="C1177" s="19">
        <v>33265</v>
      </c>
    </row>
    <row r="1178" spans="1:3" ht="15" x14ac:dyDescent="0.25">
      <c r="A1178" s="122" t="s">
        <v>2634</v>
      </c>
      <c r="B1178" s="3" t="s">
        <v>2635</v>
      </c>
      <c r="C1178" s="19">
        <v>143470.66</v>
      </c>
    </row>
    <row r="1179" spans="1:3" ht="15" x14ac:dyDescent="0.25">
      <c r="A1179" s="122" t="s">
        <v>2636</v>
      </c>
      <c r="B1179" s="3" t="s">
        <v>2637</v>
      </c>
      <c r="C1179" s="19">
        <v>23286.190000000002</v>
      </c>
    </row>
    <row r="1180" spans="1:3" ht="15" x14ac:dyDescent="0.25">
      <c r="A1180" s="122" t="s">
        <v>2638</v>
      </c>
      <c r="B1180" s="3" t="s">
        <v>2639</v>
      </c>
      <c r="C1180" s="19">
        <v>54984.549999999996</v>
      </c>
    </row>
    <row r="1181" spans="1:3" ht="15" x14ac:dyDescent="0.25">
      <c r="A1181" s="122" t="s">
        <v>2640</v>
      </c>
      <c r="B1181" s="3" t="s">
        <v>2641</v>
      </c>
      <c r="C1181" s="19">
        <v>165004.04</v>
      </c>
    </row>
    <row r="1182" spans="1:3" ht="15" x14ac:dyDescent="0.25">
      <c r="A1182" s="122" t="s">
        <v>2642</v>
      </c>
      <c r="B1182" s="3" t="s">
        <v>2643</v>
      </c>
      <c r="C1182" s="19">
        <v>66580.11</v>
      </c>
    </row>
    <row r="1183" spans="1:3" ht="15" x14ac:dyDescent="0.25">
      <c r="A1183" s="122" t="s">
        <v>2644</v>
      </c>
      <c r="B1183" s="3" t="s">
        <v>2645</v>
      </c>
      <c r="C1183" s="19">
        <v>40645.979999999989</v>
      </c>
    </row>
    <row r="1184" spans="1:3" ht="15" x14ac:dyDescent="0.25">
      <c r="A1184" s="122" t="s">
        <v>2646</v>
      </c>
      <c r="B1184" s="3" t="s">
        <v>2647</v>
      </c>
      <c r="C1184" s="19">
        <v>360270.56</v>
      </c>
    </row>
    <row r="1185" spans="1:3" ht="15" x14ac:dyDescent="0.25">
      <c r="A1185" s="122" t="s">
        <v>2648</v>
      </c>
      <c r="B1185" s="3" t="s">
        <v>2649</v>
      </c>
      <c r="C1185" s="19">
        <v>10267.900000000001</v>
      </c>
    </row>
    <row r="1186" spans="1:3" ht="15" x14ac:dyDescent="0.25">
      <c r="A1186" s="122" t="s">
        <v>2650</v>
      </c>
      <c r="B1186" s="3" t="s">
        <v>2651</v>
      </c>
      <c r="C1186" s="19">
        <v>112435.57</v>
      </c>
    </row>
    <row r="1187" spans="1:3" ht="15" x14ac:dyDescent="0.25">
      <c r="A1187" s="122" t="s">
        <v>2652</v>
      </c>
      <c r="B1187" s="3" t="s">
        <v>2653</v>
      </c>
      <c r="C1187" s="19">
        <v>36527.799999999996</v>
      </c>
    </row>
    <row r="1188" spans="1:3" ht="15" x14ac:dyDescent="0.25">
      <c r="A1188" s="122" t="s">
        <v>2654</v>
      </c>
      <c r="B1188" s="3" t="s">
        <v>2655</v>
      </c>
      <c r="C1188" s="19">
        <v>19633.079999999998</v>
      </c>
    </row>
    <row r="1189" spans="1:3" ht="15" x14ac:dyDescent="0.25">
      <c r="A1189" s="122" t="s">
        <v>2656</v>
      </c>
      <c r="B1189" s="3" t="s">
        <v>2657</v>
      </c>
      <c r="C1189" s="19">
        <v>22423.37</v>
      </c>
    </row>
    <row r="1190" spans="1:3" ht="15" x14ac:dyDescent="0.25">
      <c r="A1190" s="122" t="s">
        <v>2658</v>
      </c>
      <c r="B1190" s="3" t="s">
        <v>2659</v>
      </c>
      <c r="C1190" s="19">
        <v>230170.81999999998</v>
      </c>
    </row>
    <row r="1191" spans="1:3" ht="15" x14ac:dyDescent="0.25">
      <c r="A1191" s="122" t="s">
        <v>2660</v>
      </c>
      <c r="B1191" s="3" t="s">
        <v>2661</v>
      </c>
      <c r="C1191" s="19">
        <v>5375.4800000000005</v>
      </c>
    </row>
    <row r="1192" spans="1:3" ht="15" x14ac:dyDescent="0.25">
      <c r="A1192" s="122" t="s">
        <v>2662</v>
      </c>
      <c r="B1192" s="3" t="s">
        <v>2663</v>
      </c>
      <c r="C1192" s="19">
        <v>5155.5</v>
      </c>
    </row>
    <row r="1193" spans="1:3" ht="15" x14ac:dyDescent="0.25">
      <c r="A1193" s="122" t="s">
        <v>2664</v>
      </c>
      <c r="B1193" s="3" t="s">
        <v>2665</v>
      </c>
      <c r="C1193" s="19">
        <v>51740.6</v>
      </c>
    </row>
    <row r="1194" spans="1:3" ht="15" x14ac:dyDescent="0.25">
      <c r="A1194" s="122" t="s">
        <v>2666</v>
      </c>
      <c r="B1194" s="3" t="s">
        <v>2667</v>
      </c>
      <c r="C1194" s="19">
        <v>7172.24</v>
      </c>
    </row>
    <row r="1195" spans="1:3" ht="15" x14ac:dyDescent="0.25">
      <c r="A1195" s="122" t="s">
        <v>2668</v>
      </c>
      <c r="B1195" s="3" t="s">
        <v>2669</v>
      </c>
      <c r="C1195" s="19">
        <v>59692.94</v>
      </c>
    </row>
    <row r="1196" spans="1:3" ht="15" x14ac:dyDescent="0.25">
      <c r="A1196" s="122" t="s">
        <v>2670</v>
      </c>
      <c r="B1196" s="3" t="s">
        <v>2671</v>
      </c>
      <c r="C1196" s="19">
        <v>55741.27</v>
      </c>
    </row>
    <row r="1197" spans="1:3" ht="15" x14ac:dyDescent="0.25">
      <c r="A1197" s="122" t="s">
        <v>2672</v>
      </c>
      <c r="B1197" s="3" t="s">
        <v>2673</v>
      </c>
      <c r="C1197" s="19">
        <v>66735.89</v>
      </c>
    </row>
    <row r="1198" spans="1:3" ht="15" x14ac:dyDescent="0.25">
      <c r="A1198" s="122" t="s">
        <v>2674</v>
      </c>
      <c r="B1198" s="3" t="s">
        <v>2675</v>
      </c>
      <c r="C1198" s="19">
        <v>10751.28</v>
      </c>
    </row>
    <row r="1199" spans="1:3" ht="15" x14ac:dyDescent="0.25">
      <c r="A1199" s="122" t="s">
        <v>2676</v>
      </c>
      <c r="B1199" s="3" t="s">
        <v>2677</v>
      </c>
      <c r="C1199" s="19">
        <v>29553.360000000001</v>
      </c>
    </row>
    <row r="1200" spans="1:3" ht="15" x14ac:dyDescent="0.25">
      <c r="A1200" s="122" t="s">
        <v>2678</v>
      </c>
      <c r="B1200" s="3" t="s">
        <v>2679</v>
      </c>
      <c r="C1200" s="19">
        <v>5529.4899999999989</v>
      </c>
    </row>
    <row r="1201" spans="1:3" ht="15" x14ac:dyDescent="0.25">
      <c r="A1201" s="122" t="s">
        <v>2680</v>
      </c>
      <c r="B1201" s="3" t="s">
        <v>2681</v>
      </c>
      <c r="C1201" s="19">
        <v>68468.040000000008</v>
      </c>
    </row>
    <row r="1202" spans="1:3" ht="15" x14ac:dyDescent="0.25">
      <c r="A1202" s="122" t="s">
        <v>2682</v>
      </c>
      <c r="B1202" s="3" t="s">
        <v>2683</v>
      </c>
      <c r="C1202" s="19">
        <v>11689.009999999998</v>
      </c>
    </row>
    <row r="1203" spans="1:3" ht="15" x14ac:dyDescent="0.25">
      <c r="A1203" s="122" t="s">
        <v>2684</v>
      </c>
      <c r="B1203" s="3" t="s">
        <v>2685</v>
      </c>
      <c r="C1203" s="19">
        <v>79615.409999999989</v>
      </c>
    </row>
    <row r="1204" spans="1:3" ht="15" x14ac:dyDescent="0.25">
      <c r="A1204" s="122" t="s">
        <v>2686</v>
      </c>
      <c r="B1204" s="3" t="s">
        <v>2687</v>
      </c>
      <c r="C1204" s="19">
        <v>281652.8</v>
      </c>
    </row>
    <row r="1205" spans="1:3" ht="15" x14ac:dyDescent="0.25">
      <c r="A1205" s="122" t="s">
        <v>2688</v>
      </c>
      <c r="B1205" s="3" t="s">
        <v>2689</v>
      </c>
      <c r="C1205" s="19">
        <v>76817.210000000006</v>
      </c>
    </row>
    <row r="1206" spans="1:3" ht="15" x14ac:dyDescent="0.25">
      <c r="A1206" s="122" t="s">
        <v>2690</v>
      </c>
      <c r="B1206" s="3" t="s">
        <v>2691</v>
      </c>
      <c r="C1206" s="19">
        <v>33259.82</v>
      </c>
    </row>
    <row r="1207" spans="1:3" ht="15" x14ac:dyDescent="0.25">
      <c r="A1207" s="122" t="s">
        <v>2692</v>
      </c>
      <c r="B1207" s="3" t="s">
        <v>2693</v>
      </c>
      <c r="C1207" s="19">
        <v>52468.26</v>
      </c>
    </row>
    <row r="1208" spans="1:3" ht="15" x14ac:dyDescent="0.25">
      <c r="A1208" s="122" t="s">
        <v>2694</v>
      </c>
      <c r="B1208" s="3" t="s">
        <v>2695</v>
      </c>
      <c r="C1208" s="19">
        <v>112110</v>
      </c>
    </row>
    <row r="1209" spans="1:3" ht="15" x14ac:dyDescent="0.25">
      <c r="A1209" s="122" t="s">
        <v>2696</v>
      </c>
      <c r="B1209" s="3" t="s">
        <v>2697</v>
      </c>
      <c r="C1209" s="19">
        <v>11188.09</v>
      </c>
    </row>
    <row r="1210" spans="1:3" ht="15" x14ac:dyDescent="0.25">
      <c r="A1210" s="122" t="s">
        <v>2698</v>
      </c>
      <c r="B1210" s="3" t="s">
        <v>2699</v>
      </c>
      <c r="C1210" s="19">
        <v>3536.65</v>
      </c>
    </row>
    <row r="1211" spans="1:3" ht="15" x14ac:dyDescent="0.25">
      <c r="A1211" s="122" t="s">
        <v>2700</v>
      </c>
      <c r="B1211" s="3" t="s">
        <v>2701</v>
      </c>
      <c r="C1211" s="19">
        <v>60440.290000000008</v>
      </c>
    </row>
    <row r="1212" spans="1:3" ht="15" x14ac:dyDescent="0.25">
      <c r="A1212" s="122" t="s">
        <v>2702</v>
      </c>
      <c r="B1212" s="3" t="s">
        <v>2703</v>
      </c>
      <c r="C1212" s="19">
        <v>93806.099999999977</v>
      </c>
    </row>
    <row r="1213" spans="1:3" ht="15" x14ac:dyDescent="0.25">
      <c r="A1213" s="122" t="s">
        <v>2704</v>
      </c>
      <c r="B1213" s="3" t="s">
        <v>2705</v>
      </c>
      <c r="C1213" s="19">
        <v>142138.51999999999</v>
      </c>
    </row>
    <row r="1214" spans="1:3" ht="15" x14ac:dyDescent="0.25">
      <c r="A1214" s="122" t="s">
        <v>2706</v>
      </c>
      <c r="B1214" s="3" t="s">
        <v>2707</v>
      </c>
      <c r="C1214" s="19">
        <v>14466.16</v>
      </c>
    </row>
    <row r="1215" spans="1:3" ht="15" x14ac:dyDescent="0.25">
      <c r="A1215" s="122" t="s">
        <v>2708</v>
      </c>
      <c r="B1215" s="3" t="s">
        <v>2709</v>
      </c>
      <c r="C1215" s="19">
        <v>405.36</v>
      </c>
    </row>
    <row r="1216" spans="1:3" ht="15" x14ac:dyDescent="0.25">
      <c r="A1216" s="122" t="s">
        <v>2710</v>
      </c>
      <c r="B1216" s="3" t="s">
        <v>2711</v>
      </c>
      <c r="C1216" s="19">
        <v>0</v>
      </c>
    </row>
    <row r="1217" spans="1:3" ht="15" x14ac:dyDescent="0.25">
      <c r="A1217" s="122" t="s">
        <v>2712</v>
      </c>
      <c r="B1217" s="3" t="s">
        <v>2713</v>
      </c>
      <c r="C1217" s="19">
        <v>170283.84</v>
      </c>
    </row>
    <row r="1218" spans="1:3" ht="15" x14ac:dyDescent="0.25">
      <c r="A1218" s="122" t="s">
        <v>2714</v>
      </c>
      <c r="B1218" s="3" t="s">
        <v>2715</v>
      </c>
      <c r="C1218" s="19">
        <v>-2366.63</v>
      </c>
    </row>
    <row r="1219" spans="1:3" ht="15" x14ac:dyDescent="0.25">
      <c r="A1219" s="122" t="s">
        <v>2716</v>
      </c>
      <c r="B1219" s="3" t="s">
        <v>2717</v>
      </c>
      <c r="C1219" s="19">
        <v>234808.41999999978</v>
      </c>
    </row>
    <row r="1220" spans="1:3" ht="15" x14ac:dyDescent="0.25">
      <c r="A1220" s="122" t="s">
        <v>2718</v>
      </c>
      <c r="B1220" s="3" t="s">
        <v>2719</v>
      </c>
      <c r="C1220" s="19">
        <v>9874.369999999999</v>
      </c>
    </row>
    <row r="1221" spans="1:3" ht="15" x14ac:dyDescent="0.25">
      <c r="A1221" s="122" t="s">
        <v>2720</v>
      </c>
      <c r="B1221" s="3" t="s">
        <v>2721</v>
      </c>
      <c r="C1221" s="19">
        <v>1015209.14</v>
      </c>
    </row>
    <row r="1222" spans="1:3" ht="15" x14ac:dyDescent="0.25">
      <c r="A1222" s="122" t="s">
        <v>2722</v>
      </c>
      <c r="B1222" s="3" t="s">
        <v>2723</v>
      </c>
      <c r="C1222" s="19">
        <v>1.999999999998181E-2</v>
      </c>
    </row>
    <row r="1223" spans="1:3" ht="15" x14ac:dyDescent="0.25">
      <c r="A1223" s="122" t="s">
        <v>2724</v>
      </c>
      <c r="B1223" s="3" t="s">
        <v>2725</v>
      </c>
      <c r="C1223" s="19">
        <v>307690.80000000005</v>
      </c>
    </row>
    <row r="1224" spans="1:3" ht="15" x14ac:dyDescent="0.25">
      <c r="A1224" s="122" t="s">
        <v>2726</v>
      </c>
      <c r="B1224" s="3" t="s">
        <v>2727</v>
      </c>
      <c r="C1224" s="19">
        <v>4735015.5500000007</v>
      </c>
    </row>
    <row r="1225" spans="1:3" ht="15" x14ac:dyDescent="0.25">
      <c r="A1225" s="122" t="s">
        <v>2728</v>
      </c>
      <c r="B1225" s="3" t="s">
        <v>2729</v>
      </c>
      <c r="C1225" s="19">
        <v>9338.0500000000011</v>
      </c>
    </row>
    <row r="1226" spans="1:3" ht="15" x14ac:dyDescent="0.25">
      <c r="A1226" s="122" t="s">
        <v>2730</v>
      </c>
      <c r="B1226" s="3" t="s">
        <v>2731</v>
      </c>
      <c r="C1226" s="19">
        <v>9338.0500000000047</v>
      </c>
    </row>
    <row r="1227" spans="1:3" ht="15" x14ac:dyDescent="0.25">
      <c r="A1227" s="122" t="s">
        <v>2732</v>
      </c>
      <c r="B1227" s="3" t="s">
        <v>2733</v>
      </c>
      <c r="C1227" s="19">
        <v>109127.84</v>
      </c>
    </row>
    <row r="1228" spans="1:3" ht="15" x14ac:dyDescent="0.25">
      <c r="A1228" s="122" t="s">
        <v>2734</v>
      </c>
      <c r="B1228" s="3" t="s">
        <v>2735</v>
      </c>
      <c r="C1228" s="19">
        <v>45900.209999999985</v>
      </c>
    </row>
    <row r="1229" spans="1:3" ht="15" x14ac:dyDescent="0.25">
      <c r="A1229" s="122" t="s">
        <v>2736</v>
      </c>
      <c r="B1229" s="3" t="s">
        <v>2737</v>
      </c>
      <c r="C1229" s="19">
        <v>-443.21999999999997</v>
      </c>
    </row>
    <row r="1230" spans="1:3" ht="15" x14ac:dyDescent="0.25">
      <c r="A1230" s="122" t="s">
        <v>2738</v>
      </c>
      <c r="B1230" s="3" t="s">
        <v>2739</v>
      </c>
      <c r="C1230" s="19">
        <v>0</v>
      </c>
    </row>
    <row r="1231" spans="1:3" ht="15" x14ac:dyDescent="0.25">
      <c r="A1231" s="122" t="s">
        <v>2740</v>
      </c>
      <c r="B1231" s="3" t="s">
        <v>2741</v>
      </c>
      <c r="C1231" s="19">
        <v>9249.8399999999983</v>
      </c>
    </row>
    <row r="1232" spans="1:3" ht="15" x14ac:dyDescent="0.25">
      <c r="A1232" s="122" t="s">
        <v>2742</v>
      </c>
      <c r="B1232" s="3" t="s">
        <v>2743</v>
      </c>
      <c r="C1232" s="19">
        <v>-1356.42</v>
      </c>
    </row>
    <row r="1233" spans="1:3" ht="15" x14ac:dyDescent="0.25">
      <c r="A1233" s="122" t="s">
        <v>2744</v>
      </c>
      <c r="B1233" s="3" t="s">
        <v>2745</v>
      </c>
      <c r="C1233" s="19">
        <v>10166.92</v>
      </c>
    </row>
    <row r="1234" spans="1:3" ht="15" x14ac:dyDescent="0.25">
      <c r="A1234" s="122" t="s">
        <v>2746</v>
      </c>
      <c r="B1234" s="3" t="s">
        <v>2747</v>
      </c>
      <c r="C1234" s="19">
        <v>-2691.78</v>
      </c>
    </row>
    <row r="1235" spans="1:3" ht="15" x14ac:dyDescent="0.25">
      <c r="A1235" s="122" t="s">
        <v>2748</v>
      </c>
      <c r="B1235" s="3" t="s">
        <v>2749</v>
      </c>
      <c r="C1235" s="19">
        <v>919.3999999999993</v>
      </c>
    </row>
    <row r="1236" spans="1:3" ht="15" x14ac:dyDescent="0.25">
      <c r="A1236" s="122" t="s">
        <v>2750</v>
      </c>
      <c r="B1236" s="3" t="s">
        <v>2751</v>
      </c>
      <c r="C1236" s="19">
        <v>22459.9</v>
      </c>
    </row>
    <row r="1237" spans="1:3" ht="15" x14ac:dyDescent="0.25">
      <c r="A1237" s="122" t="s">
        <v>2752</v>
      </c>
      <c r="B1237" s="3" t="s">
        <v>2753</v>
      </c>
      <c r="C1237" s="19">
        <v>0</v>
      </c>
    </row>
    <row r="1238" spans="1:3" ht="15" x14ac:dyDescent="0.25">
      <c r="A1238" s="122" t="s">
        <v>2754</v>
      </c>
      <c r="B1238" s="3" t="s">
        <v>2755</v>
      </c>
      <c r="C1238" s="19">
        <v>92.4</v>
      </c>
    </row>
    <row r="1239" spans="1:3" ht="15" x14ac:dyDescent="0.25">
      <c r="A1239" s="122" t="s">
        <v>2756</v>
      </c>
      <c r="B1239" s="3" t="s">
        <v>2757</v>
      </c>
      <c r="C1239" s="19">
        <v>-10670.88</v>
      </c>
    </row>
    <row r="1240" spans="1:3" ht="15" x14ac:dyDescent="0.25">
      <c r="A1240" s="122" t="s">
        <v>2758</v>
      </c>
      <c r="B1240" s="3" t="s">
        <v>2759</v>
      </c>
      <c r="C1240" s="19">
        <v>31685.659999999989</v>
      </c>
    </row>
    <row r="1241" spans="1:3" ht="15" x14ac:dyDescent="0.25">
      <c r="A1241" s="122" t="s">
        <v>2760</v>
      </c>
      <c r="B1241" s="3" t="s">
        <v>2761</v>
      </c>
      <c r="C1241" s="19">
        <v>27267.670000000013</v>
      </c>
    </row>
    <row r="1242" spans="1:3" ht="15" x14ac:dyDescent="0.25">
      <c r="A1242" s="122" t="s">
        <v>2762</v>
      </c>
      <c r="B1242" s="3" t="s">
        <v>2763</v>
      </c>
      <c r="C1242" s="19">
        <v>61600</v>
      </c>
    </row>
    <row r="1243" spans="1:3" ht="15" x14ac:dyDescent="0.25">
      <c r="A1243" s="122" t="s">
        <v>2764</v>
      </c>
      <c r="B1243" s="3" t="s">
        <v>2765</v>
      </c>
      <c r="C1243" s="19">
        <v>-6356.67</v>
      </c>
    </row>
    <row r="1244" spans="1:3" ht="15" x14ac:dyDescent="0.25">
      <c r="A1244" s="122" t="s">
        <v>2766</v>
      </c>
      <c r="B1244" s="3" t="s">
        <v>2767</v>
      </c>
      <c r="C1244" s="19">
        <v>14409.800000000001</v>
      </c>
    </row>
    <row r="1245" spans="1:3" ht="15" x14ac:dyDescent="0.25">
      <c r="A1245" s="122" t="s">
        <v>2768</v>
      </c>
      <c r="B1245" s="3" t="s">
        <v>2769</v>
      </c>
      <c r="C1245" s="19">
        <v>-3429.1200000000008</v>
      </c>
    </row>
    <row r="1246" spans="1:3" ht="15" x14ac:dyDescent="0.25">
      <c r="A1246" s="122" t="s">
        <v>2770</v>
      </c>
      <c r="B1246" s="3" t="s">
        <v>2771</v>
      </c>
      <c r="C1246" s="19">
        <v>63884.440000000039</v>
      </c>
    </row>
    <row r="1247" spans="1:3" ht="15" x14ac:dyDescent="0.25">
      <c r="A1247" s="122" t="s">
        <v>2772</v>
      </c>
      <c r="B1247" s="3" t="s">
        <v>2773</v>
      </c>
      <c r="C1247" s="19">
        <v>128541.23000000001</v>
      </c>
    </row>
    <row r="1248" spans="1:3" ht="15" x14ac:dyDescent="0.25">
      <c r="A1248" s="122" t="s">
        <v>2774</v>
      </c>
      <c r="B1248" s="3" t="s">
        <v>2775</v>
      </c>
      <c r="C1248" s="19">
        <v>523.07000000000846</v>
      </c>
    </row>
    <row r="1249" spans="1:3" ht="15" x14ac:dyDescent="0.25">
      <c r="A1249" s="122" t="s">
        <v>2776</v>
      </c>
      <c r="B1249" s="3" t="s">
        <v>2777</v>
      </c>
      <c r="C1249" s="19">
        <v>5360.21</v>
      </c>
    </row>
    <row r="1250" spans="1:3" ht="15" x14ac:dyDescent="0.25">
      <c r="A1250" s="122" t="s">
        <v>2778</v>
      </c>
      <c r="B1250" s="3" t="s">
        <v>2779</v>
      </c>
      <c r="C1250" s="19">
        <v>68978.800000000017</v>
      </c>
    </row>
    <row r="1251" spans="1:3" ht="15" x14ac:dyDescent="0.25">
      <c r="A1251" s="122" t="s">
        <v>2780</v>
      </c>
      <c r="B1251" s="3" t="s">
        <v>2781</v>
      </c>
      <c r="C1251" s="19">
        <v>27614.180000000015</v>
      </c>
    </row>
    <row r="1252" spans="1:3" ht="15" x14ac:dyDescent="0.25">
      <c r="A1252" s="122" t="s">
        <v>2782</v>
      </c>
      <c r="B1252" s="3" t="s">
        <v>2783</v>
      </c>
      <c r="C1252" s="19">
        <v>6583.0200000000032</v>
      </c>
    </row>
    <row r="1253" spans="1:3" ht="15" x14ac:dyDescent="0.25">
      <c r="A1253" s="122" t="s">
        <v>2784</v>
      </c>
      <c r="B1253" s="3" t="s">
        <v>2785</v>
      </c>
      <c r="C1253" s="19">
        <v>32468.020000000011</v>
      </c>
    </row>
    <row r="1254" spans="1:3" ht="15" x14ac:dyDescent="0.25">
      <c r="A1254" s="122" t="s">
        <v>2786</v>
      </c>
      <c r="B1254" s="3" t="s">
        <v>2787</v>
      </c>
      <c r="C1254" s="19">
        <v>11587.330000000002</v>
      </c>
    </row>
    <row r="1255" spans="1:3" ht="15" x14ac:dyDescent="0.25">
      <c r="A1255" s="122" t="s">
        <v>2788</v>
      </c>
      <c r="B1255" s="3" t="s">
        <v>2789</v>
      </c>
      <c r="C1255" s="19">
        <v>242869.86999999991</v>
      </c>
    </row>
    <row r="1256" spans="1:3" ht="15" x14ac:dyDescent="0.25">
      <c r="A1256" s="122" t="s">
        <v>2790</v>
      </c>
      <c r="B1256" s="3" t="s">
        <v>2791</v>
      </c>
      <c r="C1256" s="19">
        <v>15147.27</v>
      </c>
    </row>
    <row r="1257" spans="1:3" ht="15" x14ac:dyDescent="0.25">
      <c r="A1257" s="122" t="s">
        <v>2792</v>
      </c>
      <c r="B1257" s="3" t="s">
        <v>2793</v>
      </c>
      <c r="C1257" s="19">
        <v>1105.07</v>
      </c>
    </row>
    <row r="1258" spans="1:3" ht="15" x14ac:dyDescent="0.25">
      <c r="A1258" s="122" t="s">
        <v>2794</v>
      </c>
      <c r="B1258" s="3" t="s">
        <v>2795</v>
      </c>
      <c r="C1258" s="19">
        <v>24374.969999999998</v>
      </c>
    </row>
    <row r="1259" spans="1:3" ht="15" x14ac:dyDescent="0.25">
      <c r="A1259" s="122" t="s">
        <v>2796</v>
      </c>
      <c r="B1259" s="3" t="s">
        <v>2797</v>
      </c>
      <c r="C1259" s="19">
        <v>9716.32</v>
      </c>
    </row>
    <row r="1260" spans="1:3" ht="15" x14ac:dyDescent="0.25">
      <c r="A1260" s="122" t="s">
        <v>2798</v>
      </c>
      <c r="B1260" s="3" t="s">
        <v>2799</v>
      </c>
      <c r="C1260" s="19">
        <v>1425035.3600000006</v>
      </c>
    </row>
    <row r="1261" spans="1:3" ht="15" x14ac:dyDescent="0.25">
      <c r="A1261" s="122" t="s">
        <v>2800</v>
      </c>
      <c r="B1261" s="3" t="s">
        <v>2801</v>
      </c>
      <c r="C1261" s="19">
        <v>758263.85000000009</v>
      </c>
    </row>
    <row r="1262" spans="1:3" ht="15" x14ac:dyDescent="0.25">
      <c r="A1262" s="122" t="s">
        <v>2802</v>
      </c>
      <c r="B1262" s="3" t="s">
        <v>2803</v>
      </c>
      <c r="C1262" s="19">
        <v>363.29999999999995</v>
      </c>
    </row>
    <row r="1263" spans="1:3" ht="15" x14ac:dyDescent="0.25">
      <c r="A1263" s="122" t="s">
        <v>2804</v>
      </c>
      <c r="B1263" s="3" t="s">
        <v>2805</v>
      </c>
      <c r="C1263" s="19">
        <v>199.01999999999995</v>
      </c>
    </row>
    <row r="1264" spans="1:3" ht="15" x14ac:dyDescent="0.25">
      <c r="A1264" s="122" t="s">
        <v>2806</v>
      </c>
      <c r="B1264" s="3" t="s">
        <v>2806</v>
      </c>
      <c r="C1264" s="19">
        <v>57702.849999999984</v>
      </c>
    </row>
    <row r="1265" spans="1:3" ht="15" x14ac:dyDescent="0.25">
      <c r="A1265" s="122" t="s">
        <v>2807</v>
      </c>
      <c r="B1265" s="3" t="s">
        <v>2808</v>
      </c>
      <c r="C1265" s="19">
        <v>129495.27000000002</v>
      </c>
    </row>
    <row r="1266" spans="1:3" ht="15" x14ac:dyDescent="0.25">
      <c r="A1266" s="122" t="s">
        <v>2809</v>
      </c>
      <c r="B1266" s="3" t="s">
        <v>2810</v>
      </c>
      <c r="C1266" s="19">
        <v>30714.899999999987</v>
      </c>
    </row>
    <row r="1267" spans="1:3" ht="15" x14ac:dyDescent="0.25">
      <c r="A1267" s="122" t="s">
        <v>2811</v>
      </c>
      <c r="B1267" s="3" t="s">
        <v>2812</v>
      </c>
      <c r="C1267" s="19">
        <v>272114.09999999992</v>
      </c>
    </row>
    <row r="1268" spans="1:3" ht="15" x14ac:dyDescent="0.25">
      <c r="A1268" s="122" t="s">
        <v>2813</v>
      </c>
      <c r="B1268" s="3" t="s">
        <v>2814</v>
      </c>
      <c r="C1268" s="19">
        <v>119929.42999999989</v>
      </c>
    </row>
    <row r="1269" spans="1:3" ht="15" x14ac:dyDescent="0.25">
      <c r="A1269" s="122" t="s">
        <v>2815</v>
      </c>
      <c r="B1269" s="3" t="s">
        <v>2816</v>
      </c>
      <c r="C1269" s="19">
        <v>344495.41000000015</v>
      </c>
    </row>
    <row r="1270" spans="1:3" ht="15" x14ac:dyDescent="0.25">
      <c r="A1270" s="122" t="s">
        <v>2817</v>
      </c>
      <c r="B1270" s="3" t="s">
        <v>2818</v>
      </c>
      <c r="C1270" s="19">
        <v>297954.18</v>
      </c>
    </row>
    <row r="1271" spans="1:3" ht="15" x14ac:dyDescent="0.25">
      <c r="A1271" s="122" t="s">
        <v>2819</v>
      </c>
      <c r="B1271" s="3" t="s">
        <v>2820</v>
      </c>
      <c r="C1271" s="19">
        <v>347798.22999999986</v>
      </c>
    </row>
    <row r="1272" spans="1:3" ht="15" x14ac:dyDescent="0.25">
      <c r="A1272" s="122" t="s">
        <v>2821</v>
      </c>
      <c r="B1272" s="3" t="s">
        <v>2822</v>
      </c>
      <c r="C1272" s="19">
        <v>365857.76000000024</v>
      </c>
    </row>
    <row r="1273" spans="1:3" ht="15" x14ac:dyDescent="0.25">
      <c r="A1273" s="122" t="s">
        <v>2823</v>
      </c>
      <c r="B1273" s="3" t="s">
        <v>2824</v>
      </c>
      <c r="C1273" s="19">
        <v>327160.43</v>
      </c>
    </row>
    <row r="1274" spans="1:3" ht="15" x14ac:dyDescent="0.25">
      <c r="A1274" s="122" t="s">
        <v>2825</v>
      </c>
      <c r="B1274" s="3" t="s">
        <v>2826</v>
      </c>
      <c r="C1274" s="19">
        <v>164014.54999999976</v>
      </c>
    </row>
    <row r="1275" spans="1:3" ht="15" x14ac:dyDescent="0.25">
      <c r="A1275" s="122" t="s">
        <v>2827</v>
      </c>
      <c r="B1275" s="3" t="s">
        <v>2828</v>
      </c>
      <c r="C1275" s="19">
        <v>255324.81000000006</v>
      </c>
    </row>
    <row r="1276" spans="1:3" ht="15" x14ac:dyDescent="0.25">
      <c r="A1276" s="122" t="s">
        <v>2829</v>
      </c>
      <c r="B1276" s="3" t="s">
        <v>2830</v>
      </c>
      <c r="C1276" s="19">
        <v>229248.34999999992</v>
      </c>
    </row>
    <row r="1277" spans="1:3" ht="15" x14ac:dyDescent="0.25">
      <c r="A1277" s="122" t="s">
        <v>2831</v>
      </c>
      <c r="B1277" s="3" t="s">
        <v>2832</v>
      </c>
      <c r="C1277" s="19">
        <v>1148569.0899999999</v>
      </c>
    </row>
    <row r="1278" spans="1:3" ht="15" x14ac:dyDescent="0.25">
      <c r="A1278" s="122" t="s">
        <v>2833</v>
      </c>
      <c r="B1278" s="3" t="s">
        <v>2834</v>
      </c>
      <c r="C1278" s="19">
        <v>1876364.2600000014</v>
      </c>
    </row>
    <row r="1279" spans="1:3" ht="15" x14ac:dyDescent="0.25">
      <c r="A1279" s="122" t="s">
        <v>2835</v>
      </c>
      <c r="B1279" s="3" t="s">
        <v>2836</v>
      </c>
      <c r="C1279" s="19">
        <v>480816.72999999992</v>
      </c>
    </row>
    <row r="1280" spans="1:3" ht="15" x14ac:dyDescent="0.25">
      <c r="A1280" s="122" t="s">
        <v>2837</v>
      </c>
      <c r="B1280" s="3" t="s">
        <v>2838</v>
      </c>
      <c r="C1280" s="19">
        <v>268597.10999999993</v>
      </c>
    </row>
    <row r="1281" spans="1:3" ht="15" x14ac:dyDescent="0.25">
      <c r="A1281" s="122" t="s">
        <v>2839</v>
      </c>
      <c r="B1281" s="3" t="s">
        <v>2840</v>
      </c>
      <c r="C1281" s="19">
        <v>109624.0599999996</v>
      </c>
    </row>
    <row r="1282" spans="1:3" ht="15" x14ac:dyDescent="0.25">
      <c r="A1282" s="122" t="s">
        <v>2841</v>
      </c>
      <c r="B1282" s="3" t="s">
        <v>2842</v>
      </c>
      <c r="C1282" s="19">
        <v>36341.360000000001</v>
      </c>
    </row>
    <row r="1283" spans="1:3" ht="15" x14ac:dyDescent="0.25">
      <c r="A1283" s="122" t="s">
        <v>2843</v>
      </c>
      <c r="B1283" s="3" t="s">
        <v>2844</v>
      </c>
      <c r="C1283" s="19">
        <v>330808.33999999968</v>
      </c>
    </row>
    <row r="1284" spans="1:3" ht="15" x14ac:dyDescent="0.25">
      <c r="A1284" s="122" t="s">
        <v>2845</v>
      </c>
      <c r="B1284" s="3" t="s">
        <v>2846</v>
      </c>
      <c r="C1284" s="19">
        <v>285578.60000000015</v>
      </c>
    </row>
    <row r="1285" spans="1:3" ht="15" x14ac:dyDescent="0.25">
      <c r="A1285" s="122" t="s">
        <v>2847</v>
      </c>
      <c r="B1285" s="3" t="s">
        <v>2848</v>
      </c>
      <c r="C1285" s="19">
        <v>209080.44000000003</v>
      </c>
    </row>
    <row r="1286" spans="1:3" ht="15" x14ac:dyDescent="0.25">
      <c r="A1286" s="122" t="s">
        <v>2849</v>
      </c>
      <c r="B1286" s="3" t="s">
        <v>2850</v>
      </c>
      <c r="C1286" s="19">
        <v>48807.689999999981</v>
      </c>
    </row>
    <row r="1287" spans="1:3" ht="15" x14ac:dyDescent="0.25">
      <c r="A1287" s="122" t="s">
        <v>2851</v>
      </c>
      <c r="B1287" s="3" t="s">
        <v>2852</v>
      </c>
      <c r="C1287" s="19">
        <v>701519.84999999951</v>
      </c>
    </row>
    <row r="1288" spans="1:3" ht="15" x14ac:dyDescent="0.25">
      <c r="A1288" s="122" t="s">
        <v>2853</v>
      </c>
      <c r="B1288" s="3" t="s">
        <v>2854</v>
      </c>
      <c r="C1288" s="19">
        <v>275840.35999999993</v>
      </c>
    </row>
    <row r="1289" spans="1:3" ht="15" x14ac:dyDescent="0.25">
      <c r="A1289" s="122" t="s">
        <v>2855</v>
      </c>
      <c r="B1289" s="3" t="s">
        <v>2856</v>
      </c>
      <c r="C1289" s="19">
        <v>319829.3499999998</v>
      </c>
    </row>
    <row r="1290" spans="1:3" ht="15" x14ac:dyDescent="0.25">
      <c r="A1290" s="122" t="s">
        <v>2857</v>
      </c>
      <c r="B1290" s="3" t="s">
        <v>2858</v>
      </c>
      <c r="C1290" s="19">
        <v>260474.46000000002</v>
      </c>
    </row>
    <row r="1291" spans="1:3" ht="15" x14ac:dyDescent="0.25">
      <c r="A1291" s="122" t="s">
        <v>2859</v>
      </c>
      <c r="B1291" s="3" t="s">
        <v>2860</v>
      </c>
      <c r="C1291" s="19">
        <v>354070.37999999966</v>
      </c>
    </row>
    <row r="1292" spans="1:3" ht="15" x14ac:dyDescent="0.25">
      <c r="A1292" s="122" t="s">
        <v>2861</v>
      </c>
      <c r="B1292" s="3" t="s">
        <v>2862</v>
      </c>
      <c r="C1292" s="19">
        <v>307914.10999999993</v>
      </c>
    </row>
    <row r="1293" spans="1:3" ht="15" x14ac:dyDescent="0.25">
      <c r="A1293" s="122" t="s">
        <v>2863</v>
      </c>
      <c r="B1293" s="3" t="s">
        <v>2864</v>
      </c>
      <c r="C1293" s="19">
        <v>241525.00999999998</v>
      </c>
    </row>
    <row r="1294" spans="1:3" ht="15" x14ac:dyDescent="0.25">
      <c r="A1294" s="122" t="s">
        <v>2865</v>
      </c>
      <c r="B1294" s="3" t="s">
        <v>2866</v>
      </c>
      <c r="C1294" s="19">
        <v>307178.07999999955</v>
      </c>
    </row>
    <row r="1295" spans="1:3" ht="15" x14ac:dyDescent="0.25">
      <c r="A1295" s="122" t="s">
        <v>2867</v>
      </c>
      <c r="B1295" s="3" t="s">
        <v>2868</v>
      </c>
      <c r="C1295" s="19">
        <v>265846.68000000011</v>
      </c>
    </row>
    <row r="1296" spans="1:3" ht="15" x14ac:dyDescent="0.25">
      <c r="A1296" s="122" t="s">
        <v>2869</v>
      </c>
      <c r="B1296" s="3" t="s">
        <v>2870</v>
      </c>
      <c r="C1296" s="19">
        <v>261567.59999999992</v>
      </c>
    </row>
    <row r="1297" spans="1:3" ht="15" x14ac:dyDescent="0.25">
      <c r="A1297" s="122" t="s">
        <v>2871</v>
      </c>
      <c r="B1297" s="3" t="s">
        <v>2872</v>
      </c>
      <c r="C1297" s="19">
        <v>808699.83000000031</v>
      </c>
    </row>
    <row r="1298" spans="1:3" ht="15" x14ac:dyDescent="0.25">
      <c r="A1298" s="122" t="s">
        <v>2873</v>
      </c>
      <c r="B1298" s="3" t="s">
        <v>2874</v>
      </c>
      <c r="C1298" s="19">
        <v>2064170.0299999996</v>
      </c>
    </row>
    <row r="1299" spans="1:3" ht="15" x14ac:dyDescent="0.25">
      <c r="A1299" s="122" t="s">
        <v>2875</v>
      </c>
      <c r="B1299" s="3" t="s">
        <v>2876</v>
      </c>
      <c r="C1299" s="19">
        <v>471710.06000000029</v>
      </c>
    </row>
    <row r="1300" spans="1:3" ht="15" x14ac:dyDescent="0.25">
      <c r="A1300" s="122" t="s">
        <v>2877</v>
      </c>
      <c r="B1300" s="3" t="s">
        <v>2878</v>
      </c>
      <c r="C1300" s="19">
        <v>223896.82000000007</v>
      </c>
    </row>
    <row r="1301" spans="1:3" ht="15" x14ac:dyDescent="0.25">
      <c r="A1301" s="122" t="s">
        <v>2879</v>
      </c>
      <c r="B1301" s="3" t="s">
        <v>2880</v>
      </c>
      <c r="C1301" s="19">
        <v>424956.94999999995</v>
      </c>
    </row>
    <row r="1302" spans="1:3" ht="15" x14ac:dyDescent="0.25">
      <c r="A1302" s="122" t="s">
        <v>2881</v>
      </c>
      <c r="B1302" s="3" t="s">
        <v>2882</v>
      </c>
      <c r="C1302" s="19">
        <v>27713.35000000002</v>
      </c>
    </row>
    <row r="1303" spans="1:3" ht="15" x14ac:dyDescent="0.25">
      <c r="A1303" s="122" t="s">
        <v>2883</v>
      </c>
      <c r="B1303" s="3" t="s">
        <v>2884</v>
      </c>
      <c r="C1303" s="19">
        <v>339659.37000000023</v>
      </c>
    </row>
    <row r="1304" spans="1:3" ht="15" x14ac:dyDescent="0.25">
      <c r="A1304" s="122" t="s">
        <v>2885</v>
      </c>
      <c r="B1304" s="3" t="s">
        <v>2886</v>
      </c>
      <c r="C1304" s="19">
        <v>245005.14000000004</v>
      </c>
    </row>
    <row r="1305" spans="1:3" ht="15" x14ac:dyDescent="0.25">
      <c r="A1305" s="122" t="s">
        <v>2887</v>
      </c>
      <c r="B1305" s="3" t="s">
        <v>2888</v>
      </c>
      <c r="C1305" s="19">
        <v>441447.32999999984</v>
      </c>
    </row>
    <row r="1306" spans="1:3" ht="15" x14ac:dyDescent="0.25">
      <c r="A1306" s="122" t="s">
        <v>2889</v>
      </c>
      <c r="B1306" s="3" t="s">
        <v>2890</v>
      </c>
      <c r="C1306" s="19">
        <v>60581.97</v>
      </c>
    </row>
    <row r="1307" spans="1:3" ht="15" x14ac:dyDescent="0.25">
      <c r="A1307" s="122" t="s">
        <v>2891</v>
      </c>
      <c r="B1307" s="3" t="s">
        <v>2892</v>
      </c>
      <c r="C1307" s="19">
        <v>362123.16</v>
      </c>
    </row>
    <row r="1308" spans="1:3" ht="15" x14ac:dyDescent="0.25">
      <c r="A1308" s="122" t="s">
        <v>2893</v>
      </c>
      <c r="B1308" s="3" t="s">
        <v>2894</v>
      </c>
      <c r="C1308" s="19">
        <v>353368.42999999988</v>
      </c>
    </row>
    <row r="1309" spans="1:3" ht="15" x14ac:dyDescent="0.25">
      <c r="A1309" s="122" t="s">
        <v>2895</v>
      </c>
      <c r="B1309" s="3" t="s">
        <v>2896</v>
      </c>
      <c r="C1309" s="19">
        <v>326371.81999999995</v>
      </c>
    </row>
    <row r="1310" spans="1:3" ht="15" x14ac:dyDescent="0.25">
      <c r="A1310" s="122" t="s">
        <v>2897</v>
      </c>
      <c r="B1310" s="3" t="s">
        <v>2898</v>
      </c>
      <c r="C1310" s="19">
        <v>433457.56000000006</v>
      </c>
    </row>
    <row r="1311" spans="1:3" ht="15" x14ac:dyDescent="0.25">
      <c r="A1311" s="122" t="s">
        <v>2899</v>
      </c>
      <c r="B1311" s="3" t="s">
        <v>2900</v>
      </c>
      <c r="C1311" s="19">
        <v>213294.90000000008</v>
      </c>
    </row>
    <row r="1312" spans="1:3" ht="15" x14ac:dyDescent="0.25">
      <c r="A1312" s="122" t="s">
        <v>2901</v>
      </c>
      <c r="B1312" s="3" t="s">
        <v>2902</v>
      </c>
      <c r="C1312" s="19">
        <v>423322.78000000038</v>
      </c>
    </row>
    <row r="1313" spans="1:3" ht="15" x14ac:dyDescent="0.25">
      <c r="A1313" s="122" t="s">
        <v>2903</v>
      </c>
      <c r="B1313" s="3" t="s">
        <v>2904</v>
      </c>
      <c r="C1313" s="19">
        <v>466322.61000000034</v>
      </c>
    </row>
    <row r="1314" spans="1:3" ht="15" x14ac:dyDescent="0.25">
      <c r="A1314" s="122" t="s">
        <v>2905</v>
      </c>
      <c r="B1314" s="3" t="s">
        <v>2906</v>
      </c>
      <c r="C1314" s="19">
        <v>488168.33999999997</v>
      </c>
    </row>
    <row r="1315" spans="1:3" ht="15" x14ac:dyDescent="0.25">
      <c r="A1315" s="122" t="s">
        <v>2907</v>
      </c>
      <c r="B1315" s="3" t="s">
        <v>2908</v>
      </c>
      <c r="C1315" s="19">
        <v>107329.39999999998</v>
      </c>
    </row>
    <row r="1316" spans="1:3" ht="15" x14ac:dyDescent="0.25">
      <c r="A1316" s="122" t="s">
        <v>2909</v>
      </c>
      <c r="B1316" s="3" t="s">
        <v>2910</v>
      </c>
      <c r="C1316" s="19">
        <v>366221.25000000017</v>
      </c>
    </row>
    <row r="1317" spans="1:3" ht="15" x14ac:dyDescent="0.25">
      <c r="A1317" s="122" t="s">
        <v>2911</v>
      </c>
      <c r="B1317" s="3" t="s">
        <v>2912</v>
      </c>
      <c r="C1317" s="19">
        <v>773720.24000000081</v>
      </c>
    </row>
    <row r="1318" spans="1:3" ht="15" x14ac:dyDescent="0.25">
      <c r="A1318" s="122" t="s">
        <v>2913</v>
      </c>
      <c r="B1318" s="3" t="s">
        <v>2914</v>
      </c>
      <c r="C1318" s="19">
        <v>2106045.1300000013</v>
      </c>
    </row>
    <row r="1319" spans="1:3" ht="15" x14ac:dyDescent="0.25">
      <c r="A1319" s="122" t="s">
        <v>2915</v>
      </c>
      <c r="B1319" s="3" t="s">
        <v>2916</v>
      </c>
      <c r="C1319" s="19">
        <v>313079.33999999979</v>
      </c>
    </row>
    <row r="1320" spans="1:3" ht="15" x14ac:dyDescent="0.25">
      <c r="A1320" s="122" t="s">
        <v>2917</v>
      </c>
      <c r="B1320" s="3" t="s">
        <v>2918</v>
      </c>
      <c r="C1320" s="19">
        <v>311804.76</v>
      </c>
    </row>
    <row r="1321" spans="1:3" ht="15" x14ac:dyDescent="0.25">
      <c r="A1321" s="122" t="s">
        <v>2919</v>
      </c>
      <c r="B1321" s="3" t="s">
        <v>2920</v>
      </c>
      <c r="C1321" s="19">
        <v>249548.83000000005</v>
      </c>
    </row>
    <row r="1322" spans="1:3" ht="15" x14ac:dyDescent="0.25">
      <c r="A1322" s="122" t="s">
        <v>2921</v>
      </c>
      <c r="B1322" s="3" t="s">
        <v>2922</v>
      </c>
      <c r="C1322" s="19">
        <v>75225.859999999957</v>
      </c>
    </row>
    <row r="1323" spans="1:3" ht="15" x14ac:dyDescent="0.25">
      <c r="A1323" s="122" t="s">
        <v>2923</v>
      </c>
      <c r="B1323" s="3" t="s">
        <v>2924</v>
      </c>
      <c r="C1323" s="19">
        <v>350469.85999999993</v>
      </c>
    </row>
    <row r="1324" spans="1:3" ht="15" x14ac:dyDescent="0.25">
      <c r="A1324" s="122" t="s">
        <v>2925</v>
      </c>
      <c r="B1324" s="3" t="s">
        <v>2926</v>
      </c>
      <c r="C1324" s="19">
        <v>333027.79999999987</v>
      </c>
    </row>
    <row r="1325" spans="1:3" ht="15" x14ac:dyDescent="0.25">
      <c r="A1325" s="122" t="s">
        <v>2927</v>
      </c>
      <c r="B1325" s="3" t="s">
        <v>2928</v>
      </c>
      <c r="C1325" s="19">
        <v>159266.13</v>
      </c>
    </row>
    <row r="1326" spans="1:3" ht="15" x14ac:dyDescent="0.25">
      <c r="A1326" s="122" t="s">
        <v>2929</v>
      </c>
      <c r="B1326" s="3" t="s">
        <v>2930</v>
      </c>
      <c r="C1326" s="19">
        <v>131859.46000000008</v>
      </c>
    </row>
    <row r="1327" spans="1:3" ht="15" x14ac:dyDescent="0.25">
      <c r="A1327" s="122" t="s">
        <v>2931</v>
      </c>
      <c r="B1327" s="3" t="s">
        <v>2932</v>
      </c>
      <c r="C1327" s="19">
        <v>26121.870000000003</v>
      </c>
    </row>
    <row r="1328" spans="1:3" ht="15" x14ac:dyDescent="0.25">
      <c r="A1328" s="122" t="s">
        <v>2933</v>
      </c>
      <c r="B1328" s="3" t="s">
        <v>2934</v>
      </c>
      <c r="C1328" s="19">
        <v>41803.479999999989</v>
      </c>
    </row>
    <row r="1329" spans="1:3" ht="15" x14ac:dyDescent="0.25">
      <c r="A1329" s="122" t="s">
        <v>2935</v>
      </c>
      <c r="B1329" s="3" t="s">
        <v>2936</v>
      </c>
      <c r="C1329" s="19">
        <v>16288.569999999996</v>
      </c>
    </row>
    <row r="1330" spans="1:3" ht="15" x14ac:dyDescent="0.25">
      <c r="A1330" s="122" t="s">
        <v>2937</v>
      </c>
      <c r="B1330" s="3" t="s">
        <v>2938</v>
      </c>
      <c r="C1330" s="19">
        <v>13176.2</v>
      </c>
    </row>
    <row r="1331" spans="1:3" ht="15" x14ac:dyDescent="0.25">
      <c r="A1331" s="122" t="s">
        <v>2939</v>
      </c>
      <c r="B1331" s="3" t="s">
        <v>2940</v>
      </c>
      <c r="C1331" s="19">
        <v>-23694.360000000008</v>
      </c>
    </row>
    <row r="1332" spans="1:3" ht="15" x14ac:dyDescent="0.25">
      <c r="A1332" s="122" t="s">
        <v>2941</v>
      </c>
      <c r="B1332" s="3" t="s">
        <v>2942</v>
      </c>
      <c r="C1332" s="19">
        <v>100709.79000000005</v>
      </c>
    </row>
    <row r="1333" spans="1:3" ht="15" x14ac:dyDescent="0.25">
      <c r="A1333" s="122" t="s">
        <v>2943</v>
      </c>
      <c r="B1333" s="3" t="s">
        <v>2944</v>
      </c>
      <c r="C1333" s="19">
        <v>69190.62</v>
      </c>
    </row>
    <row r="1334" spans="1:3" ht="15" x14ac:dyDescent="0.25">
      <c r="A1334" s="122" t="s">
        <v>2945</v>
      </c>
      <c r="B1334" s="3" t="s">
        <v>2946</v>
      </c>
      <c r="C1334" s="19">
        <v>-8083.7</v>
      </c>
    </row>
    <row r="1335" spans="1:3" ht="15" x14ac:dyDescent="0.25">
      <c r="A1335" s="122" t="s">
        <v>2947</v>
      </c>
      <c r="B1335" s="3" t="s">
        <v>2948</v>
      </c>
      <c r="C1335" s="19">
        <v>5492.35</v>
      </c>
    </row>
    <row r="1336" spans="1:3" ht="15" x14ac:dyDescent="0.25">
      <c r="A1336" s="122" t="s">
        <v>2949</v>
      </c>
      <c r="B1336" s="3" t="s">
        <v>2950</v>
      </c>
      <c r="C1336" s="19">
        <v>9629.840000000002</v>
      </c>
    </row>
    <row r="1337" spans="1:3" ht="15" x14ac:dyDescent="0.25">
      <c r="A1337" s="122" t="s">
        <v>2951</v>
      </c>
      <c r="B1337" s="3" t="s">
        <v>2952</v>
      </c>
      <c r="C1337" s="19">
        <v>268.85000000000002</v>
      </c>
    </row>
    <row r="1338" spans="1:3" ht="15" x14ac:dyDescent="0.25">
      <c r="A1338" s="122" t="s">
        <v>2953</v>
      </c>
      <c r="B1338" s="3" t="s">
        <v>2954</v>
      </c>
      <c r="C1338" s="19">
        <v>111138.91000000003</v>
      </c>
    </row>
    <row r="1339" spans="1:3" ht="15" x14ac:dyDescent="0.25">
      <c r="A1339" s="122" t="s">
        <v>2955</v>
      </c>
      <c r="B1339" s="3" t="s">
        <v>2956</v>
      </c>
      <c r="C1339" s="19">
        <v>43722.05999999999</v>
      </c>
    </row>
    <row r="1340" spans="1:3" ht="15" x14ac:dyDescent="0.25">
      <c r="A1340" s="122" t="s">
        <v>2957</v>
      </c>
      <c r="B1340" s="3" t="s">
        <v>2958</v>
      </c>
      <c r="C1340" s="19">
        <v>114505.18999999997</v>
      </c>
    </row>
    <row r="1341" spans="1:3" ht="15" x14ac:dyDescent="0.25">
      <c r="A1341" s="122" t="s">
        <v>2959</v>
      </c>
      <c r="B1341" s="3" t="s">
        <v>2960</v>
      </c>
      <c r="C1341" s="19">
        <v>24779.620000000003</v>
      </c>
    </row>
    <row r="1342" spans="1:3" ht="15" x14ac:dyDescent="0.25">
      <c r="A1342" s="122" t="s">
        <v>2961</v>
      </c>
      <c r="B1342" s="3" t="s">
        <v>2962</v>
      </c>
      <c r="C1342" s="19">
        <v>138211.21</v>
      </c>
    </row>
    <row r="1343" spans="1:3" ht="15" x14ac:dyDescent="0.25">
      <c r="A1343" s="122" t="s">
        <v>2963</v>
      </c>
      <c r="B1343" s="3" t="s">
        <v>2964</v>
      </c>
      <c r="C1343" s="19">
        <v>443746.7899999994</v>
      </c>
    </row>
    <row r="1344" spans="1:3" ht="15" x14ac:dyDescent="0.25">
      <c r="A1344" s="122" t="s">
        <v>2965</v>
      </c>
      <c r="B1344" s="3" t="s">
        <v>2966</v>
      </c>
      <c r="C1344" s="19">
        <v>23176.539999999994</v>
      </c>
    </row>
    <row r="1345" spans="1:3" ht="15" x14ac:dyDescent="0.25">
      <c r="A1345" s="122" t="s">
        <v>2967</v>
      </c>
      <c r="B1345" s="3" t="s">
        <v>2968</v>
      </c>
      <c r="C1345" s="19">
        <v>116743.62999999998</v>
      </c>
    </row>
    <row r="1346" spans="1:3" ht="15" x14ac:dyDescent="0.25">
      <c r="A1346" s="122" t="s">
        <v>2969</v>
      </c>
      <c r="B1346" s="3" t="s">
        <v>2970</v>
      </c>
      <c r="C1346" s="19">
        <v>177674.58000000022</v>
      </c>
    </row>
    <row r="1347" spans="1:3" ht="15" x14ac:dyDescent="0.25">
      <c r="A1347" s="122" t="s">
        <v>2971</v>
      </c>
      <c r="B1347" s="3" t="s">
        <v>2972</v>
      </c>
      <c r="C1347" s="19">
        <v>203368.83999999997</v>
      </c>
    </row>
    <row r="1348" spans="1:3" ht="15" x14ac:dyDescent="0.25">
      <c r="A1348" s="122" t="s">
        <v>2973</v>
      </c>
      <c r="B1348" s="3" t="s">
        <v>2974</v>
      </c>
      <c r="C1348" s="19">
        <v>696153.60000000009</v>
      </c>
    </row>
    <row r="1349" spans="1:3" ht="15" x14ac:dyDescent="0.25">
      <c r="A1349" s="122" t="s">
        <v>2975</v>
      </c>
      <c r="B1349" s="3" t="s">
        <v>2976</v>
      </c>
      <c r="C1349" s="19">
        <v>32182.169999999987</v>
      </c>
    </row>
    <row r="1350" spans="1:3" ht="15" x14ac:dyDescent="0.25">
      <c r="A1350" s="122" t="s">
        <v>2977</v>
      </c>
      <c r="B1350" s="3" t="s">
        <v>2978</v>
      </c>
      <c r="C1350" s="19">
        <v>150586.22999999992</v>
      </c>
    </row>
    <row r="1351" spans="1:3" ht="15" x14ac:dyDescent="0.25">
      <c r="A1351" s="122" t="s">
        <v>2979</v>
      </c>
      <c r="B1351" s="3" t="s">
        <v>2980</v>
      </c>
      <c r="C1351" s="19">
        <v>16037.570000000009</v>
      </c>
    </row>
    <row r="1352" spans="1:3" ht="15" x14ac:dyDescent="0.25">
      <c r="A1352" s="122" t="s">
        <v>2981</v>
      </c>
      <c r="B1352" s="3" t="s">
        <v>2982</v>
      </c>
      <c r="C1352" s="19">
        <v>179906.75999999992</v>
      </c>
    </row>
    <row r="1353" spans="1:3" ht="15" x14ac:dyDescent="0.25">
      <c r="A1353" s="122" t="s">
        <v>2983</v>
      </c>
      <c r="B1353" s="3" t="s">
        <v>2984</v>
      </c>
      <c r="C1353" s="19">
        <v>18381.020000000008</v>
      </c>
    </row>
    <row r="1354" spans="1:3" ht="15" x14ac:dyDescent="0.25">
      <c r="A1354" s="122" t="s">
        <v>2985</v>
      </c>
      <c r="B1354" s="3" t="s">
        <v>2986</v>
      </c>
      <c r="C1354" s="19">
        <v>41395.160000000003</v>
      </c>
    </row>
    <row r="1355" spans="1:3" ht="15" x14ac:dyDescent="0.25">
      <c r="A1355" s="122" t="s">
        <v>2987</v>
      </c>
      <c r="B1355" s="3" t="s">
        <v>2988</v>
      </c>
      <c r="C1355" s="19">
        <v>3087.81</v>
      </c>
    </row>
    <row r="1356" spans="1:3" ht="15" x14ac:dyDescent="0.25">
      <c r="A1356" s="122" t="s">
        <v>2989</v>
      </c>
      <c r="B1356" s="3" t="s">
        <v>2990</v>
      </c>
      <c r="C1356" s="19">
        <v>135584.68999999997</v>
      </c>
    </row>
    <row r="1357" spans="1:3" ht="15" x14ac:dyDescent="0.25">
      <c r="A1357" s="122" t="s">
        <v>2991</v>
      </c>
      <c r="B1357" s="3" t="s">
        <v>2992</v>
      </c>
      <c r="C1357" s="19">
        <v>11695.520000000004</v>
      </c>
    </row>
    <row r="1358" spans="1:3" ht="15" x14ac:dyDescent="0.25">
      <c r="A1358" s="122" t="s">
        <v>2993</v>
      </c>
      <c r="B1358" s="3" t="s">
        <v>2994</v>
      </c>
      <c r="C1358" s="19">
        <v>824777.2099999995</v>
      </c>
    </row>
    <row r="1359" spans="1:3" ht="15" x14ac:dyDescent="0.25">
      <c r="A1359" s="122" t="s">
        <v>2995</v>
      </c>
      <c r="B1359" s="3" t="s">
        <v>2996</v>
      </c>
      <c r="C1359" s="19">
        <v>522750.51000000007</v>
      </c>
    </row>
    <row r="1360" spans="1:3" ht="15" x14ac:dyDescent="0.25">
      <c r="A1360" s="122" t="s">
        <v>2997</v>
      </c>
      <c r="B1360" s="3" t="s">
        <v>2998</v>
      </c>
      <c r="C1360" s="19">
        <v>226484.9</v>
      </c>
    </row>
    <row r="1361" spans="1:3" ht="15" x14ac:dyDescent="0.25">
      <c r="A1361" s="122" t="s">
        <v>2999</v>
      </c>
      <c r="B1361" s="3" t="s">
        <v>3000</v>
      </c>
      <c r="C1361" s="19">
        <v>72127.819999999963</v>
      </c>
    </row>
    <row r="1362" spans="1:3" ht="15" x14ac:dyDescent="0.25">
      <c r="A1362" s="122" t="s">
        <v>3001</v>
      </c>
      <c r="B1362" s="3" t="s">
        <v>3002</v>
      </c>
      <c r="C1362" s="19">
        <v>45659.580000000009</v>
      </c>
    </row>
    <row r="1363" spans="1:3" ht="15" x14ac:dyDescent="0.25">
      <c r="A1363" s="122" t="s">
        <v>3003</v>
      </c>
      <c r="B1363" s="3" t="s">
        <v>3004</v>
      </c>
      <c r="C1363" s="19">
        <v>3043.07</v>
      </c>
    </row>
    <row r="1364" spans="1:3" ht="15" x14ac:dyDescent="0.25">
      <c r="A1364" s="122" t="s">
        <v>3005</v>
      </c>
      <c r="B1364" s="3" t="s">
        <v>3006</v>
      </c>
      <c r="C1364" s="19">
        <v>239500.25999999983</v>
      </c>
    </row>
    <row r="1365" spans="1:3" ht="15" x14ac:dyDescent="0.25">
      <c r="A1365" s="122" t="s">
        <v>3007</v>
      </c>
      <c r="B1365" s="3" t="s">
        <v>3008</v>
      </c>
      <c r="C1365" s="19">
        <v>30478.640000000003</v>
      </c>
    </row>
    <row r="1366" spans="1:3" ht="15" x14ac:dyDescent="0.25">
      <c r="A1366" s="122" t="s">
        <v>3009</v>
      </c>
      <c r="B1366" s="3" t="s">
        <v>3010</v>
      </c>
      <c r="C1366" s="19">
        <v>92376.070000000022</v>
      </c>
    </row>
    <row r="1367" spans="1:3" ht="15" x14ac:dyDescent="0.25">
      <c r="A1367" s="122" t="s">
        <v>3011</v>
      </c>
      <c r="B1367" s="3" t="s">
        <v>3012</v>
      </c>
      <c r="C1367" s="19">
        <v>2166.1399999999985</v>
      </c>
    </row>
    <row r="1368" spans="1:3" ht="15" x14ac:dyDescent="0.25">
      <c r="A1368" s="122" t="s">
        <v>3013</v>
      </c>
      <c r="B1368" s="3" t="s">
        <v>3014</v>
      </c>
      <c r="C1368" s="19">
        <v>34147.969999999979</v>
      </c>
    </row>
    <row r="1369" spans="1:3" ht="15" x14ac:dyDescent="0.25">
      <c r="A1369" s="122" t="s">
        <v>3015</v>
      </c>
      <c r="B1369" s="3" t="s">
        <v>3016</v>
      </c>
      <c r="C1369" s="19">
        <v>34810.459999999985</v>
      </c>
    </row>
    <row r="1370" spans="1:3" ht="15" x14ac:dyDescent="0.25">
      <c r="A1370" s="122" t="s">
        <v>3017</v>
      </c>
      <c r="B1370" s="3" t="s">
        <v>3018</v>
      </c>
      <c r="C1370" s="19">
        <v>90298.920000000027</v>
      </c>
    </row>
    <row r="1371" spans="1:3" ht="15" x14ac:dyDescent="0.25">
      <c r="A1371" s="122" t="s">
        <v>3019</v>
      </c>
      <c r="B1371" s="3" t="s">
        <v>3020</v>
      </c>
      <c r="C1371" s="19">
        <v>49903.94</v>
      </c>
    </row>
    <row r="1372" spans="1:3" ht="15" x14ac:dyDescent="0.25">
      <c r="A1372" s="122" t="s">
        <v>3021</v>
      </c>
      <c r="B1372" s="3" t="s">
        <v>3022</v>
      </c>
      <c r="C1372" s="19">
        <v>52306.869999999988</v>
      </c>
    </row>
    <row r="1373" spans="1:3" ht="15" x14ac:dyDescent="0.25">
      <c r="A1373" s="122" t="s">
        <v>3023</v>
      </c>
      <c r="B1373" s="3" t="s">
        <v>3024</v>
      </c>
      <c r="C1373" s="19">
        <v>348225.72000000015</v>
      </c>
    </row>
    <row r="1374" spans="1:3" ht="15" x14ac:dyDescent="0.25">
      <c r="A1374" s="122" t="s">
        <v>3025</v>
      </c>
      <c r="B1374" s="3" t="s">
        <v>3026</v>
      </c>
      <c r="C1374" s="19">
        <v>34387.890000000029</v>
      </c>
    </row>
    <row r="1375" spans="1:3" ht="15" x14ac:dyDescent="0.25">
      <c r="A1375" s="122" t="s">
        <v>3027</v>
      </c>
      <c r="B1375" s="3" t="s">
        <v>3028</v>
      </c>
      <c r="C1375" s="19">
        <v>196984.84000000026</v>
      </c>
    </row>
    <row r="1376" spans="1:3" ht="15" x14ac:dyDescent="0.25">
      <c r="A1376" s="122" t="s">
        <v>3029</v>
      </c>
      <c r="B1376" s="3" t="s">
        <v>3030</v>
      </c>
      <c r="C1376" s="19">
        <v>110661.52000000005</v>
      </c>
    </row>
    <row r="1377" spans="1:3" ht="15" x14ac:dyDescent="0.25">
      <c r="A1377" s="122" t="s">
        <v>3031</v>
      </c>
      <c r="B1377" s="3" t="s">
        <v>3032</v>
      </c>
      <c r="C1377" s="19">
        <v>114560.99</v>
      </c>
    </row>
    <row r="1378" spans="1:3" ht="15" x14ac:dyDescent="0.25">
      <c r="A1378" s="122" t="s">
        <v>3033</v>
      </c>
      <c r="B1378" s="3" t="s">
        <v>3034</v>
      </c>
      <c r="C1378" s="19">
        <v>245.91000000000003</v>
      </c>
    </row>
    <row r="1379" spans="1:3" ht="15" x14ac:dyDescent="0.25">
      <c r="A1379" s="122" t="s">
        <v>3035</v>
      </c>
      <c r="B1379" s="3" t="s">
        <v>3036</v>
      </c>
      <c r="C1379" s="19">
        <v>7223.2899999999972</v>
      </c>
    </row>
    <row r="1380" spans="1:3" ht="15" x14ac:dyDescent="0.25">
      <c r="A1380" s="122" t="s">
        <v>3037</v>
      </c>
      <c r="B1380" s="3" t="s">
        <v>3038</v>
      </c>
      <c r="C1380" s="19">
        <v>3275.5399999999995</v>
      </c>
    </row>
    <row r="1381" spans="1:3" ht="15" x14ac:dyDescent="0.25">
      <c r="A1381" s="122" t="s">
        <v>3039</v>
      </c>
      <c r="B1381" s="3" t="s">
        <v>3040</v>
      </c>
      <c r="C1381" s="19">
        <v>20493.420000000013</v>
      </c>
    </row>
    <row r="1382" spans="1:3" ht="15" x14ac:dyDescent="0.25">
      <c r="A1382" s="122" t="s">
        <v>3041</v>
      </c>
      <c r="B1382" s="3" t="s">
        <v>3042</v>
      </c>
      <c r="C1382" s="19">
        <v>5572.94</v>
      </c>
    </row>
    <row r="1383" spans="1:3" ht="15" x14ac:dyDescent="0.25">
      <c r="A1383" s="122" t="s">
        <v>3043</v>
      </c>
      <c r="B1383" s="3" t="s">
        <v>3044</v>
      </c>
      <c r="C1383" s="19">
        <v>546.7700000000001</v>
      </c>
    </row>
    <row r="1384" spans="1:3" ht="15" x14ac:dyDescent="0.25">
      <c r="A1384" s="122" t="s">
        <v>3045</v>
      </c>
      <c r="B1384" s="3" t="s">
        <v>3046</v>
      </c>
      <c r="C1384" s="19">
        <v>1585.36</v>
      </c>
    </row>
    <row r="1385" spans="1:3" ht="15" x14ac:dyDescent="0.25">
      <c r="A1385" s="122" t="s">
        <v>3047</v>
      </c>
      <c r="B1385" s="3" t="s">
        <v>3048</v>
      </c>
      <c r="C1385" s="19">
        <v>1006356.6100000002</v>
      </c>
    </row>
    <row r="1386" spans="1:3" ht="15" x14ac:dyDescent="0.25">
      <c r="A1386" s="122" t="s">
        <v>3049</v>
      </c>
      <c r="B1386" s="3" t="s">
        <v>3050</v>
      </c>
      <c r="C1386" s="19">
        <v>269604.81</v>
      </c>
    </row>
    <row r="1387" spans="1:3" ht="15" x14ac:dyDescent="0.25">
      <c r="A1387" s="122" t="s">
        <v>3051</v>
      </c>
      <c r="B1387" s="3" t="s">
        <v>3052</v>
      </c>
      <c r="C1387" s="19">
        <v>451179.34999999992</v>
      </c>
    </row>
    <row r="1388" spans="1:3" ht="15" x14ac:dyDescent="0.25">
      <c r="A1388" s="122" t="s">
        <v>3053</v>
      </c>
      <c r="B1388" s="3" t="s">
        <v>3054</v>
      </c>
      <c r="C1388" s="19">
        <v>530270.91999999981</v>
      </c>
    </row>
    <row r="1389" spans="1:3" ht="15" x14ac:dyDescent="0.25">
      <c r="A1389" s="122" t="s">
        <v>3055</v>
      </c>
      <c r="B1389" s="3" t="s">
        <v>3056</v>
      </c>
      <c r="C1389" s="19">
        <v>370026.38000000012</v>
      </c>
    </row>
    <row r="1390" spans="1:3" ht="15" x14ac:dyDescent="0.25">
      <c r="A1390" s="122" t="s">
        <v>3057</v>
      </c>
      <c r="B1390" s="3" t="s">
        <v>3058</v>
      </c>
      <c r="C1390" s="19">
        <v>716548.73999999953</v>
      </c>
    </row>
    <row r="1391" spans="1:3" ht="15" x14ac:dyDescent="0.25">
      <c r="A1391" s="122" t="s">
        <v>3059</v>
      </c>
      <c r="B1391" s="3" t="s">
        <v>3060</v>
      </c>
      <c r="C1391" s="19">
        <v>396531.66999999981</v>
      </c>
    </row>
    <row r="1392" spans="1:3" ht="15" x14ac:dyDescent="0.25">
      <c r="A1392" s="122" t="s">
        <v>3061</v>
      </c>
      <c r="B1392" s="3" t="s">
        <v>3062</v>
      </c>
      <c r="C1392" s="19">
        <v>261076.61999999997</v>
      </c>
    </row>
    <row r="1393" spans="1:3" ht="15" x14ac:dyDescent="0.25">
      <c r="A1393" s="122" t="s">
        <v>3063</v>
      </c>
      <c r="B1393" s="3" t="s">
        <v>3064</v>
      </c>
      <c r="C1393" s="19">
        <v>183249.74000000022</v>
      </c>
    </row>
    <row r="1394" spans="1:3" ht="15" x14ac:dyDescent="0.25">
      <c r="A1394" s="122" t="s">
        <v>3065</v>
      </c>
      <c r="B1394" s="3" t="s">
        <v>3066</v>
      </c>
      <c r="C1394" s="19">
        <v>162307.8800000003</v>
      </c>
    </row>
    <row r="1395" spans="1:3" ht="15" x14ac:dyDescent="0.25">
      <c r="A1395" s="122" t="s">
        <v>3067</v>
      </c>
      <c r="B1395" s="3" t="s">
        <v>3068</v>
      </c>
      <c r="C1395" s="19">
        <v>427422.56999999989</v>
      </c>
    </row>
    <row r="1396" spans="1:3" ht="15" x14ac:dyDescent="0.25">
      <c r="A1396" s="122" t="s">
        <v>3069</v>
      </c>
      <c r="B1396" s="3" t="s">
        <v>3070</v>
      </c>
      <c r="C1396" s="19">
        <v>160286.58000000013</v>
      </c>
    </row>
    <row r="1397" spans="1:3" ht="15" x14ac:dyDescent="0.25">
      <c r="A1397" s="122" t="s">
        <v>3071</v>
      </c>
      <c r="B1397" s="3" t="s">
        <v>3072</v>
      </c>
      <c r="C1397" s="19">
        <v>248204.03999999989</v>
      </c>
    </row>
    <row r="1398" spans="1:3" ht="15" x14ac:dyDescent="0.25">
      <c r="A1398" s="122" t="s">
        <v>3073</v>
      </c>
      <c r="B1398" s="3" t="s">
        <v>3074</v>
      </c>
      <c r="C1398" s="19">
        <v>212254.73</v>
      </c>
    </row>
    <row r="1399" spans="1:3" ht="15" x14ac:dyDescent="0.25">
      <c r="A1399" s="122" t="s">
        <v>3075</v>
      </c>
      <c r="B1399" s="3" t="s">
        <v>3076</v>
      </c>
      <c r="C1399" s="19">
        <v>262850.2199999998</v>
      </c>
    </row>
    <row r="1400" spans="1:3" ht="15" x14ac:dyDescent="0.25">
      <c r="A1400" s="122" t="s">
        <v>3077</v>
      </c>
      <c r="B1400" s="3" t="s">
        <v>3078</v>
      </c>
      <c r="C1400" s="19">
        <v>961361.10000000044</v>
      </c>
    </row>
    <row r="1401" spans="1:3" ht="15" x14ac:dyDescent="0.25">
      <c r="A1401" s="122" t="s">
        <v>3079</v>
      </c>
      <c r="B1401" s="3" t="s">
        <v>3080</v>
      </c>
      <c r="C1401" s="19">
        <v>146145.56999999998</v>
      </c>
    </row>
    <row r="1402" spans="1:3" ht="15" x14ac:dyDescent="0.25">
      <c r="A1402" s="122" t="s">
        <v>3081</v>
      </c>
      <c r="B1402" s="3" t="s">
        <v>3082</v>
      </c>
      <c r="C1402" s="19">
        <v>112027.57999999996</v>
      </c>
    </row>
    <row r="1403" spans="1:3" ht="15" x14ac:dyDescent="0.25">
      <c r="A1403" s="122" t="s">
        <v>3083</v>
      </c>
      <c r="B1403" s="3" t="s">
        <v>3084</v>
      </c>
      <c r="C1403" s="19">
        <v>362044.64999999991</v>
      </c>
    </row>
    <row r="1404" spans="1:3" ht="15" x14ac:dyDescent="0.25">
      <c r="A1404" s="122" t="s">
        <v>3085</v>
      </c>
      <c r="B1404" s="3" t="s">
        <v>3086</v>
      </c>
      <c r="C1404" s="19">
        <v>49471.30000000001</v>
      </c>
    </row>
    <row r="1405" spans="1:3" ht="15" x14ac:dyDescent="0.25">
      <c r="A1405" s="122" t="s">
        <v>3087</v>
      </c>
      <c r="B1405" s="3" t="s">
        <v>3088</v>
      </c>
      <c r="C1405" s="19">
        <v>480217.87999999995</v>
      </c>
    </row>
    <row r="1406" spans="1:3" ht="15" x14ac:dyDescent="0.25">
      <c r="A1406" s="122" t="s">
        <v>3089</v>
      </c>
      <c r="B1406" s="3" t="s">
        <v>3090</v>
      </c>
      <c r="C1406" s="19">
        <v>227499.49000000014</v>
      </c>
    </row>
    <row r="1407" spans="1:3" ht="15" x14ac:dyDescent="0.25">
      <c r="A1407" s="122" t="s">
        <v>3091</v>
      </c>
      <c r="B1407" s="3" t="s">
        <v>3092</v>
      </c>
      <c r="C1407" s="19">
        <v>339895.33999999997</v>
      </c>
    </row>
    <row r="1408" spans="1:3" ht="15" x14ac:dyDescent="0.25">
      <c r="A1408" s="122" t="s">
        <v>3093</v>
      </c>
      <c r="B1408" s="3" t="s">
        <v>3094</v>
      </c>
      <c r="C1408" s="19">
        <v>144621.32</v>
      </c>
    </row>
    <row r="1409" spans="1:3" ht="15" x14ac:dyDescent="0.25">
      <c r="A1409" s="122" t="s">
        <v>3095</v>
      </c>
      <c r="B1409" s="3" t="s">
        <v>3096</v>
      </c>
      <c r="C1409" s="19">
        <v>106898.31999999999</v>
      </c>
    </row>
    <row r="1410" spans="1:3" ht="15" x14ac:dyDescent="0.25">
      <c r="A1410" s="122" t="s">
        <v>3097</v>
      </c>
      <c r="B1410" s="3" t="s">
        <v>3098</v>
      </c>
      <c r="C1410" s="19">
        <v>1660935.4800000011</v>
      </c>
    </row>
    <row r="1411" spans="1:3" ht="15" x14ac:dyDescent="0.25">
      <c r="A1411" s="122" t="s">
        <v>3099</v>
      </c>
      <c r="B1411" s="3" t="s">
        <v>3100</v>
      </c>
      <c r="C1411" s="19">
        <v>249041.10999999993</v>
      </c>
    </row>
    <row r="1412" spans="1:3" ht="15" x14ac:dyDescent="0.25">
      <c r="A1412" s="122" t="s">
        <v>3101</v>
      </c>
      <c r="B1412" s="3" t="s">
        <v>3102</v>
      </c>
      <c r="C1412" s="19">
        <v>249666.27</v>
      </c>
    </row>
    <row r="1413" spans="1:3" ht="15" x14ac:dyDescent="0.25">
      <c r="A1413" s="122" t="s">
        <v>3103</v>
      </c>
      <c r="B1413" s="3" t="s">
        <v>3104</v>
      </c>
      <c r="C1413" s="19">
        <v>275229.44000000006</v>
      </c>
    </row>
    <row r="1414" spans="1:3" ht="15" x14ac:dyDescent="0.25">
      <c r="A1414" s="122" t="s">
        <v>3105</v>
      </c>
      <c r="B1414" s="3" t="s">
        <v>3106</v>
      </c>
      <c r="C1414" s="19">
        <v>115817.80999999997</v>
      </c>
    </row>
    <row r="1415" spans="1:3" ht="15" x14ac:dyDescent="0.25">
      <c r="A1415" s="122" t="s">
        <v>3107</v>
      </c>
      <c r="B1415" s="3" t="s">
        <v>3108</v>
      </c>
      <c r="C1415" s="19">
        <v>80054.179999999978</v>
      </c>
    </row>
    <row r="1416" spans="1:3" ht="15" x14ac:dyDescent="0.25">
      <c r="A1416" s="122" t="s">
        <v>3109</v>
      </c>
      <c r="B1416" s="3" t="s">
        <v>3110</v>
      </c>
      <c r="C1416" s="19">
        <v>63595.189999999959</v>
      </c>
    </row>
    <row r="1417" spans="1:3" ht="15" x14ac:dyDescent="0.25">
      <c r="A1417" s="122" t="s">
        <v>3111</v>
      </c>
      <c r="B1417" s="3" t="s">
        <v>3112</v>
      </c>
      <c r="C1417" s="19">
        <v>40853.760000000002</v>
      </c>
    </row>
    <row r="1418" spans="1:3" ht="15" x14ac:dyDescent="0.25">
      <c r="A1418" s="122" t="s">
        <v>3113</v>
      </c>
      <c r="B1418" s="3" t="s">
        <v>3114</v>
      </c>
      <c r="C1418" s="19">
        <v>13448.669999999998</v>
      </c>
    </row>
    <row r="1419" spans="1:3" ht="15" x14ac:dyDescent="0.25">
      <c r="A1419" s="122" t="s">
        <v>3115</v>
      </c>
      <c r="B1419" s="3" t="s">
        <v>3116</v>
      </c>
      <c r="C1419" s="19">
        <v>24386.230000000014</v>
      </c>
    </row>
    <row r="1420" spans="1:3" ht="15" x14ac:dyDescent="0.25">
      <c r="A1420" s="122" t="s">
        <v>3117</v>
      </c>
      <c r="B1420" s="3" t="s">
        <v>3118</v>
      </c>
      <c r="C1420" s="19">
        <v>239031.68000000002</v>
      </c>
    </row>
    <row r="1421" spans="1:3" ht="15" x14ac:dyDescent="0.25">
      <c r="A1421" s="122" t="s">
        <v>3119</v>
      </c>
      <c r="B1421" s="3" t="s">
        <v>3120</v>
      </c>
      <c r="C1421" s="19">
        <v>32682.239999999994</v>
      </c>
    </row>
    <row r="1422" spans="1:3" ht="15" x14ac:dyDescent="0.25">
      <c r="A1422" s="122" t="s">
        <v>3121</v>
      </c>
      <c r="B1422" s="3" t="s">
        <v>3122</v>
      </c>
      <c r="C1422" s="19">
        <v>172833.33999999997</v>
      </c>
    </row>
    <row r="1423" spans="1:3" ht="15" x14ac:dyDescent="0.25">
      <c r="A1423" s="122" t="s">
        <v>3123</v>
      </c>
      <c r="B1423" s="3" t="s">
        <v>3124</v>
      </c>
      <c r="C1423" s="19">
        <v>143996.80999999991</v>
      </c>
    </row>
    <row r="1424" spans="1:3" ht="15" x14ac:dyDescent="0.25">
      <c r="A1424" s="122" t="s">
        <v>3125</v>
      </c>
      <c r="B1424" s="3" t="s">
        <v>3126</v>
      </c>
      <c r="C1424" s="19">
        <v>71506.789999999994</v>
      </c>
    </row>
    <row r="1425" spans="1:3" ht="15" x14ac:dyDescent="0.25">
      <c r="A1425" s="122" t="s">
        <v>3127</v>
      </c>
      <c r="B1425" s="3" t="s">
        <v>3128</v>
      </c>
      <c r="C1425" s="19">
        <v>11002.679999999997</v>
      </c>
    </row>
    <row r="1426" spans="1:3" ht="15" x14ac:dyDescent="0.25">
      <c r="A1426" s="122" t="s">
        <v>3129</v>
      </c>
      <c r="B1426" s="3" t="s">
        <v>3130</v>
      </c>
      <c r="C1426" s="19">
        <v>241836.07000000007</v>
      </c>
    </row>
    <row r="1427" spans="1:3" ht="15" x14ac:dyDescent="0.25">
      <c r="A1427" s="122" t="s">
        <v>3131</v>
      </c>
      <c r="B1427" s="3" t="s">
        <v>3132</v>
      </c>
      <c r="C1427" s="19">
        <v>33347.130000000005</v>
      </c>
    </row>
    <row r="1428" spans="1:3" ht="15" x14ac:dyDescent="0.25">
      <c r="A1428" s="122" t="s">
        <v>3133</v>
      </c>
      <c r="B1428" s="3" t="s">
        <v>3134</v>
      </c>
      <c r="C1428" s="19">
        <v>44818.249999999971</v>
      </c>
    </row>
    <row r="1429" spans="1:3" ht="15" x14ac:dyDescent="0.25">
      <c r="A1429" s="122" t="s">
        <v>3135</v>
      </c>
      <c r="B1429" s="3" t="s">
        <v>3136</v>
      </c>
      <c r="C1429" s="19">
        <v>143607.21000000002</v>
      </c>
    </row>
    <row r="1430" spans="1:3" ht="15" x14ac:dyDescent="0.25">
      <c r="A1430" s="122" t="s">
        <v>3137</v>
      </c>
      <c r="B1430" s="3" t="s">
        <v>3138</v>
      </c>
      <c r="C1430" s="19">
        <v>389387.3600000001</v>
      </c>
    </row>
    <row r="1431" spans="1:3" ht="15" x14ac:dyDescent="0.25">
      <c r="A1431" s="122" t="s">
        <v>3139</v>
      </c>
      <c r="B1431" s="3" t="s">
        <v>3140</v>
      </c>
      <c r="C1431" s="19">
        <v>72304.380000000034</v>
      </c>
    </row>
    <row r="1432" spans="1:3" ht="15" x14ac:dyDescent="0.25">
      <c r="A1432" s="122" t="s">
        <v>3141</v>
      </c>
      <c r="B1432" s="3" t="s">
        <v>3142</v>
      </c>
      <c r="C1432" s="19">
        <v>31334.109999999982</v>
      </c>
    </row>
    <row r="1433" spans="1:3" ht="15" x14ac:dyDescent="0.25">
      <c r="A1433" s="122" t="s">
        <v>3143</v>
      </c>
      <c r="B1433" s="3" t="s">
        <v>3144</v>
      </c>
      <c r="C1433" s="19">
        <v>105054.62999999998</v>
      </c>
    </row>
    <row r="1434" spans="1:3" ht="15" x14ac:dyDescent="0.25">
      <c r="A1434" s="122" t="s">
        <v>3145</v>
      </c>
      <c r="B1434" s="3" t="s">
        <v>3146</v>
      </c>
      <c r="C1434" s="19">
        <v>81831.109999999971</v>
      </c>
    </row>
    <row r="1435" spans="1:3" ht="15" x14ac:dyDescent="0.25">
      <c r="A1435" s="122" t="s">
        <v>3147</v>
      </c>
      <c r="B1435" s="3" t="s">
        <v>3148</v>
      </c>
      <c r="C1435" s="19">
        <v>142755.47999999995</v>
      </c>
    </row>
    <row r="1436" spans="1:3" ht="15" x14ac:dyDescent="0.25">
      <c r="A1436" s="122" t="s">
        <v>3149</v>
      </c>
      <c r="B1436" s="3" t="s">
        <v>3150</v>
      </c>
      <c r="C1436" s="19">
        <v>6880.369999999999</v>
      </c>
    </row>
    <row r="1437" spans="1:3" ht="15" x14ac:dyDescent="0.25">
      <c r="A1437" s="122" t="s">
        <v>3151</v>
      </c>
      <c r="B1437" s="3" t="s">
        <v>3152</v>
      </c>
      <c r="C1437" s="19">
        <v>93704.809999999954</v>
      </c>
    </row>
    <row r="1438" spans="1:3" ht="15" x14ac:dyDescent="0.25">
      <c r="A1438" s="122" t="s">
        <v>3153</v>
      </c>
      <c r="B1438" s="3" t="s">
        <v>3154</v>
      </c>
      <c r="C1438" s="19">
        <v>12752.87</v>
      </c>
    </row>
    <row r="1439" spans="1:3" ht="15" x14ac:dyDescent="0.25">
      <c r="A1439" s="122" t="s">
        <v>3155</v>
      </c>
      <c r="B1439" s="3" t="s">
        <v>3156</v>
      </c>
      <c r="C1439" s="19">
        <v>83072.760000000024</v>
      </c>
    </row>
    <row r="1440" spans="1:3" ht="15" x14ac:dyDescent="0.25">
      <c r="A1440" s="122" t="s">
        <v>3157</v>
      </c>
      <c r="B1440" s="3" t="s">
        <v>3158</v>
      </c>
      <c r="C1440" s="19">
        <v>11434.950000000004</v>
      </c>
    </row>
    <row r="1441" spans="1:3" ht="15" x14ac:dyDescent="0.25">
      <c r="A1441" s="122" t="s">
        <v>3159</v>
      </c>
      <c r="B1441" s="3" t="s">
        <v>3160</v>
      </c>
      <c r="C1441" s="19">
        <v>76161.659999999989</v>
      </c>
    </row>
    <row r="1442" spans="1:3" ht="15" x14ac:dyDescent="0.25">
      <c r="A1442" s="122" t="s">
        <v>3161</v>
      </c>
      <c r="B1442" s="3" t="s">
        <v>3162</v>
      </c>
      <c r="C1442" s="19">
        <v>21293.680000000008</v>
      </c>
    </row>
    <row r="1443" spans="1:3" ht="15" x14ac:dyDescent="0.25">
      <c r="A1443" s="122" t="s">
        <v>3163</v>
      </c>
      <c r="B1443" s="3" t="s">
        <v>3164</v>
      </c>
      <c r="C1443" s="19">
        <v>117367.84000000001</v>
      </c>
    </row>
    <row r="1444" spans="1:3" ht="15" x14ac:dyDescent="0.25">
      <c r="A1444" s="122" t="s">
        <v>3165</v>
      </c>
      <c r="B1444" s="3" t="s">
        <v>3166</v>
      </c>
      <c r="C1444" s="19">
        <v>269234.35000000003</v>
      </c>
    </row>
    <row r="1445" spans="1:3" ht="15" x14ac:dyDescent="0.25">
      <c r="A1445" s="122" t="s">
        <v>3167</v>
      </c>
      <c r="B1445" s="3" t="s">
        <v>3168</v>
      </c>
      <c r="C1445" s="19">
        <v>59069.279999999999</v>
      </c>
    </row>
    <row r="1446" spans="1:3" ht="15" x14ac:dyDescent="0.25">
      <c r="A1446" s="122" t="s">
        <v>3169</v>
      </c>
      <c r="B1446" s="3" t="s">
        <v>3170</v>
      </c>
      <c r="C1446" s="19">
        <v>91533.939999999915</v>
      </c>
    </row>
    <row r="1447" spans="1:3" ht="15" x14ac:dyDescent="0.25">
      <c r="A1447" s="122" t="s">
        <v>3171</v>
      </c>
      <c r="B1447" s="3" t="s">
        <v>3172</v>
      </c>
      <c r="C1447" s="19">
        <v>16155.929999999997</v>
      </c>
    </row>
    <row r="1448" spans="1:3" ht="15" x14ac:dyDescent="0.25">
      <c r="A1448" s="122" t="s">
        <v>3173</v>
      </c>
      <c r="B1448" s="3" t="s">
        <v>3174</v>
      </c>
      <c r="C1448" s="19">
        <v>223878.69000000021</v>
      </c>
    </row>
    <row r="1449" spans="1:3" ht="15" x14ac:dyDescent="0.25">
      <c r="A1449" s="122" t="s">
        <v>3175</v>
      </c>
      <c r="B1449" s="3" t="s">
        <v>3176</v>
      </c>
      <c r="C1449" s="19">
        <v>12545.990000000002</v>
      </c>
    </row>
    <row r="1450" spans="1:3" ht="15" x14ac:dyDescent="0.25">
      <c r="A1450" s="122" t="s">
        <v>3177</v>
      </c>
      <c r="B1450" s="3" t="s">
        <v>3178</v>
      </c>
      <c r="C1450" s="19">
        <v>304627.02000000019</v>
      </c>
    </row>
    <row r="1451" spans="1:3" ht="15" x14ac:dyDescent="0.25">
      <c r="A1451" s="122" t="s">
        <v>3179</v>
      </c>
      <c r="B1451" s="3" t="s">
        <v>3180</v>
      </c>
      <c r="C1451" s="19">
        <v>39778.189999999981</v>
      </c>
    </row>
    <row r="1452" spans="1:3" ht="15" x14ac:dyDescent="0.25">
      <c r="A1452" s="122" t="s">
        <v>3181</v>
      </c>
      <c r="B1452" s="3" t="s">
        <v>3182</v>
      </c>
      <c r="C1452" s="19">
        <v>153191.3899999999</v>
      </c>
    </row>
    <row r="1453" spans="1:3" ht="15" x14ac:dyDescent="0.25">
      <c r="A1453" s="122" t="s">
        <v>3183</v>
      </c>
      <c r="B1453" s="3" t="s">
        <v>3184</v>
      </c>
      <c r="C1453" s="19">
        <v>-5116.9099999999962</v>
      </c>
    </row>
    <row r="1454" spans="1:3" ht="15" x14ac:dyDescent="0.25">
      <c r="A1454" s="122" t="s">
        <v>3185</v>
      </c>
      <c r="B1454" s="3" t="s">
        <v>3186</v>
      </c>
      <c r="C1454" s="19">
        <v>23960.15999999996</v>
      </c>
    </row>
    <row r="1455" spans="1:3" ht="15" x14ac:dyDescent="0.25">
      <c r="A1455" s="122" t="s">
        <v>3187</v>
      </c>
      <c r="B1455" s="3" t="s">
        <v>3188</v>
      </c>
      <c r="C1455" s="19">
        <v>85868.909999999931</v>
      </c>
    </row>
    <row r="1456" spans="1:3" ht="15" x14ac:dyDescent="0.25">
      <c r="A1456" s="122" t="s">
        <v>3189</v>
      </c>
      <c r="B1456" s="3" t="s">
        <v>3190</v>
      </c>
      <c r="C1456" s="19">
        <v>36753.020000000019</v>
      </c>
    </row>
    <row r="1457" spans="1:3" ht="15" x14ac:dyDescent="0.25">
      <c r="A1457" s="122" t="s">
        <v>3191</v>
      </c>
      <c r="B1457" s="3" t="s">
        <v>3192</v>
      </c>
      <c r="C1457" s="19">
        <v>72412.580000000016</v>
      </c>
    </row>
    <row r="1458" spans="1:3" ht="15" x14ac:dyDescent="0.25">
      <c r="A1458" s="122" t="s">
        <v>3193</v>
      </c>
      <c r="B1458" s="3" t="s">
        <v>3194</v>
      </c>
      <c r="C1458" s="19">
        <v>72448.100000000122</v>
      </c>
    </row>
    <row r="1459" spans="1:3" ht="15" x14ac:dyDescent="0.25">
      <c r="A1459" s="122" t="s">
        <v>3195</v>
      </c>
      <c r="B1459" s="3" t="s">
        <v>3196</v>
      </c>
      <c r="C1459" s="19">
        <v>18808.000000000015</v>
      </c>
    </row>
    <row r="1460" spans="1:3" ht="15" x14ac:dyDescent="0.25">
      <c r="A1460" s="122" t="s">
        <v>3197</v>
      </c>
      <c r="B1460" s="3" t="s">
        <v>3198</v>
      </c>
      <c r="C1460" s="19">
        <v>-12262.150000000011</v>
      </c>
    </row>
    <row r="1461" spans="1:3" ht="15" x14ac:dyDescent="0.25">
      <c r="A1461" s="122" t="s">
        <v>3199</v>
      </c>
      <c r="B1461" s="3" t="s">
        <v>3200</v>
      </c>
      <c r="C1461" s="19">
        <v>32709.929999999982</v>
      </c>
    </row>
    <row r="1462" spans="1:3" ht="15" x14ac:dyDescent="0.25">
      <c r="A1462" s="122" t="s">
        <v>3201</v>
      </c>
      <c r="B1462" s="3" t="s">
        <v>3202</v>
      </c>
      <c r="C1462" s="19">
        <v>-296.14999999999873</v>
      </c>
    </row>
    <row r="1463" spans="1:3" ht="15" x14ac:dyDescent="0.25">
      <c r="A1463" s="122" t="s">
        <v>3203</v>
      </c>
      <c r="B1463" s="3" t="s">
        <v>3204</v>
      </c>
      <c r="C1463" s="19">
        <v>62162.329999999987</v>
      </c>
    </row>
    <row r="1464" spans="1:3" ht="15" x14ac:dyDescent="0.25">
      <c r="A1464" s="122" t="s">
        <v>3205</v>
      </c>
      <c r="B1464" s="3" t="s">
        <v>3206</v>
      </c>
      <c r="C1464" s="19">
        <v>47423.32</v>
      </c>
    </row>
    <row r="1465" spans="1:3" ht="15" x14ac:dyDescent="0.25">
      <c r="A1465" s="122" t="s">
        <v>3207</v>
      </c>
      <c r="B1465" s="3" t="s">
        <v>3208</v>
      </c>
      <c r="C1465" s="19">
        <v>32335.750000000011</v>
      </c>
    </row>
    <row r="1466" spans="1:3" ht="15" x14ac:dyDescent="0.25">
      <c r="A1466" s="122" t="s">
        <v>3209</v>
      </c>
      <c r="B1466" s="3" t="s">
        <v>3210</v>
      </c>
      <c r="C1466" s="19">
        <v>35258.410000000003</v>
      </c>
    </row>
    <row r="1467" spans="1:3" ht="15" x14ac:dyDescent="0.25">
      <c r="A1467" s="122" t="s">
        <v>3211</v>
      </c>
      <c r="B1467" s="3" t="s">
        <v>3212</v>
      </c>
      <c r="C1467" s="19">
        <v>85956.359999999957</v>
      </c>
    </row>
    <row r="1468" spans="1:3" ht="15" x14ac:dyDescent="0.25">
      <c r="A1468" s="122" t="s">
        <v>3213</v>
      </c>
      <c r="B1468" s="3" t="s">
        <v>3214</v>
      </c>
      <c r="C1468" s="19">
        <v>7806993.0699999975</v>
      </c>
    </row>
    <row r="1469" spans="1:3" ht="15" x14ac:dyDescent="0.25">
      <c r="A1469" s="122" t="s">
        <v>3215</v>
      </c>
      <c r="B1469" s="3" t="s">
        <v>3216</v>
      </c>
      <c r="C1469" s="19">
        <v>176914.23</v>
      </c>
    </row>
    <row r="1470" spans="1:3" ht="15" x14ac:dyDescent="0.25">
      <c r="A1470" s="122" t="s">
        <v>3217</v>
      </c>
      <c r="B1470" s="3" t="s">
        <v>3218</v>
      </c>
      <c r="C1470" s="19">
        <v>29924.03000000001</v>
      </c>
    </row>
    <row r="1471" spans="1:3" ht="15" x14ac:dyDescent="0.25">
      <c r="A1471" s="122" t="s">
        <v>3219</v>
      </c>
      <c r="B1471" s="3" t="s">
        <v>3220</v>
      </c>
      <c r="C1471" s="19">
        <v>10612.44999999999</v>
      </c>
    </row>
    <row r="1472" spans="1:3" ht="15" x14ac:dyDescent="0.25">
      <c r="A1472" s="122" t="s">
        <v>3221</v>
      </c>
      <c r="B1472" s="3" t="s">
        <v>3222</v>
      </c>
      <c r="C1472" s="19">
        <v>8093.2899999999991</v>
      </c>
    </row>
    <row r="1473" spans="1:3" ht="15" x14ac:dyDescent="0.25">
      <c r="A1473" s="122" t="s">
        <v>3223</v>
      </c>
      <c r="B1473" s="3" t="s">
        <v>3224</v>
      </c>
      <c r="C1473" s="19">
        <v>20291.870000000014</v>
      </c>
    </row>
    <row r="1474" spans="1:3" ht="15" x14ac:dyDescent="0.25">
      <c r="A1474" s="122" t="s">
        <v>3225</v>
      </c>
      <c r="B1474" s="3" t="s">
        <v>3226</v>
      </c>
      <c r="C1474" s="19">
        <v>18718</v>
      </c>
    </row>
    <row r="1475" spans="1:3" ht="15" x14ac:dyDescent="0.25">
      <c r="A1475" s="122" t="s">
        <v>3227</v>
      </c>
      <c r="B1475" s="3" t="s">
        <v>3228</v>
      </c>
      <c r="C1475" s="19">
        <v>134727.44000000003</v>
      </c>
    </row>
    <row r="1476" spans="1:3" ht="15" x14ac:dyDescent="0.25">
      <c r="A1476" s="122" t="s">
        <v>3229</v>
      </c>
      <c r="B1476" s="3" t="s">
        <v>3230</v>
      </c>
      <c r="C1476" s="19">
        <v>244568.08999999994</v>
      </c>
    </row>
    <row r="1477" spans="1:3" ht="15" x14ac:dyDescent="0.25">
      <c r="A1477" s="122" t="s">
        <v>3231</v>
      </c>
      <c r="B1477" s="3" t="s">
        <v>3232</v>
      </c>
      <c r="C1477" s="19">
        <v>248687.90999999986</v>
      </c>
    </row>
    <row r="1478" spans="1:3" ht="15" x14ac:dyDescent="0.25">
      <c r="A1478" s="122" t="s">
        <v>3233</v>
      </c>
      <c r="B1478" s="3" t="s">
        <v>3234</v>
      </c>
      <c r="C1478" s="19">
        <v>41452.06</v>
      </c>
    </row>
    <row r="1479" spans="1:3" ht="15" x14ac:dyDescent="0.25">
      <c r="A1479" s="122" t="s">
        <v>3235</v>
      </c>
      <c r="B1479" s="3" t="s">
        <v>3236</v>
      </c>
      <c r="C1479" s="19">
        <v>49898.16</v>
      </c>
    </row>
    <row r="1480" spans="1:3" ht="15" x14ac:dyDescent="0.25">
      <c r="A1480" s="122" t="s">
        <v>3237</v>
      </c>
      <c r="B1480" s="3" t="s">
        <v>3238</v>
      </c>
      <c r="C1480" s="19">
        <v>43118.110000000008</v>
      </c>
    </row>
    <row r="1481" spans="1:3" ht="15" x14ac:dyDescent="0.25">
      <c r="A1481" s="122" t="s">
        <v>3239</v>
      </c>
      <c r="B1481" s="3" t="s">
        <v>3240</v>
      </c>
      <c r="C1481" s="19">
        <v>7661.8599999999988</v>
      </c>
    </row>
    <row r="1482" spans="1:3" ht="15" x14ac:dyDescent="0.25">
      <c r="A1482" s="122" t="s">
        <v>3241</v>
      </c>
      <c r="B1482" s="3" t="s">
        <v>3242</v>
      </c>
      <c r="C1482" s="19">
        <v>20337.12</v>
      </c>
    </row>
    <row r="1483" spans="1:3" ht="15" x14ac:dyDescent="0.25">
      <c r="A1483" s="122" t="s">
        <v>3243</v>
      </c>
      <c r="B1483" s="3" t="s">
        <v>3244</v>
      </c>
      <c r="C1483" s="19">
        <v>10301.210000000006</v>
      </c>
    </row>
    <row r="1484" spans="1:3" ht="15" x14ac:dyDescent="0.25">
      <c r="A1484" s="122" t="s">
        <v>3245</v>
      </c>
      <c r="B1484" s="3" t="s">
        <v>3246</v>
      </c>
      <c r="C1484" s="19">
        <v>8326</v>
      </c>
    </row>
    <row r="1485" spans="1:3" ht="15" x14ac:dyDescent="0.25">
      <c r="A1485" s="122" t="s">
        <v>3247</v>
      </c>
      <c r="B1485" s="3" t="s">
        <v>3248</v>
      </c>
      <c r="C1485" s="19">
        <v>194923.12000000002</v>
      </c>
    </row>
    <row r="1486" spans="1:3" ht="15" x14ac:dyDescent="0.25">
      <c r="A1486" s="122" t="s">
        <v>3249</v>
      </c>
      <c r="B1486" s="3" t="s">
        <v>3250</v>
      </c>
      <c r="C1486" s="19">
        <v>97952.640000000043</v>
      </c>
    </row>
    <row r="1487" spans="1:3" ht="15" x14ac:dyDescent="0.25">
      <c r="A1487" s="122" t="s">
        <v>3251</v>
      </c>
      <c r="B1487" s="3" t="s">
        <v>3252</v>
      </c>
      <c r="C1487" s="19">
        <v>37626.500000000007</v>
      </c>
    </row>
    <row r="1488" spans="1:3" ht="15" x14ac:dyDescent="0.25">
      <c r="A1488" s="122" t="s">
        <v>3253</v>
      </c>
      <c r="B1488" s="3" t="s">
        <v>3254</v>
      </c>
      <c r="C1488" s="19">
        <v>171641.85000000003</v>
      </c>
    </row>
    <row r="1489" spans="1:3" ht="15" x14ac:dyDescent="0.25">
      <c r="A1489" s="122" t="s">
        <v>3255</v>
      </c>
      <c r="B1489" s="3" t="s">
        <v>3256</v>
      </c>
      <c r="C1489" s="19">
        <v>-110.17999999999392</v>
      </c>
    </row>
    <row r="1490" spans="1:3" ht="15" x14ac:dyDescent="0.25">
      <c r="A1490" s="122" t="s">
        <v>3257</v>
      </c>
      <c r="B1490" s="3" t="s">
        <v>3258</v>
      </c>
      <c r="C1490" s="19">
        <v>69801.810000000027</v>
      </c>
    </row>
    <row r="1491" spans="1:3" ht="15" x14ac:dyDescent="0.25">
      <c r="A1491" s="122" t="s">
        <v>3259</v>
      </c>
      <c r="B1491" s="3" t="s">
        <v>3260</v>
      </c>
      <c r="C1491" s="19">
        <v>55395.05999999999</v>
      </c>
    </row>
    <row r="1492" spans="1:3" ht="15" x14ac:dyDescent="0.25">
      <c r="A1492" s="122" t="s">
        <v>3261</v>
      </c>
      <c r="B1492" s="3" t="s">
        <v>3262</v>
      </c>
      <c r="C1492" s="19">
        <v>50973.140000000014</v>
      </c>
    </row>
    <row r="1493" spans="1:3" ht="15" x14ac:dyDescent="0.25">
      <c r="A1493" s="122" t="s">
        <v>3263</v>
      </c>
      <c r="B1493" s="3" t="s">
        <v>3264</v>
      </c>
      <c r="C1493" s="19">
        <v>62741.980000000018</v>
      </c>
    </row>
    <row r="1494" spans="1:3" ht="15" x14ac:dyDescent="0.25">
      <c r="A1494" s="122" t="s">
        <v>3265</v>
      </c>
      <c r="B1494" s="3" t="s">
        <v>3266</v>
      </c>
      <c r="C1494" s="19">
        <v>108562.72999999998</v>
      </c>
    </row>
    <row r="1495" spans="1:3" ht="15" x14ac:dyDescent="0.25">
      <c r="A1495" s="122" t="s">
        <v>3267</v>
      </c>
      <c r="B1495" s="3" t="s">
        <v>3268</v>
      </c>
      <c r="C1495" s="19">
        <v>153181.55000000002</v>
      </c>
    </row>
    <row r="1496" spans="1:3" ht="15" x14ac:dyDescent="0.25">
      <c r="A1496" s="122" t="s">
        <v>3269</v>
      </c>
      <c r="B1496" s="3" t="s">
        <v>3270</v>
      </c>
      <c r="C1496" s="19">
        <v>30643.580000000005</v>
      </c>
    </row>
    <row r="1497" spans="1:3" ht="15" x14ac:dyDescent="0.25">
      <c r="A1497" s="122" t="s">
        <v>3271</v>
      </c>
      <c r="B1497" s="3" t="s">
        <v>3272</v>
      </c>
      <c r="C1497" s="19">
        <v>36049.789999999986</v>
      </c>
    </row>
    <row r="1498" spans="1:3" ht="15" x14ac:dyDescent="0.25">
      <c r="A1498" s="122" t="s">
        <v>3273</v>
      </c>
      <c r="B1498" s="3" t="s">
        <v>3274</v>
      </c>
      <c r="C1498" s="19">
        <v>17060.71000000001</v>
      </c>
    </row>
    <row r="1499" spans="1:3" ht="15" x14ac:dyDescent="0.25">
      <c r="A1499" s="122" t="s">
        <v>3275</v>
      </c>
      <c r="B1499" s="3" t="s">
        <v>3276</v>
      </c>
      <c r="C1499" s="19">
        <v>628364.94999999972</v>
      </c>
    </row>
    <row r="1500" spans="1:3" ht="15" x14ac:dyDescent="0.25">
      <c r="A1500" s="122" t="s">
        <v>3277</v>
      </c>
      <c r="B1500" s="3" t="s">
        <v>3278</v>
      </c>
      <c r="C1500" s="19">
        <v>7886.6100000000006</v>
      </c>
    </row>
    <row r="1501" spans="1:3" ht="15" x14ac:dyDescent="0.25">
      <c r="A1501" s="122" t="s">
        <v>3279</v>
      </c>
      <c r="B1501" s="3" t="s">
        <v>3280</v>
      </c>
      <c r="C1501" s="19">
        <v>152875.18999999992</v>
      </c>
    </row>
    <row r="1502" spans="1:3" ht="15" x14ac:dyDescent="0.25">
      <c r="A1502" s="122" t="s">
        <v>3281</v>
      </c>
      <c r="B1502" s="3" t="s">
        <v>3282</v>
      </c>
      <c r="C1502" s="19">
        <v>24308.780000000006</v>
      </c>
    </row>
    <row r="1503" spans="1:3" ht="15" x14ac:dyDescent="0.25">
      <c r="A1503" s="122" t="s">
        <v>3283</v>
      </c>
      <c r="B1503" s="3" t="s">
        <v>3284</v>
      </c>
      <c r="C1503" s="19">
        <v>10131.030000000001</v>
      </c>
    </row>
    <row r="1504" spans="1:3" ht="15" x14ac:dyDescent="0.25">
      <c r="A1504" s="122" t="s">
        <v>3285</v>
      </c>
      <c r="B1504" s="3" t="s">
        <v>3286</v>
      </c>
      <c r="C1504" s="19">
        <v>225408.75</v>
      </c>
    </row>
    <row r="1505" spans="1:3" ht="15" x14ac:dyDescent="0.25">
      <c r="A1505" s="122" t="s">
        <v>3287</v>
      </c>
      <c r="B1505" s="3" t="s">
        <v>3288</v>
      </c>
      <c r="C1505" s="19">
        <v>15668.28</v>
      </c>
    </row>
    <row r="1506" spans="1:3" ht="15" x14ac:dyDescent="0.25">
      <c r="A1506" s="122" t="s">
        <v>3289</v>
      </c>
      <c r="B1506" s="3" t="s">
        <v>3290</v>
      </c>
      <c r="C1506" s="19">
        <v>0</v>
      </c>
    </row>
    <row r="1507" spans="1:3" ht="15" x14ac:dyDescent="0.25">
      <c r="A1507" s="122" t="s">
        <v>3291</v>
      </c>
      <c r="B1507" s="3" t="s">
        <v>3292</v>
      </c>
      <c r="C1507" s="19">
        <v>112633.21999999993</v>
      </c>
    </row>
    <row r="1508" spans="1:3" ht="15" x14ac:dyDescent="0.25">
      <c r="A1508" s="122" t="s">
        <v>3293</v>
      </c>
      <c r="B1508" s="3" t="s">
        <v>3294</v>
      </c>
      <c r="C1508" s="19">
        <v>50664.619999999995</v>
      </c>
    </row>
    <row r="1509" spans="1:3" ht="15" x14ac:dyDescent="0.25">
      <c r="A1509" s="122" t="s">
        <v>3295</v>
      </c>
      <c r="B1509" s="3" t="s">
        <v>3296</v>
      </c>
      <c r="C1509" s="19">
        <v>4956.2299999999996</v>
      </c>
    </row>
    <row r="1510" spans="1:3" ht="15" x14ac:dyDescent="0.25">
      <c r="A1510" s="122" t="s">
        <v>3297</v>
      </c>
      <c r="B1510" s="3" t="s">
        <v>3298</v>
      </c>
      <c r="C1510" s="19">
        <v>49247.929999999993</v>
      </c>
    </row>
    <row r="1511" spans="1:3" ht="15" x14ac:dyDescent="0.25">
      <c r="A1511" s="122" t="s">
        <v>3299</v>
      </c>
      <c r="B1511" s="3" t="s">
        <v>3300</v>
      </c>
      <c r="C1511" s="19">
        <v>243203.69000000009</v>
      </c>
    </row>
    <row r="1512" spans="1:3" ht="15" x14ac:dyDescent="0.25">
      <c r="A1512" s="122" t="s">
        <v>3301</v>
      </c>
      <c r="B1512" s="3" t="s">
        <v>3302</v>
      </c>
      <c r="C1512" s="19">
        <v>44196.67</v>
      </c>
    </row>
    <row r="1513" spans="1:3" ht="15" x14ac:dyDescent="0.25">
      <c r="A1513" s="122" t="s">
        <v>3303</v>
      </c>
      <c r="B1513" s="3" t="s">
        <v>3304</v>
      </c>
      <c r="C1513" s="19">
        <v>33614.159999999974</v>
      </c>
    </row>
    <row r="1514" spans="1:3" ht="15" x14ac:dyDescent="0.25">
      <c r="A1514" s="122" t="s">
        <v>3305</v>
      </c>
      <c r="B1514" s="3" t="s">
        <v>3306</v>
      </c>
      <c r="C1514" s="19">
        <v>23145.73</v>
      </c>
    </row>
    <row r="1515" spans="1:3" ht="15" x14ac:dyDescent="0.25">
      <c r="A1515" s="122" t="s">
        <v>3307</v>
      </c>
      <c r="B1515" s="3" t="s">
        <v>3308</v>
      </c>
      <c r="C1515" s="19">
        <v>26397.350000000006</v>
      </c>
    </row>
    <row r="1516" spans="1:3" ht="15" x14ac:dyDescent="0.25">
      <c r="A1516" s="122" t="s">
        <v>3309</v>
      </c>
      <c r="B1516" s="3" t="s">
        <v>3310</v>
      </c>
      <c r="C1516" s="19">
        <v>91730.690000000017</v>
      </c>
    </row>
    <row r="1517" spans="1:3" ht="15" x14ac:dyDescent="0.25">
      <c r="A1517" s="122" t="s">
        <v>3311</v>
      </c>
      <c r="B1517" s="3" t="s">
        <v>3312</v>
      </c>
      <c r="C1517" s="19">
        <v>62853.270000000019</v>
      </c>
    </row>
    <row r="1518" spans="1:3" ht="15" x14ac:dyDescent="0.25">
      <c r="A1518" s="122" t="s">
        <v>3313</v>
      </c>
      <c r="B1518" s="3" t="s">
        <v>3314</v>
      </c>
      <c r="C1518" s="19">
        <v>38252.920000000027</v>
      </c>
    </row>
    <row r="1519" spans="1:3" ht="15" x14ac:dyDescent="0.25">
      <c r="A1519" s="122" t="s">
        <v>3315</v>
      </c>
      <c r="B1519" s="3" t="s">
        <v>3316</v>
      </c>
      <c r="C1519" s="19">
        <v>673861.65</v>
      </c>
    </row>
    <row r="1520" spans="1:3" ht="15" x14ac:dyDescent="0.25">
      <c r="A1520" s="122" t="s">
        <v>3317</v>
      </c>
      <c r="B1520" s="3" t="s">
        <v>3318</v>
      </c>
      <c r="C1520" s="19">
        <v>145916.66000000018</v>
      </c>
    </row>
    <row r="1521" spans="1:3" ht="15" x14ac:dyDescent="0.25">
      <c r="A1521" s="122" t="s">
        <v>3319</v>
      </c>
      <c r="B1521" s="3" t="s">
        <v>3320</v>
      </c>
      <c r="C1521" s="19">
        <v>170739.62999999995</v>
      </c>
    </row>
    <row r="1522" spans="1:3" ht="15" x14ac:dyDescent="0.25">
      <c r="A1522" s="122" t="s">
        <v>3321</v>
      </c>
      <c r="B1522" s="3" t="s">
        <v>3322</v>
      </c>
      <c r="C1522" s="19">
        <v>47764.65</v>
      </c>
    </row>
    <row r="1523" spans="1:3" ht="15" x14ac:dyDescent="0.25">
      <c r="A1523" s="122" t="s">
        <v>3323</v>
      </c>
      <c r="B1523" s="3" t="s">
        <v>3324</v>
      </c>
      <c r="C1523" s="19">
        <v>60095.150000000016</v>
      </c>
    </row>
    <row r="1524" spans="1:3" ht="15" x14ac:dyDescent="0.25">
      <c r="A1524" s="122" t="s">
        <v>3325</v>
      </c>
      <c r="B1524" s="3" t="s">
        <v>3326</v>
      </c>
      <c r="C1524" s="19">
        <v>84728.160000000033</v>
      </c>
    </row>
    <row r="1525" spans="1:3" ht="15" x14ac:dyDescent="0.25">
      <c r="A1525" s="122" t="s">
        <v>3327</v>
      </c>
      <c r="B1525" s="3" t="s">
        <v>3328</v>
      </c>
      <c r="C1525" s="19">
        <v>75494.97</v>
      </c>
    </row>
    <row r="1526" spans="1:3" ht="15" x14ac:dyDescent="0.25">
      <c r="A1526" s="122" t="s">
        <v>3329</v>
      </c>
      <c r="B1526" s="3" t="s">
        <v>3330</v>
      </c>
      <c r="C1526" s="19">
        <v>12307.480000000001</v>
      </c>
    </row>
    <row r="1527" spans="1:3" ht="15" x14ac:dyDescent="0.25">
      <c r="A1527" s="122" t="s">
        <v>3331</v>
      </c>
      <c r="B1527" s="3" t="s">
        <v>3332</v>
      </c>
      <c r="C1527" s="19">
        <v>84882.23</v>
      </c>
    </row>
    <row r="1528" spans="1:3" ht="15" x14ac:dyDescent="0.25">
      <c r="A1528" s="122" t="s">
        <v>3333</v>
      </c>
      <c r="B1528" s="3" t="s">
        <v>3334</v>
      </c>
      <c r="C1528" s="19">
        <v>48778.049999999988</v>
      </c>
    </row>
    <row r="1529" spans="1:3" ht="15" x14ac:dyDescent="0.25">
      <c r="A1529" s="122" t="s">
        <v>3335</v>
      </c>
      <c r="B1529" s="3" t="s">
        <v>3336</v>
      </c>
      <c r="C1529" s="19">
        <v>17002.91</v>
      </c>
    </row>
    <row r="1530" spans="1:3" ht="15" x14ac:dyDescent="0.25">
      <c r="A1530" s="122" t="s">
        <v>3337</v>
      </c>
      <c r="B1530" s="3" t="s">
        <v>3338</v>
      </c>
      <c r="C1530" s="19">
        <v>180532.46000000002</v>
      </c>
    </row>
    <row r="1531" spans="1:3" ht="15" x14ac:dyDescent="0.25">
      <c r="A1531" s="122" t="s">
        <v>3339</v>
      </c>
      <c r="B1531" s="3" t="s">
        <v>3340</v>
      </c>
      <c r="C1531" s="19">
        <v>44516.43</v>
      </c>
    </row>
    <row r="1532" spans="1:3" ht="15" x14ac:dyDescent="0.25">
      <c r="A1532" s="122" t="s">
        <v>3341</v>
      </c>
      <c r="B1532" s="3" t="s">
        <v>3342</v>
      </c>
      <c r="C1532" s="19">
        <v>29246.730000000003</v>
      </c>
    </row>
    <row r="1533" spans="1:3" ht="15" x14ac:dyDescent="0.25">
      <c r="A1533" s="122" t="s">
        <v>3343</v>
      </c>
      <c r="B1533" s="3" t="s">
        <v>3344</v>
      </c>
      <c r="C1533" s="19">
        <v>6334.2799999999979</v>
      </c>
    </row>
    <row r="1534" spans="1:3" ht="15" x14ac:dyDescent="0.25">
      <c r="A1534" s="122" t="s">
        <v>3345</v>
      </c>
      <c r="B1534" s="3" t="s">
        <v>3346</v>
      </c>
      <c r="C1534" s="19">
        <v>10259.33</v>
      </c>
    </row>
    <row r="1535" spans="1:3" ht="15" x14ac:dyDescent="0.25">
      <c r="A1535" s="122" t="s">
        <v>3347</v>
      </c>
      <c r="B1535" s="3" t="s">
        <v>3348</v>
      </c>
      <c r="C1535" s="19">
        <v>31229.73000000001</v>
      </c>
    </row>
    <row r="1536" spans="1:3" ht="15" x14ac:dyDescent="0.25">
      <c r="A1536" s="122" t="s">
        <v>3349</v>
      </c>
      <c r="B1536" s="3" t="s">
        <v>3350</v>
      </c>
      <c r="C1536" s="19">
        <v>832524</v>
      </c>
    </row>
    <row r="1537" spans="1:3" ht="15" x14ac:dyDescent="0.25">
      <c r="A1537" s="122" t="s">
        <v>3351</v>
      </c>
      <c r="B1537" s="3" t="s">
        <v>3352</v>
      </c>
      <c r="C1537" s="19">
        <v>197099.81999999998</v>
      </c>
    </row>
    <row r="1538" spans="1:3" ht="15" x14ac:dyDescent="0.25">
      <c r="A1538" s="122" t="s">
        <v>3353</v>
      </c>
      <c r="B1538" s="3" t="s">
        <v>3354</v>
      </c>
      <c r="C1538" s="19">
        <v>23007.909999999993</v>
      </c>
    </row>
    <row r="1539" spans="1:3" ht="15" x14ac:dyDescent="0.25">
      <c r="A1539" s="122" t="s">
        <v>3355</v>
      </c>
      <c r="B1539" s="3" t="s">
        <v>3356</v>
      </c>
      <c r="C1539" s="19">
        <v>997104.17000000062</v>
      </c>
    </row>
    <row r="1540" spans="1:3" ht="15" x14ac:dyDescent="0.25">
      <c r="A1540" s="122" t="s">
        <v>3357</v>
      </c>
      <c r="B1540" s="3" t="s">
        <v>3358</v>
      </c>
      <c r="C1540" s="19">
        <v>31551.98</v>
      </c>
    </row>
    <row r="1541" spans="1:3" ht="15" x14ac:dyDescent="0.25">
      <c r="A1541" s="122" t="s">
        <v>3359</v>
      </c>
      <c r="B1541" s="3" t="s">
        <v>3360</v>
      </c>
      <c r="C1541" s="19">
        <v>79541.120000000068</v>
      </c>
    </row>
    <row r="1542" spans="1:3" ht="15" x14ac:dyDescent="0.25">
      <c r="A1542" s="122" t="s">
        <v>3361</v>
      </c>
      <c r="B1542" s="3" t="s">
        <v>3362</v>
      </c>
      <c r="C1542" s="19">
        <v>102868.35000000002</v>
      </c>
    </row>
    <row r="1543" spans="1:3" ht="15" x14ac:dyDescent="0.25">
      <c r="A1543" s="122" t="s">
        <v>3363</v>
      </c>
      <c r="B1543" s="3" t="s">
        <v>3364</v>
      </c>
      <c r="C1543" s="19">
        <v>33629.769999999997</v>
      </c>
    </row>
    <row r="1544" spans="1:3" ht="15" x14ac:dyDescent="0.25">
      <c r="A1544" s="122" t="s">
        <v>3365</v>
      </c>
      <c r="B1544" s="3" t="s">
        <v>3366</v>
      </c>
      <c r="C1544" s="19">
        <v>143017.88000000009</v>
      </c>
    </row>
    <row r="1545" spans="1:3" ht="15" x14ac:dyDescent="0.25">
      <c r="A1545" s="122" t="s">
        <v>3367</v>
      </c>
      <c r="B1545" s="3" t="s">
        <v>3368</v>
      </c>
      <c r="C1545" s="19">
        <v>100936.81</v>
      </c>
    </row>
    <row r="1546" spans="1:3" ht="15" x14ac:dyDescent="0.25">
      <c r="A1546" s="122" t="s">
        <v>3369</v>
      </c>
      <c r="B1546" s="3" t="s">
        <v>3370</v>
      </c>
      <c r="C1546" s="19">
        <v>206828.35999999987</v>
      </c>
    </row>
    <row r="1547" spans="1:3" ht="15" x14ac:dyDescent="0.25">
      <c r="A1547" s="122" t="s">
        <v>3371</v>
      </c>
      <c r="B1547" s="3" t="s">
        <v>3372</v>
      </c>
      <c r="C1547" s="19">
        <v>41196.720000000001</v>
      </c>
    </row>
    <row r="1548" spans="1:3" ht="15" x14ac:dyDescent="0.25">
      <c r="A1548" s="122" t="s">
        <v>3373</v>
      </c>
      <c r="B1548" s="3" t="s">
        <v>3374</v>
      </c>
      <c r="C1548" s="19">
        <v>194451.16</v>
      </c>
    </row>
    <row r="1549" spans="1:3" ht="15" x14ac:dyDescent="0.25">
      <c r="A1549" s="122" t="s">
        <v>3375</v>
      </c>
      <c r="B1549" s="3" t="s">
        <v>3376</v>
      </c>
      <c r="C1549" s="19">
        <v>255988.79000000015</v>
      </c>
    </row>
    <row r="1550" spans="1:3" ht="15" x14ac:dyDescent="0.25">
      <c r="A1550" s="122" t="s">
        <v>3377</v>
      </c>
      <c r="B1550" s="3" t="s">
        <v>3378</v>
      </c>
      <c r="C1550" s="19">
        <v>2895.6899999999991</v>
      </c>
    </row>
    <row r="1551" spans="1:3" ht="15" x14ac:dyDescent="0.25">
      <c r="A1551" s="122" t="s">
        <v>3379</v>
      </c>
      <c r="B1551" s="3" t="s">
        <v>3380</v>
      </c>
      <c r="C1551" s="19">
        <v>95687.349999999933</v>
      </c>
    </row>
    <row r="1552" spans="1:3" ht="15" x14ac:dyDescent="0.25">
      <c r="A1552" s="122" t="s">
        <v>3381</v>
      </c>
      <c r="B1552" s="3" t="s">
        <v>3382</v>
      </c>
      <c r="C1552" s="19">
        <v>57924.420000000013</v>
      </c>
    </row>
    <row r="1553" spans="1:3" ht="15" x14ac:dyDescent="0.25">
      <c r="A1553" s="122" t="s">
        <v>3383</v>
      </c>
      <c r="B1553" s="3" t="s">
        <v>3384</v>
      </c>
      <c r="C1553" s="19">
        <v>11641.92</v>
      </c>
    </row>
    <row r="1554" spans="1:3" ht="15" x14ac:dyDescent="0.25">
      <c r="A1554" s="122" t="s">
        <v>3385</v>
      </c>
      <c r="B1554" s="3" t="s">
        <v>3386</v>
      </c>
      <c r="C1554" s="19">
        <v>100220.36000000003</v>
      </c>
    </row>
    <row r="1555" spans="1:3" ht="15" x14ac:dyDescent="0.25">
      <c r="A1555" s="122" t="s">
        <v>3387</v>
      </c>
      <c r="B1555" s="3" t="s">
        <v>3388</v>
      </c>
      <c r="C1555" s="19">
        <v>47618.62999999999</v>
      </c>
    </row>
    <row r="1556" spans="1:3" ht="15" x14ac:dyDescent="0.25">
      <c r="A1556" s="122" t="s">
        <v>3389</v>
      </c>
      <c r="B1556" s="3" t="s">
        <v>3390</v>
      </c>
      <c r="C1556" s="19">
        <v>128070.79</v>
      </c>
    </row>
    <row r="1557" spans="1:3" ht="15" x14ac:dyDescent="0.25">
      <c r="A1557" s="122" t="s">
        <v>3391</v>
      </c>
      <c r="B1557" s="3" t="s">
        <v>3392</v>
      </c>
      <c r="C1557" s="19">
        <v>112466.56999999998</v>
      </c>
    </row>
    <row r="1558" spans="1:3" ht="15" x14ac:dyDescent="0.25">
      <c r="A1558" s="122" t="s">
        <v>3393</v>
      </c>
      <c r="B1558" s="3" t="s">
        <v>3394</v>
      </c>
      <c r="C1558" s="19">
        <v>77630.77999999997</v>
      </c>
    </row>
    <row r="1559" spans="1:3" ht="15" x14ac:dyDescent="0.25">
      <c r="A1559" s="122" t="s">
        <v>3395</v>
      </c>
      <c r="B1559" s="3" t="s">
        <v>3396</v>
      </c>
      <c r="C1559" s="19">
        <v>348343.11</v>
      </c>
    </row>
    <row r="1560" spans="1:3" ht="15" x14ac:dyDescent="0.25">
      <c r="A1560" s="122" t="s">
        <v>3397</v>
      </c>
      <c r="B1560" s="3" t="s">
        <v>3398</v>
      </c>
      <c r="C1560" s="19">
        <v>15264.54</v>
      </c>
    </row>
    <row r="1561" spans="1:3" ht="15" x14ac:dyDescent="0.25">
      <c r="A1561" s="122" t="s">
        <v>3399</v>
      </c>
      <c r="B1561" s="3" t="s">
        <v>3400</v>
      </c>
      <c r="C1561" s="19">
        <v>69876.12</v>
      </c>
    </row>
    <row r="1562" spans="1:3" ht="15" x14ac:dyDescent="0.25">
      <c r="A1562" s="122" t="s">
        <v>3401</v>
      </c>
      <c r="B1562" s="3" t="s">
        <v>3402</v>
      </c>
      <c r="C1562" s="19">
        <v>53544.889999999985</v>
      </c>
    </row>
    <row r="1563" spans="1:3" ht="15" x14ac:dyDescent="0.25">
      <c r="A1563" s="122" t="s">
        <v>3403</v>
      </c>
      <c r="B1563" s="3" t="s">
        <v>3404</v>
      </c>
      <c r="C1563" s="19">
        <v>480952.55999999994</v>
      </c>
    </row>
    <row r="1564" spans="1:3" ht="15" x14ac:dyDescent="0.25">
      <c r="A1564" s="122" t="s">
        <v>3405</v>
      </c>
      <c r="B1564" s="3" t="s">
        <v>3406</v>
      </c>
      <c r="C1564" s="19">
        <v>40537.530000000006</v>
      </c>
    </row>
    <row r="1565" spans="1:3" ht="15" x14ac:dyDescent="0.25">
      <c r="A1565" s="122" t="s">
        <v>3407</v>
      </c>
      <c r="B1565" s="3" t="s">
        <v>3408</v>
      </c>
      <c r="C1565" s="19">
        <v>67200</v>
      </c>
    </row>
    <row r="1566" spans="1:3" ht="15" x14ac:dyDescent="0.25">
      <c r="A1566" s="122" t="s">
        <v>3409</v>
      </c>
      <c r="B1566" s="3" t="s">
        <v>3410</v>
      </c>
      <c r="C1566" s="19">
        <v>78001.479999999981</v>
      </c>
    </row>
    <row r="1567" spans="1:3" ht="15" x14ac:dyDescent="0.25">
      <c r="A1567" s="122" t="s">
        <v>3411</v>
      </c>
      <c r="B1567" s="3" t="s">
        <v>3412</v>
      </c>
      <c r="C1567" s="19">
        <v>11597.159999999998</v>
      </c>
    </row>
    <row r="1568" spans="1:3" ht="15" x14ac:dyDescent="0.25">
      <c r="A1568" s="122" t="s">
        <v>3413</v>
      </c>
      <c r="B1568" s="3" t="s">
        <v>3414</v>
      </c>
      <c r="C1568" s="19">
        <v>19220.539999999997</v>
      </c>
    </row>
    <row r="1569" spans="1:3" ht="15" x14ac:dyDescent="0.25">
      <c r="A1569" s="122" t="s">
        <v>3415</v>
      </c>
      <c r="B1569" s="3" t="s">
        <v>3416</v>
      </c>
      <c r="C1569" s="19">
        <v>56383.860000000008</v>
      </c>
    </row>
    <row r="1570" spans="1:3" ht="15" x14ac:dyDescent="0.25">
      <c r="A1570" s="122" t="s">
        <v>3417</v>
      </c>
      <c r="B1570" s="3" t="s">
        <v>3418</v>
      </c>
      <c r="C1570" s="19">
        <v>97793.82</v>
      </c>
    </row>
    <row r="1571" spans="1:3" ht="15" x14ac:dyDescent="0.25">
      <c r="A1571" s="122" t="s">
        <v>3419</v>
      </c>
      <c r="B1571" s="3" t="s">
        <v>3420</v>
      </c>
      <c r="C1571" s="19">
        <v>57455.189999999995</v>
      </c>
    </row>
    <row r="1572" spans="1:3" ht="15" x14ac:dyDescent="0.25">
      <c r="A1572" s="122" t="s">
        <v>3421</v>
      </c>
      <c r="B1572" s="3" t="s">
        <v>3422</v>
      </c>
      <c r="C1572" s="19">
        <v>376743.64999999967</v>
      </c>
    </row>
    <row r="1573" spans="1:3" ht="15" x14ac:dyDescent="0.25">
      <c r="A1573" s="122" t="s">
        <v>3423</v>
      </c>
      <c r="B1573" s="3" t="s">
        <v>3424</v>
      </c>
      <c r="C1573" s="19">
        <v>19949.270000000008</v>
      </c>
    </row>
    <row r="1574" spans="1:3" ht="15" x14ac:dyDescent="0.25">
      <c r="A1574" s="122" t="s">
        <v>3425</v>
      </c>
      <c r="B1574" s="3" t="s">
        <v>3426</v>
      </c>
      <c r="C1574" s="19">
        <v>129036.48</v>
      </c>
    </row>
    <row r="1575" spans="1:3" ht="15" x14ac:dyDescent="0.25">
      <c r="A1575" s="122" t="s">
        <v>3427</v>
      </c>
      <c r="B1575" s="3" t="s">
        <v>3428</v>
      </c>
      <c r="C1575" s="19">
        <v>26000.91</v>
      </c>
    </row>
    <row r="1576" spans="1:3" ht="15" x14ac:dyDescent="0.25">
      <c r="A1576" s="122" t="s">
        <v>3429</v>
      </c>
      <c r="B1576" s="3" t="s">
        <v>3430</v>
      </c>
      <c r="C1576" s="19">
        <v>42569.090000000011</v>
      </c>
    </row>
    <row r="1577" spans="1:3" ht="15" x14ac:dyDescent="0.25">
      <c r="A1577" s="122" t="s">
        <v>3431</v>
      </c>
      <c r="B1577" s="3" t="s">
        <v>3432</v>
      </c>
      <c r="C1577" s="19">
        <v>215679.32999999996</v>
      </c>
    </row>
    <row r="1578" spans="1:3" ht="15" x14ac:dyDescent="0.25">
      <c r="A1578" s="122" t="s">
        <v>3433</v>
      </c>
      <c r="B1578" s="3" t="s">
        <v>3434</v>
      </c>
      <c r="C1578" s="19">
        <v>3561.6</v>
      </c>
    </row>
    <row r="1579" spans="1:3" ht="15" x14ac:dyDescent="0.25">
      <c r="A1579" s="122" t="s">
        <v>3435</v>
      </c>
      <c r="B1579" s="3" t="s">
        <v>3436</v>
      </c>
      <c r="C1579" s="19">
        <v>47491.950000000004</v>
      </c>
    </row>
    <row r="1580" spans="1:3" ht="15" x14ac:dyDescent="0.25">
      <c r="A1580" s="122" t="s">
        <v>3437</v>
      </c>
      <c r="B1580" s="3" t="s">
        <v>3438</v>
      </c>
      <c r="C1580" s="19">
        <v>29630.899999999994</v>
      </c>
    </row>
    <row r="1581" spans="1:3" ht="15" x14ac:dyDescent="0.25">
      <c r="A1581" s="122" t="s">
        <v>3439</v>
      </c>
      <c r="B1581" s="3" t="s">
        <v>3440</v>
      </c>
      <c r="C1581" s="19">
        <v>120108.23999999998</v>
      </c>
    </row>
    <row r="1582" spans="1:3" ht="15" x14ac:dyDescent="0.25">
      <c r="A1582" s="122" t="s">
        <v>3441</v>
      </c>
      <c r="B1582" s="3" t="s">
        <v>3442</v>
      </c>
      <c r="C1582" s="19">
        <v>152449.74999999994</v>
      </c>
    </row>
    <row r="1583" spans="1:3" ht="15" x14ac:dyDescent="0.25">
      <c r="A1583" s="122" t="s">
        <v>3443</v>
      </c>
      <c r="B1583" s="3" t="s">
        <v>3444</v>
      </c>
      <c r="C1583" s="19">
        <v>495989.94999999995</v>
      </c>
    </row>
    <row r="1584" spans="1:3" ht="15" x14ac:dyDescent="0.25">
      <c r="A1584" s="122" t="s">
        <v>3445</v>
      </c>
      <c r="B1584" s="3" t="s">
        <v>3446</v>
      </c>
      <c r="C1584" s="19">
        <v>6403.83</v>
      </c>
    </row>
    <row r="1585" spans="1:3" ht="15" x14ac:dyDescent="0.25">
      <c r="A1585" s="122" t="s">
        <v>3447</v>
      </c>
      <c r="B1585" s="3" t="s">
        <v>3448</v>
      </c>
      <c r="C1585" s="19">
        <v>4410.7999999999975</v>
      </c>
    </row>
    <row r="1586" spans="1:3" ht="15" x14ac:dyDescent="0.25">
      <c r="A1586" s="122" t="s">
        <v>3449</v>
      </c>
      <c r="B1586" s="3" t="s">
        <v>3450</v>
      </c>
      <c r="C1586" s="19">
        <v>154470.57999999996</v>
      </c>
    </row>
    <row r="1587" spans="1:3" ht="15" x14ac:dyDescent="0.25">
      <c r="A1587" s="122" t="s">
        <v>3451</v>
      </c>
      <c r="B1587" s="3" t="s">
        <v>3452</v>
      </c>
      <c r="C1587" s="19">
        <v>32265.639999999992</v>
      </c>
    </row>
    <row r="1588" spans="1:3" ht="15" x14ac:dyDescent="0.25">
      <c r="A1588" s="122" t="s">
        <v>3453</v>
      </c>
      <c r="B1588" s="3" t="s">
        <v>3454</v>
      </c>
      <c r="C1588" s="19">
        <v>114470.1</v>
      </c>
    </row>
    <row r="1589" spans="1:3" ht="15" x14ac:dyDescent="0.25">
      <c r="A1589" s="122" t="s">
        <v>3455</v>
      </c>
      <c r="B1589" s="3" t="s">
        <v>3456</v>
      </c>
      <c r="C1589" s="19">
        <v>73470.48</v>
      </c>
    </row>
    <row r="1590" spans="1:3" ht="15" x14ac:dyDescent="0.25">
      <c r="A1590" s="122" t="s">
        <v>3457</v>
      </c>
      <c r="B1590" s="3" t="s">
        <v>3458</v>
      </c>
      <c r="C1590" s="19">
        <v>130940.04</v>
      </c>
    </row>
    <row r="1591" spans="1:3" ht="15" x14ac:dyDescent="0.25">
      <c r="A1591" s="122" t="s">
        <v>3459</v>
      </c>
      <c r="B1591" s="3" t="s">
        <v>3460</v>
      </c>
      <c r="C1591" s="19">
        <v>67549.2</v>
      </c>
    </row>
    <row r="1592" spans="1:3" ht="15" x14ac:dyDescent="0.25">
      <c r="A1592" s="122" t="s">
        <v>3461</v>
      </c>
      <c r="B1592" s="3" t="s">
        <v>3462</v>
      </c>
      <c r="C1592" s="19">
        <v>30897.23000000001</v>
      </c>
    </row>
    <row r="1593" spans="1:3" ht="15" x14ac:dyDescent="0.25">
      <c r="A1593" s="122" t="s">
        <v>3463</v>
      </c>
      <c r="B1593" s="3" t="s">
        <v>3464</v>
      </c>
      <c r="C1593" s="19">
        <v>44744</v>
      </c>
    </row>
    <row r="1594" spans="1:3" ht="15" x14ac:dyDescent="0.25">
      <c r="A1594" s="122" t="s">
        <v>3465</v>
      </c>
      <c r="B1594" s="3" t="s">
        <v>3466</v>
      </c>
      <c r="C1594" s="19">
        <v>6143.15</v>
      </c>
    </row>
    <row r="1595" spans="1:3" ht="15" x14ac:dyDescent="0.25">
      <c r="A1595" s="122" t="s">
        <v>3467</v>
      </c>
      <c r="B1595" s="3" t="s">
        <v>3468</v>
      </c>
      <c r="C1595" s="19">
        <v>21751.200000000001</v>
      </c>
    </row>
    <row r="1596" spans="1:3" ht="15" x14ac:dyDescent="0.25">
      <c r="A1596" s="122" t="s">
        <v>3469</v>
      </c>
      <c r="B1596" s="3" t="s">
        <v>3470</v>
      </c>
      <c r="C1596" s="19">
        <v>3282.5899999999988</v>
      </c>
    </row>
    <row r="1597" spans="1:3" ht="15" x14ac:dyDescent="0.25">
      <c r="A1597" s="122" t="s">
        <v>3471</v>
      </c>
      <c r="B1597" s="3" t="s">
        <v>3472</v>
      </c>
      <c r="C1597" s="19">
        <v>28000</v>
      </c>
    </row>
    <row r="1598" spans="1:3" ht="15" x14ac:dyDescent="0.25">
      <c r="A1598" s="122" t="s">
        <v>3473</v>
      </c>
      <c r="B1598" s="3" t="s">
        <v>3474</v>
      </c>
      <c r="C1598" s="19">
        <v>8870.42</v>
      </c>
    </row>
    <row r="1599" spans="1:3" ht="15" x14ac:dyDescent="0.25">
      <c r="A1599" s="122" t="s">
        <v>3475</v>
      </c>
      <c r="B1599" s="3" t="s">
        <v>3476</v>
      </c>
      <c r="C1599" s="19">
        <v>28963.17</v>
      </c>
    </row>
    <row r="1600" spans="1:3" ht="15" x14ac:dyDescent="0.25">
      <c r="A1600" s="122" t="s">
        <v>3477</v>
      </c>
      <c r="B1600" s="3" t="s">
        <v>3478</v>
      </c>
      <c r="C1600" s="19">
        <v>261118.58</v>
      </c>
    </row>
    <row r="1601" spans="1:3" ht="15" x14ac:dyDescent="0.25">
      <c r="A1601" s="122" t="s">
        <v>3479</v>
      </c>
      <c r="B1601" s="3" t="s">
        <v>3480</v>
      </c>
      <c r="C1601" s="19">
        <v>207623.62</v>
      </c>
    </row>
    <row r="1602" spans="1:3" ht="15" x14ac:dyDescent="0.25">
      <c r="A1602" s="122" t="s">
        <v>3481</v>
      </c>
      <c r="B1602" s="3" t="s">
        <v>3482</v>
      </c>
      <c r="C1602" s="19">
        <v>108729.70999999999</v>
      </c>
    </row>
    <row r="1603" spans="1:3" ht="15" x14ac:dyDescent="0.25">
      <c r="A1603" s="122" t="s">
        <v>3483</v>
      </c>
      <c r="B1603" s="3" t="s">
        <v>3484</v>
      </c>
      <c r="C1603" s="19">
        <v>60601.98</v>
      </c>
    </row>
    <row r="1604" spans="1:3" ht="15" x14ac:dyDescent="0.25">
      <c r="A1604" s="122" t="s">
        <v>3485</v>
      </c>
      <c r="B1604" s="3" t="s">
        <v>3486</v>
      </c>
      <c r="C1604" s="19">
        <v>2241.7600000000007</v>
      </c>
    </row>
    <row r="1605" spans="1:3" ht="15" x14ac:dyDescent="0.25">
      <c r="A1605" s="122" t="s">
        <v>3487</v>
      </c>
      <c r="B1605" s="3" t="s">
        <v>3488</v>
      </c>
      <c r="C1605" s="19">
        <v>107942.09000000001</v>
      </c>
    </row>
    <row r="1606" spans="1:3" ht="15" x14ac:dyDescent="0.25">
      <c r="A1606" s="122" t="s">
        <v>3489</v>
      </c>
      <c r="B1606" s="3" t="s">
        <v>3490</v>
      </c>
      <c r="C1606" s="19">
        <v>106859.00999999994</v>
      </c>
    </row>
    <row r="1607" spans="1:3" ht="15" x14ac:dyDescent="0.25">
      <c r="A1607" s="122" t="s">
        <v>3491</v>
      </c>
      <c r="B1607" s="3" t="s">
        <v>3492</v>
      </c>
      <c r="C1607" s="19">
        <v>96571.169999999969</v>
      </c>
    </row>
    <row r="1608" spans="1:3" ht="15" x14ac:dyDescent="0.25">
      <c r="A1608" s="122" t="s">
        <v>3493</v>
      </c>
      <c r="B1608" s="3" t="s">
        <v>3494</v>
      </c>
      <c r="C1608" s="19">
        <v>99741.71</v>
      </c>
    </row>
    <row r="1609" spans="1:3" ht="15" x14ac:dyDescent="0.25">
      <c r="A1609" s="122" t="s">
        <v>3495</v>
      </c>
      <c r="B1609" s="3" t="s">
        <v>3496</v>
      </c>
      <c r="C1609" s="19">
        <v>152862.56999999998</v>
      </c>
    </row>
    <row r="1610" spans="1:3" ht="15" x14ac:dyDescent="0.25">
      <c r="A1610" s="122" t="s">
        <v>3497</v>
      </c>
      <c r="B1610" s="3" t="s">
        <v>3498</v>
      </c>
      <c r="C1610" s="19">
        <v>-83684.479999999996</v>
      </c>
    </row>
    <row r="1611" spans="1:3" ht="15" x14ac:dyDescent="0.25">
      <c r="A1611" s="122" t="s">
        <v>3499</v>
      </c>
      <c r="B1611" s="3" t="s">
        <v>3500</v>
      </c>
      <c r="C1611" s="19">
        <v>0</v>
      </c>
    </row>
    <row r="1612" spans="1:3" ht="15" x14ac:dyDescent="0.25">
      <c r="A1612" s="122" t="s">
        <v>3501</v>
      </c>
      <c r="B1612" s="3" t="s">
        <v>3502</v>
      </c>
      <c r="C1612" s="19">
        <v>-111.02999999998792</v>
      </c>
    </row>
    <row r="1613" spans="1:3" ht="15" x14ac:dyDescent="0.25">
      <c r="A1613" s="122" t="s">
        <v>3503</v>
      </c>
      <c r="B1613" s="3" t="s">
        <v>3504</v>
      </c>
      <c r="C1613" s="19">
        <v>2.8499999999999091</v>
      </c>
    </row>
    <row r="1614" spans="1:3" ht="15" x14ac:dyDescent="0.25">
      <c r="A1614" s="122" t="s">
        <v>3505</v>
      </c>
      <c r="B1614" s="3" t="s">
        <v>3506</v>
      </c>
      <c r="C1614" s="19">
        <v>717903.4800000001</v>
      </c>
    </row>
    <row r="1615" spans="1:3" ht="15" x14ac:dyDescent="0.25">
      <c r="A1615" s="122" t="s">
        <v>3507</v>
      </c>
      <c r="B1615" s="3" t="s">
        <v>3508</v>
      </c>
      <c r="C1615" s="19">
        <v>61973.909999999996</v>
      </c>
    </row>
    <row r="1616" spans="1:3" ht="15" x14ac:dyDescent="0.25">
      <c r="A1616" s="122" t="s">
        <v>3509</v>
      </c>
      <c r="B1616" s="3" t="s">
        <v>3510</v>
      </c>
      <c r="C1616" s="19">
        <v>46618.880000000012</v>
      </c>
    </row>
    <row r="1617" spans="1:3" ht="15" x14ac:dyDescent="0.25">
      <c r="A1617" s="122" t="s">
        <v>3511</v>
      </c>
      <c r="B1617" s="3" t="s">
        <v>3512</v>
      </c>
      <c r="C1617" s="19">
        <v>510017.82000000024</v>
      </c>
    </row>
    <row r="1618" spans="1:3" ht="15" x14ac:dyDescent="0.25">
      <c r="A1618" s="122" t="s">
        <v>3513</v>
      </c>
      <c r="B1618" s="3" t="s">
        <v>3514</v>
      </c>
      <c r="C1618" s="19">
        <v>10632174.010000009</v>
      </c>
    </row>
    <row r="1619" spans="1:3" ht="15" x14ac:dyDescent="0.25">
      <c r="A1619" s="122" t="s">
        <v>3515</v>
      </c>
      <c r="B1619" s="3" t="s">
        <v>3516</v>
      </c>
      <c r="C1619" s="19">
        <v>5926.25</v>
      </c>
    </row>
    <row r="1620" spans="1:3" ht="15" x14ac:dyDescent="0.25">
      <c r="A1620" s="122" t="s">
        <v>3517</v>
      </c>
      <c r="B1620" s="3" t="s">
        <v>3518</v>
      </c>
      <c r="C1620" s="19">
        <v>530966.87</v>
      </c>
    </row>
    <row r="1621" spans="1:3" ht="15" x14ac:dyDescent="0.25">
      <c r="A1621" s="122" t="s">
        <v>3519</v>
      </c>
      <c r="B1621" s="3" t="s">
        <v>3520</v>
      </c>
      <c r="C1621" s="19">
        <v>96826.210000000094</v>
      </c>
    </row>
    <row r="1622" spans="1:3" ht="15" x14ac:dyDescent="0.25">
      <c r="A1622" s="122" t="s">
        <v>3521</v>
      </c>
      <c r="B1622" s="3" t="s">
        <v>3522</v>
      </c>
      <c r="C1622" s="19">
        <v>35543.599999999991</v>
      </c>
    </row>
    <row r="1623" spans="1:3" ht="15" x14ac:dyDescent="0.25">
      <c r="A1623" s="122" t="s">
        <v>3523</v>
      </c>
      <c r="B1623" s="3" t="s">
        <v>3524</v>
      </c>
      <c r="C1623" s="19">
        <v>95272.089999999909</v>
      </c>
    </row>
    <row r="1624" spans="1:3" ht="15" x14ac:dyDescent="0.25">
      <c r="A1624" s="122" t="s">
        <v>3525</v>
      </c>
      <c r="B1624" s="3" t="s">
        <v>3526</v>
      </c>
      <c r="C1624" s="19">
        <v>29614.920000000002</v>
      </c>
    </row>
    <row r="1625" spans="1:3" ht="15" x14ac:dyDescent="0.25">
      <c r="A1625" s="122" t="s">
        <v>3527</v>
      </c>
      <c r="B1625" s="3" t="s">
        <v>3528</v>
      </c>
      <c r="C1625" s="19">
        <v>195383.3599999999</v>
      </c>
    </row>
    <row r="1626" spans="1:3" ht="15" x14ac:dyDescent="0.25">
      <c r="A1626" s="122" t="s">
        <v>3529</v>
      </c>
      <c r="B1626" s="3" t="s">
        <v>3530</v>
      </c>
      <c r="C1626" s="19">
        <v>-165090.09999999998</v>
      </c>
    </row>
    <row r="1627" spans="1:3" ht="15" x14ac:dyDescent="0.25">
      <c r="A1627" s="122" t="s">
        <v>3531</v>
      </c>
      <c r="B1627" s="3" t="s">
        <v>3532</v>
      </c>
      <c r="C1627" s="19">
        <v>1545708.14</v>
      </c>
    </row>
    <row r="1628" spans="1:3" ht="15" x14ac:dyDescent="0.25">
      <c r="A1628" s="122" t="s">
        <v>3533</v>
      </c>
      <c r="B1628" s="3" t="s">
        <v>3534</v>
      </c>
      <c r="C1628" s="19">
        <v>10078.200000000004</v>
      </c>
    </row>
    <row r="1629" spans="1:3" ht="15" x14ac:dyDescent="0.25">
      <c r="A1629" s="122" t="s">
        <v>3535</v>
      </c>
      <c r="B1629" s="3" t="s">
        <v>3536</v>
      </c>
      <c r="C1629" s="19">
        <v>2024.66</v>
      </c>
    </row>
    <row r="1630" spans="1:3" ht="15" x14ac:dyDescent="0.25">
      <c r="A1630" s="122" t="s">
        <v>3537</v>
      </c>
      <c r="B1630" s="3" t="s">
        <v>3538</v>
      </c>
      <c r="C1630" s="19">
        <v>10069.799999999997</v>
      </c>
    </row>
    <row r="1631" spans="1:3" ht="15" x14ac:dyDescent="0.25">
      <c r="A1631" s="122" t="s">
        <v>3539</v>
      </c>
      <c r="B1631" s="3" t="s">
        <v>3540</v>
      </c>
      <c r="C1631" s="19">
        <v>427400.52999999962</v>
      </c>
    </row>
    <row r="1632" spans="1:3" ht="15" x14ac:dyDescent="0.25">
      <c r="A1632" s="122" t="s">
        <v>3541</v>
      </c>
      <c r="B1632" s="3" t="s">
        <v>3542</v>
      </c>
      <c r="C1632" s="19">
        <v>2622.0400000000009</v>
      </c>
    </row>
    <row r="1633" spans="1:3" ht="15" x14ac:dyDescent="0.25">
      <c r="A1633" s="122" t="s">
        <v>3543</v>
      </c>
      <c r="B1633" s="3" t="s">
        <v>3544</v>
      </c>
      <c r="C1633" s="19">
        <v>-1824.4299999999998</v>
      </c>
    </row>
    <row r="1634" spans="1:3" ht="15" x14ac:dyDescent="0.25">
      <c r="A1634" s="122" t="s">
        <v>3545</v>
      </c>
      <c r="B1634" s="3" t="s">
        <v>3546</v>
      </c>
      <c r="C1634" s="19">
        <v>814181.50999999954</v>
      </c>
    </row>
    <row r="1635" spans="1:3" ht="15" x14ac:dyDescent="0.25">
      <c r="A1635" s="122" t="s">
        <v>3547</v>
      </c>
      <c r="B1635" s="3" t="s">
        <v>3548</v>
      </c>
      <c r="C1635" s="19">
        <v>4227.2700000000004</v>
      </c>
    </row>
    <row r="1636" spans="1:3" ht="15" x14ac:dyDescent="0.25">
      <c r="A1636" s="122" t="s">
        <v>3549</v>
      </c>
      <c r="B1636" s="3" t="s">
        <v>3550</v>
      </c>
      <c r="C1636" s="19">
        <v>15242.989999999998</v>
      </c>
    </row>
    <row r="1637" spans="1:3" ht="15" x14ac:dyDescent="0.25">
      <c r="A1637" s="122" t="s">
        <v>3551</v>
      </c>
      <c r="B1637" s="3" t="s">
        <v>3552</v>
      </c>
      <c r="C1637" s="19">
        <v>35292.840000000004</v>
      </c>
    </row>
    <row r="1638" spans="1:3" ht="15" x14ac:dyDescent="0.25">
      <c r="A1638" s="122" t="s">
        <v>3553</v>
      </c>
      <c r="B1638" s="3" t="s">
        <v>3554</v>
      </c>
      <c r="C1638" s="19">
        <v>956456.5500000004</v>
      </c>
    </row>
    <row r="1639" spans="1:3" ht="15" x14ac:dyDescent="0.25">
      <c r="A1639" s="122" t="s">
        <v>3555</v>
      </c>
      <c r="B1639" s="3" t="s">
        <v>3556</v>
      </c>
      <c r="C1639" s="19">
        <v>559365.9800000001</v>
      </c>
    </row>
    <row r="1640" spans="1:3" ht="15" x14ac:dyDescent="0.25">
      <c r="A1640" s="122" t="s">
        <v>3557</v>
      </c>
      <c r="B1640" s="3" t="s">
        <v>3558</v>
      </c>
      <c r="C1640" s="19">
        <v>165821.11000000004</v>
      </c>
    </row>
    <row r="1641" spans="1:3" ht="15" x14ac:dyDescent="0.25">
      <c r="A1641" s="122" t="s">
        <v>3559</v>
      </c>
      <c r="B1641" s="3" t="s">
        <v>3560</v>
      </c>
      <c r="C1641" s="19">
        <v>70.05</v>
      </c>
    </row>
    <row r="1642" spans="1:3" ht="15" x14ac:dyDescent="0.25">
      <c r="A1642" s="122" t="s">
        <v>3561</v>
      </c>
      <c r="B1642" s="3" t="s">
        <v>3562</v>
      </c>
      <c r="C1642" s="19">
        <v>483960.85</v>
      </c>
    </row>
    <row r="1643" spans="1:3" ht="15" x14ac:dyDescent="0.25">
      <c r="A1643" s="122" t="s">
        <v>3563</v>
      </c>
      <c r="B1643" s="3" t="s">
        <v>3564</v>
      </c>
      <c r="C1643" s="19">
        <v>1019929.2400000001</v>
      </c>
    </row>
    <row r="1644" spans="1:3" ht="15" x14ac:dyDescent="0.25">
      <c r="A1644" s="122" t="s">
        <v>3565</v>
      </c>
      <c r="B1644" s="3" t="s">
        <v>3566</v>
      </c>
      <c r="C1644" s="19">
        <v>32653.51</v>
      </c>
    </row>
    <row r="1645" spans="1:3" ht="15" x14ac:dyDescent="0.25">
      <c r="A1645" s="122" t="s">
        <v>3567</v>
      </c>
      <c r="B1645" s="3" t="s">
        <v>3568</v>
      </c>
      <c r="C1645" s="19">
        <v>657441.59</v>
      </c>
    </row>
    <row r="1646" spans="1:3" ht="15" x14ac:dyDescent="0.25">
      <c r="A1646" s="122" t="s">
        <v>3569</v>
      </c>
      <c r="B1646" s="3" t="s">
        <v>3570</v>
      </c>
      <c r="C1646" s="19">
        <v>721.46</v>
      </c>
    </row>
    <row r="1647" spans="1:3" ht="15" x14ac:dyDescent="0.25">
      <c r="A1647" s="122" t="s">
        <v>3571</v>
      </c>
      <c r="B1647" s="3" t="s">
        <v>3572</v>
      </c>
      <c r="C1647" s="19">
        <v>14673.220000000001</v>
      </c>
    </row>
    <row r="1648" spans="1:3" ht="15" x14ac:dyDescent="0.25">
      <c r="A1648" s="122" t="s">
        <v>3573</v>
      </c>
      <c r="B1648" s="3" t="s">
        <v>3574</v>
      </c>
      <c r="C1648" s="19">
        <v>75943.09</v>
      </c>
    </row>
    <row r="1649" spans="1:3" ht="15" x14ac:dyDescent="0.25">
      <c r="A1649" s="122" t="s">
        <v>3575</v>
      </c>
      <c r="B1649" s="3" t="s">
        <v>3576</v>
      </c>
      <c r="C1649" s="19">
        <v>421217.11999999994</v>
      </c>
    </row>
    <row r="1650" spans="1:3" ht="15" x14ac:dyDescent="0.25">
      <c r="A1650" s="122" t="s">
        <v>3577</v>
      </c>
      <c r="B1650" s="3" t="s">
        <v>3578</v>
      </c>
      <c r="C1650" s="19">
        <v>25981.309999999998</v>
      </c>
    </row>
    <row r="1651" spans="1:3" ht="15" x14ac:dyDescent="0.25">
      <c r="A1651" s="122" t="s">
        <v>3579</v>
      </c>
      <c r="B1651" s="3" t="s">
        <v>3580</v>
      </c>
      <c r="C1651" s="19">
        <v>118013.80000000003</v>
      </c>
    </row>
    <row r="1652" spans="1:3" ht="15" x14ac:dyDescent="0.25">
      <c r="A1652" s="122" t="s">
        <v>3581</v>
      </c>
      <c r="B1652" s="3" t="s">
        <v>3582</v>
      </c>
      <c r="C1652" s="19">
        <v>297936.80000000005</v>
      </c>
    </row>
    <row r="1653" spans="1:3" ht="15" x14ac:dyDescent="0.25">
      <c r="A1653" s="122" t="s">
        <v>3583</v>
      </c>
      <c r="B1653" s="3" t="s">
        <v>3584</v>
      </c>
      <c r="C1653" s="19">
        <v>9147.85</v>
      </c>
    </row>
    <row r="1654" spans="1:3" ht="15" x14ac:dyDescent="0.25">
      <c r="A1654" s="122" t="s">
        <v>3585</v>
      </c>
      <c r="B1654" s="3" t="s">
        <v>3586</v>
      </c>
      <c r="C1654" s="19">
        <v>12567.240000000003</v>
      </c>
    </row>
    <row r="1655" spans="1:3" ht="15" x14ac:dyDescent="0.25">
      <c r="A1655" s="122" t="s">
        <v>3587</v>
      </c>
      <c r="B1655" s="3" t="s">
        <v>3588</v>
      </c>
      <c r="C1655" s="19">
        <v>141734.33999999997</v>
      </c>
    </row>
    <row r="1656" spans="1:3" ht="15" x14ac:dyDescent="0.25">
      <c r="A1656" s="122" t="s">
        <v>3589</v>
      </c>
      <c r="B1656" s="3" t="s">
        <v>3590</v>
      </c>
      <c r="C1656" s="19">
        <v>106389.85</v>
      </c>
    </row>
    <row r="1657" spans="1:3" ht="15" x14ac:dyDescent="0.25">
      <c r="A1657" s="122" t="s">
        <v>3591</v>
      </c>
      <c r="B1657" s="3" t="s">
        <v>3592</v>
      </c>
      <c r="C1657" s="19">
        <v>7147.1800000000012</v>
      </c>
    </row>
    <row r="1658" spans="1:3" ht="15" x14ac:dyDescent="0.25">
      <c r="A1658" s="122" t="s">
        <v>3593</v>
      </c>
      <c r="B1658" s="3" t="s">
        <v>3594</v>
      </c>
      <c r="C1658" s="19">
        <v>3164.6</v>
      </c>
    </row>
    <row r="1659" spans="1:3" ht="15" x14ac:dyDescent="0.25">
      <c r="A1659" s="122" t="s">
        <v>3595</v>
      </c>
      <c r="B1659" s="3" t="s">
        <v>3596</v>
      </c>
      <c r="C1659" s="19">
        <v>6654.6</v>
      </c>
    </row>
    <row r="1660" spans="1:3" ht="15" x14ac:dyDescent="0.25">
      <c r="A1660" s="122" t="s">
        <v>3597</v>
      </c>
      <c r="B1660" s="3" t="s">
        <v>3598</v>
      </c>
      <c r="C1660" s="19">
        <v>13321.570000000002</v>
      </c>
    </row>
    <row r="1661" spans="1:3" ht="15" x14ac:dyDescent="0.25">
      <c r="A1661" s="122" t="s">
        <v>3599</v>
      </c>
      <c r="B1661" s="3" t="s">
        <v>3600</v>
      </c>
      <c r="C1661" s="19">
        <v>7833.71</v>
      </c>
    </row>
    <row r="1662" spans="1:3" ht="15" x14ac:dyDescent="0.25">
      <c r="A1662" s="122" t="s">
        <v>3601</v>
      </c>
      <c r="B1662" s="3" t="s">
        <v>3602</v>
      </c>
      <c r="C1662" s="19">
        <v>7876.9900000000007</v>
      </c>
    </row>
    <row r="1663" spans="1:3" ht="15" x14ac:dyDescent="0.25">
      <c r="A1663" s="122" t="s">
        <v>3603</v>
      </c>
      <c r="B1663" s="3" t="s">
        <v>3604</v>
      </c>
      <c r="C1663" s="19">
        <v>8061.77</v>
      </c>
    </row>
    <row r="1664" spans="1:3" ht="15" x14ac:dyDescent="0.25">
      <c r="A1664" s="122" t="s">
        <v>3605</v>
      </c>
      <c r="B1664" s="3" t="s">
        <v>3606</v>
      </c>
      <c r="C1664" s="19">
        <v>18334.45</v>
      </c>
    </row>
    <row r="1665" spans="1:3" ht="15" x14ac:dyDescent="0.25">
      <c r="A1665" s="122" t="s">
        <v>3607</v>
      </c>
      <c r="B1665" s="3" t="s">
        <v>3608</v>
      </c>
      <c r="C1665" s="19">
        <v>51178.899999999994</v>
      </c>
    </row>
    <row r="1666" spans="1:3" ht="15" x14ac:dyDescent="0.25">
      <c r="A1666" s="122"/>
      <c r="B1666" s="3"/>
      <c r="C1666" s="19"/>
    </row>
    <row r="1667" spans="1:3" x14ac:dyDescent="0.2">
      <c r="A1667" s="123" t="s">
        <v>284</v>
      </c>
      <c r="B1667" s="124"/>
      <c r="C1667" s="125">
        <f>SUM(C6:C1665)</f>
        <v>445988676.8500005</v>
      </c>
    </row>
  </sheetData>
  <mergeCells count="3">
    <mergeCell ref="A1:C1"/>
    <mergeCell ref="A2:C2"/>
    <mergeCell ref="A3:C3"/>
  </mergeCells>
  <printOptions horizontalCentered="1"/>
  <pageMargins left="0.75" right="0.75" top="1" bottom="1" header="0.5" footer="0.5"/>
  <pageSetup scale="67" fitToHeight="0" orientation="landscape" r:id="rId1"/>
  <headerFooter alignWithMargins="0">
    <oddFooter>&amp;R&amp;"Times New Roman,Bold"&amp;12Case No. 2018-00294
Attachment 7 to Response to US DOD-2 Question No. 7   
Page &amp;P of &amp;N
Garrett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BE998D6-832C-462E-8DD3-46E37CB934BF}"/>
</file>

<file path=customXml/itemProps2.xml><?xml version="1.0" encoding="utf-8"?>
<ds:datastoreItem xmlns:ds="http://schemas.openxmlformats.org/officeDocument/2006/customXml" ds:itemID="{DDCDBE9D-D452-4799-A394-97674354688E}"/>
</file>

<file path=customXml/itemProps3.xml><?xml version="1.0" encoding="utf-8"?>
<ds:datastoreItem xmlns:ds="http://schemas.openxmlformats.org/officeDocument/2006/customXml" ds:itemID="{0916276E-3B83-4D29-9E42-B9995A10E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KU_Summary - Cost - P1 (REG)</vt:lpstr>
      <vt:lpstr>KU_Summary - Reserve - P2 (REG)</vt:lpstr>
      <vt:lpstr>RWIP BY ACCOUNT - P2A (REG)</vt:lpstr>
      <vt:lpstr>Cash Flow Summary - PG 2B REG</vt:lpstr>
      <vt:lpstr>Transfers Detail P3 (REG)</vt:lpstr>
      <vt:lpstr>Transfers Detail-VA-P3.1 (REG)</vt:lpstr>
      <vt:lpstr>Transfers Detail-TN-P3.2 (REG)</vt:lpstr>
      <vt:lpstr>Land_Vehicle Retire P3A (REG)</vt:lpstr>
      <vt:lpstr>CWIP Spend by Project P3B (REG)</vt:lpstr>
      <vt:lpstr>Recon Depr Exp to IS P4 (REG)</vt:lpstr>
      <vt:lpstr>TOTAL_PIS NVB P5 (REG)</vt:lpstr>
      <vt:lpstr>TOTAL_PIS COST SPLITS-P6 (REG)</vt:lpstr>
      <vt:lpstr>KY_PIS NVB P7 (REG)</vt:lpstr>
      <vt:lpstr>KY_Cost by Plant Acct P8 (REG)</vt:lpstr>
      <vt:lpstr>VA_PIS NBV P9 (REG)</vt:lpstr>
      <vt:lpstr>VA_Cost by Plant Acct P10 (REG)</vt:lpstr>
      <vt:lpstr>TN_PIS NBV P11 (REG)</vt:lpstr>
      <vt:lpstr>TN_Cost by Plant Acct P12 (REG)</vt:lpstr>
      <vt:lpstr>Plant Held for Future-P13 (REG)</vt:lpstr>
      <vt:lpstr>Non Utility Prop - KY P14 (REG)</vt:lpstr>
      <vt:lpstr>Elec Plant Purch-Sold P15 (REG)</vt:lpstr>
      <vt:lpstr>KY_Res by Plant Acct P16(REG)</vt:lpstr>
      <vt:lpstr>VA_Res by Plant Acct P17(REG)</vt:lpstr>
      <vt:lpstr>TN_Res by Plant Acct P18(REG)</vt:lpstr>
      <vt:lpstr>Depr Study Summary Pg2</vt:lpstr>
      <vt:lpstr>Depr Study Detail by Acct Depr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2018-12-14T16:21:46Z</dcterms:created>
  <dcterms:modified xsi:type="dcterms:W3CDTF">2018-12-14T17:10:36Z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