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1610"/>
  </bookViews>
  <sheets>
    <sheet name="JEs and Explanation" sheetId="1" r:id="rId1"/>
    <sheet name="revenue detail" sheetId="3" r:id="rId2"/>
    <sheet name="Proforma to COS Rec" sheetId="4" r:id="rId3"/>
  </sheets>
  <definedNames>
    <definedName name="_xlnm.Print_Area" localSheetId="0">'JEs and Explanation'!$A$1:$K$96</definedName>
    <definedName name="_xlnm.Print_Area" localSheetId="1">'revenue detail'!$A$1:$H$36</definedName>
  </definedNames>
  <calcPr calcId="145621"/>
</workbook>
</file>

<file path=xl/calcChain.xml><?xml version="1.0" encoding="utf-8"?>
<calcChain xmlns="http://schemas.openxmlformats.org/spreadsheetml/2006/main">
  <c r="D34" i="4" l="1"/>
  <c r="D12" i="4" l="1"/>
  <c r="J49" i="1" l="1"/>
  <c r="J29" i="1"/>
  <c r="J39" i="1"/>
  <c r="D44" i="1" l="1"/>
  <c r="J35" i="1" s="1"/>
  <c r="E46" i="1"/>
  <c r="D45" i="1" l="1"/>
  <c r="E93" i="1"/>
  <c r="D20" i="4" l="1"/>
  <c r="C22" i="4"/>
  <c r="D24" i="4" l="1"/>
  <c r="E88" i="1"/>
  <c r="E87" i="1"/>
  <c r="E84" i="1"/>
  <c r="E83" i="1"/>
  <c r="F24" i="3"/>
  <c r="F23" i="3"/>
  <c r="F22" i="3"/>
  <c r="F18" i="3"/>
  <c r="E89" i="1" s="1"/>
  <c r="F17" i="3"/>
  <c r="F13" i="3"/>
  <c r="F12" i="3"/>
  <c r="F11" i="3"/>
  <c r="E86" i="1" s="1"/>
  <c r="F10" i="3"/>
  <c r="E85" i="1" s="1"/>
  <c r="F9" i="3"/>
  <c r="F8" i="3"/>
  <c r="G29" i="3"/>
  <c r="D82" i="1" l="1"/>
  <c r="F15" i="3"/>
  <c r="F20" i="3" s="1"/>
  <c r="F26" i="3" s="1"/>
  <c r="G15" i="3"/>
  <c r="G20" i="3" s="1"/>
  <c r="G26" i="3" l="1"/>
  <c r="G28" i="3"/>
  <c r="G30" i="3" s="1"/>
  <c r="D36" i="4" l="1"/>
  <c r="D41" i="4"/>
  <c r="J40" i="1" l="1"/>
  <c r="E78" i="1" l="1"/>
  <c r="D76" i="1"/>
  <c r="E74" i="1"/>
  <c r="E29" i="3"/>
  <c r="D24" i="3"/>
  <c r="D23" i="3"/>
  <c r="D22" i="3"/>
  <c r="D18" i="3"/>
  <c r="E79" i="1" s="1"/>
  <c r="D17" i="3"/>
  <c r="E15" i="3"/>
  <c r="E20" i="3" s="1"/>
  <c r="C15" i="3"/>
  <c r="C20" i="3" s="1"/>
  <c r="C26" i="3" s="1"/>
  <c r="D13" i="3"/>
  <c r="D12" i="3"/>
  <c r="E77" i="1" s="1"/>
  <c r="D11" i="3"/>
  <c r="D10" i="3"/>
  <c r="E75" i="1" s="1"/>
  <c r="D9" i="3"/>
  <c r="D8" i="3"/>
  <c r="E73" i="1" s="1"/>
  <c r="J44" i="1" l="1"/>
  <c r="E28" i="3"/>
  <c r="E30" i="3" s="1"/>
  <c r="E26" i="3"/>
  <c r="D15" i="3"/>
  <c r="D20" i="3" s="1"/>
  <c r="D26" i="3" s="1"/>
  <c r="D72" i="1"/>
  <c r="E53" i="1" l="1"/>
  <c r="J38" i="1" s="1"/>
  <c r="J37" i="1" l="1"/>
  <c r="J36" i="1"/>
  <c r="E69" i="1" l="1"/>
  <c r="E63" i="1"/>
  <c r="D56" i="1" l="1"/>
  <c r="J28" i="1" s="1"/>
  <c r="E41" i="1"/>
  <c r="J27" i="1" s="1"/>
  <c r="E57" i="1" l="1"/>
  <c r="J32" i="1"/>
  <c r="J31" i="1"/>
  <c r="J33" i="1" l="1"/>
  <c r="E32" i="1"/>
  <c r="J15" i="1"/>
  <c r="E36" i="1"/>
  <c r="D23" i="1"/>
  <c r="J20" i="1" s="1"/>
  <c r="J22" i="1" s="1"/>
  <c r="E24" i="1" l="1"/>
  <c r="D7" i="1" l="1"/>
  <c r="J14" i="1" l="1"/>
  <c r="E28" i="1"/>
  <c r="J11" i="1" l="1"/>
  <c r="J10" i="1"/>
  <c r="D19" i="1"/>
  <c r="J13" i="1" s="1"/>
  <c r="D15" i="1"/>
  <c r="J12" i="1" s="1"/>
  <c r="J16" i="1" l="1"/>
  <c r="E8" i="1"/>
  <c r="J26" i="1" s="1"/>
  <c r="E20" i="1"/>
  <c r="E16" i="1"/>
  <c r="E12" i="1"/>
</calcChain>
</file>

<file path=xl/comments1.xml><?xml version="1.0" encoding="utf-8"?>
<comments xmlns="http://schemas.openxmlformats.org/spreadsheetml/2006/main">
  <authors>
    <author>Lindsey Rechtin</author>
  </authors>
  <commentList>
    <comment ref="H26" authorId="0">
      <text>
        <r>
          <rPr>
            <b/>
            <sz val="9"/>
            <color indexed="81"/>
            <rFont val="Tahoma"/>
            <charset val="1"/>
          </rPr>
          <t>Lindsey Rechtin:</t>
        </r>
        <r>
          <rPr>
            <sz val="9"/>
            <color indexed="81"/>
            <rFont val="Tahoma"/>
            <charset val="1"/>
          </rPr>
          <t xml:space="preserve">
131-0020-000</t>
        </r>
      </text>
    </comment>
    <comment ref="H27" authorId="0">
      <text>
        <r>
          <rPr>
            <b/>
            <sz val="9"/>
            <color indexed="81"/>
            <rFont val="Tahoma"/>
            <charset val="1"/>
          </rPr>
          <t>Lindsey Rechtin:</t>
        </r>
        <r>
          <rPr>
            <sz val="9"/>
            <color indexed="81"/>
            <rFont val="Tahoma"/>
            <charset val="1"/>
          </rPr>
          <t xml:space="preserve">
132-0029-001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Lindsey Rechtin:</t>
        </r>
        <r>
          <rPr>
            <sz val="9"/>
            <color indexed="81"/>
            <rFont val="Tahoma"/>
            <charset val="1"/>
          </rPr>
          <t xml:space="preserve">
132-0001-000</t>
        </r>
      </text>
    </comment>
  </commentList>
</comments>
</file>

<file path=xl/sharedStrings.xml><?xml version="1.0" encoding="utf-8"?>
<sst xmlns="http://schemas.openxmlformats.org/spreadsheetml/2006/main" count="320" uniqueCount="203">
  <si>
    <t>Northern Kentucky Water District</t>
  </si>
  <si>
    <t>Proforma Journal Entries</t>
  </si>
  <si>
    <t>to record proforma wages</t>
  </si>
  <si>
    <t>to record proforma capitalized wages</t>
  </si>
  <si>
    <t>to record proforma pension expense</t>
  </si>
  <si>
    <t>Test Year June 30, 2018</t>
  </si>
  <si>
    <t>to record proforma health, dental, life and AD&amp;D expense</t>
  </si>
  <si>
    <t>Operating &amp; Maintenance Expense Adjustments</t>
  </si>
  <si>
    <t>Salaries</t>
  </si>
  <si>
    <t>Less: Capitalized</t>
  </si>
  <si>
    <t>Employee Insurance</t>
  </si>
  <si>
    <t>Pension</t>
  </si>
  <si>
    <t>to record proforma chemical expense</t>
  </si>
  <si>
    <t>Chemical</t>
  </si>
  <si>
    <t>Taxes Other Than Income Adjustments</t>
  </si>
  <si>
    <t>FICA</t>
  </si>
  <si>
    <t>to record proforma FICA expense</t>
  </si>
  <si>
    <t>Total O&amp;M Adj</t>
  </si>
  <si>
    <t>Total Taxes Other</t>
  </si>
  <si>
    <t xml:space="preserve"> Than Income Adj</t>
  </si>
  <si>
    <t>Contractual Svcs - Resevoir Cleaning</t>
  </si>
  <si>
    <t>to record proforma FTTP solids (sludge) removal</t>
  </si>
  <si>
    <t>to record one year exp. of  proforma FTTP solids (sludge) removal</t>
  </si>
  <si>
    <t>Balance Sheet Adjustments</t>
  </si>
  <si>
    <t>Regulatory Asset</t>
  </si>
  <si>
    <t>Less: Amortization</t>
  </si>
  <si>
    <t>Net Regulatory Adjustments</t>
  </si>
  <si>
    <t>to record payoff of LTD KIA C08-01</t>
  </si>
  <si>
    <t>Bond Anticipation Notes Payable</t>
  </si>
  <si>
    <t>Other Accrued Liabilities</t>
  </si>
  <si>
    <t>Current Portion of LTD</t>
  </si>
  <si>
    <t>to record payoff of LTD KIA C06-03</t>
  </si>
  <si>
    <t>Total Water Sales</t>
  </si>
  <si>
    <t>Revenue Adjustments</t>
  </si>
  <si>
    <t>Dr. Underwriter's discount</t>
  </si>
  <si>
    <t>Dr. Debt Service Reserve Fund</t>
  </si>
  <si>
    <t>to record proforma payoff of BAN 2019 and issuance of bond 2019</t>
  </si>
  <si>
    <t>Cr. Long Term Debt - Bond 2019</t>
  </si>
  <si>
    <t>Explanations/Assumptions:</t>
  </si>
  <si>
    <t>All payroll related items (wages, cap labor, health, pension,</t>
  </si>
  <si>
    <t xml:space="preserve">The proforma chemical expense is an adjustment to the </t>
  </si>
  <si>
    <t>three year average (7/1/15 - 6/30/18) of chemical expenses.</t>
  </si>
  <si>
    <t>FICA) should go into effect 1/1/2019.</t>
  </si>
  <si>
    <t>The resevoir cleaning expense is expected to be fully paid</t>
  </si>
  <si>
    <t xml:space="preserve">for an in service no later than 6/30/2019. One year of the </t>
  </si>
  <si>
    <t>expense will be amortized.</t>
  </si>
  <si>
    <t>The 2017 BAN will come due April 1, 2019 for $26M. A new</t>
  </si>
  <si>
    <t>BAN will be issued (2019 BAN) at the same time (4/1/19)</t>
  </si>
  <si>
    <t>in the amount of $17.6M and the difference in the amount</t>
  </si>
  <si>
    <t>due and issued will be paid off in cash ($8.675M)</t>
  </si>
  <si>
    <t>Two KIA loans are anticipated to be paid off in November 2018</t>
  </si>
  <si>
    <t>(C08-01 &amp; Memorial Chemical)</t>
  </si>
  <si>
    <t>A bond is expected to be issued 8/1/19 for $19.6M to pay off</t>
  </si>
  <si>
    <t>the $17.6 2019 BAN.</t>
  </si>
  <si>
    <t>Operating Revenues</t>
  </si>
  <si>
    <t>Metered Sales</t>
  </si>
  <si>
    <t>Sales to Residential Customers</t>
  </si>
  <si>
    <t>Sales to Commercial Customers</t>
  </si>
  <si>
    <t>Sales to Industrial Customers</t>
  </si>
  <si>
    <t>Sales to Public Authorities</t>
  </si>
  <si>
    <t>Sales to Multiple Family Dwellings</t>
  </si>
  <si>
    <t>Sales Through Bulk Loading Stations</t>
  </si>
  <si>
    <t>Total Metered Sales</t>
  </si>
  <si>
    <t>Fire Protection Revenue</t>
  </si>
  <si>
    <t>Sales for Resale</t>
  </si>
  <si>
    <t>Rents from Water Property</t>
  </si>
  <si>
    <t>Other Water Revenues</t>
  </si>
  <si>
    <t>Total Operating Revenues</t>
  </si>
  <si>
    <t>Current</t>
  </si>
  <si>
    <t>as of 6/30/18</t>
  </si>
  <si>
    <t>Adjustments</t>
  </si>
  <si>
    <t>Proforma</t>
  </si>
  <si>
    <t>Forfeited Discounts</t>
  </si>
  <si>
    <t>The proforma revenues have been adjusted using a three year</t>
  </si>
  <si>
    <t xml:space="preserve">normalization. </t>
  </si>
  <si>
    <t>Amortization</t>
  </si>
  <si>
    <t>Debt Service Reserve</t>
  </si>
  <si>
    <t>Increase (Decrease)</t>
  </si>
  <si>
    <t>Nonoperating Adjustments</t>
  </si>
  <si>
    <t>Revenues Water Sales - COS</t>
  </si>
  <si>
    <t>Reconciliation of Proforma to COS</t>
  </si>
  <si>
    <t>Revenues Water Sales - Proforma</t>
  </si>
  <si>
    <t>Difference</t>
  </si>
  <si>
    <t>Other Operating/Non-Operating Revenue - COS</t>
  </si>
  <si>
    <t>Forfeited Discounts - Proforma</t>
  </si>
  <si>
    <t>Rents from Property - Proforma</t>
  </si>
  <si>
    <t>Other Water Revenues - Proforma</t>
  </si>
  <si>
    <t>Operation and Maintenance - COS</t>
  </si>
  <si>
    <t>Utility Plant Acquistion Adj. - COS</t>
  </si>
  <si>
    <t>Amort. Of Sludge Removal - COS</t>
  </si>
  <si>
    <t>Depreciation - COS</t>
  </si>
  <si>
    <t>Depreciation - Proforma</t>
  </si>
  <si>
    <t>Taxes Other Than Income - COS</t>
  </si>
  <si>
    <t>O&amp;M Expenses - Proforma</t>
  </si>
  <si>
    <t>rounding</t>
  </si>
  <si>
    <t>Reconciliation of Operating Expenses:</t>
  </si>
  <si>
    <t>PV of Rates</t>
  </si>
  <si>
    <t>Step 2 Rates</t>
  </si>
  <si>
    <t>to record proforma revenue - adjust to revenues, present rates</t>
  </si>
  <si>
    <t>to record proforma revenue - adjust to revenues, step 2 rates</t>
  </si>
  <si>
    <t>agrees to Gannett Fleming Sch A, Revenues, Step 2</t>
  </si>
  <si>
    <t>Surcharge Revenue</t>
  </si>
  <si>
    <t>Miscellaneous</t>
  </si>
  <si>
    <t>Sub-Total: Interest Earnings - Proforma</t>
  </si>
  <si>
    <t>Dividend &amp; Interest Income</t>
  </si>
  <si>
    <t>Unrealized Gain/Loss</t>
  </si>
  <si>
    <t>Reconciliation of Revenues:</t>
  </si>
  <si>
    <t>to record payback of unspent BAN funds (November 2018)</t>
  </si>
  <si>
    <t>to record proforma payoff of BAN 2017 and issuance of BAN 2019</t>
  </si>
  <si>
    <t>to adjust restricted debt service to 3 year average payment</t>
  </si>
  <si>
    <t>Cash - Bond Proceeds Fund</t>
  </si>
  <si>
    <t>to move cash from unrestricted to restricted</t>
  </si>
  <si>
    <t>JE #</t>
  </si>
  <si>
    <t>Cash - O&amp;M</t>
  </si>
  <si>
    <t>x</t>
  </si>
  <si>
    <t>Account Description</t>
  </si>
  <si>
    <t>Account Number</t>
  </si>
  <si>
    <t xml:space="preserve">Dr. Wage Expense </t>
  </si>
  <si>
    <t>601-3100-001</t>
  </si>
  <si>
    <t>Cr. Cash</t>
  </si>
  <si>
    <t xml:space="preserve">Dr. Capitalized Labor </t>
  </si>
  <si>
    <t>184-4005-000</t>
  </si>
  <si>
    <t>Cr. Wage Expense</t>
  </si>
  <si>
    <t xml:space="preserve">Dr. Health Insurance Expense </t>
  </si>
  <si>
    <t xml:space="preserve">Cr. Cash </t>
  </si>
  <si>
    <t xml:space="preserve">Dr. Pension Expense </t>
  </si>
  <si>
    <t>Dr. FICA Expense</t>
  </si>
  <si>
    <t xml:space="preserve">Dr. Chemical Expense </t>
  </si>
  <si>
    <t xml:space="preserve">Dr. Prepaid Reservoir Cleaning </t>
  </si>
  <si>
    <t xml:space="preserve">Cr. Prepaid Reservoir Cleaning </t>
  </si>
  <si>
    <t>Dr. CP of BAN 2017</t>
  </si>
  <si>
    <t>Dr. Accrued Interest Payable</t>
  </si>
  <si>
    <t>Cr. Cash - Bond Proceeds Fund</t>
  </si>
  <si>
    <t>Dr. 2017 BAN payable - CP Notes</t>
  </si>
  <si>
    <t xml:space="preserve">Cr. 2019 BAN payable - LT Notes </t>
  </si>
  <si>
    <t xml:space="preserve">Dr. Cost of Issuance </t>
  </si>
  <si>
    <t xml:space="preserve">Dr. 2019 BAN payable - CP Notes </t>
  </si>
  <si>
    <t>Dr. CP of AMR C08-01</t>
  </si>
  <si>
    <t>Dr. LTD AMR C08-01</t>
  </si>
  <si>
    <t xml:space="preserve">Dr. Accrued Interest Payable </t>
  </si>
  <si>
    <t>Dr. CP of Memorial Chemical</t>
  </si>
  <si>
    <t xml:space="preserve">Dr. LTD Memorial Chemical </t>
  </si>
  <si>
    <t>Dr. Cash</t>
  </si>
  <si>
    <t xml:space="preserve">Cr. Revenue - Residential </t>
  </si>
  <si>
    <t>Cr. Revenue - Commercial</t>
  </si>
  <si>
    <t xml:space="preserve">Cr. Revenue - Industrial </t>
  </si>
  <si>
    <t xml:space="preserve">Cr. Revenue - Public Authority </t>
  </si>
  <si>
    <t xml:space="preserve">Cr. Revenue - Multi-family </t>
  </si>
  <si>
    <t>Cr. Revenue - Income - Resale Water Sales</t>
  </si>
  <si>
    <t xml:space="preserve">Dr. Cash </t>
  </si>
  <si>
    <t>604-3400-001</t>
  </si>
  <si>
    <t>604-4300-001</t>
  </si>
  <si>
    <t xml:space="preserve"> 699-3000-001</t>
  </si>
  <si>
    <t>618-3000-001</t>
  </si>
  <si>
    <t>162-0006-000</t>
  </si>
  <si>
    <t>635-4000-027</t>
  </si>
  <si>
    <t xml:space="preserve"> 220-0036-000</t>
  </si>
  <si>
    <t xml:space="preserve"> 237-0000-000</t>
  </si>
  <si>
    <t xml:space="preserve"> 132-0029-001</t>
  </si>
  <si>
    <t>232-0012-000</t>
  </si>
  <si>
    <t>528-0002-000</t>
  </si>
  <si>
    <t>132-0001-000</t>
  </si>
  <si>
    <t>131-0020-000</t>
  </si>
  <si>
    <t xml:space="preserve"> 220-0022-000</t>
  </si>
  <si>
    <t xml:space="preserve"> 221-0022-000</t>
  </si>
  <si>
    <t>237-0000-000</t>
  </si>
  <si>
    <t xml:space="preserve"> 220-0018-000</t>
  </si>
  <si>
    <t>221-0018-000</t>
  </si>
  <si>
    <t xml:space="preserve"> 131-0020-000</t>
  </si>
  <si>
    <t>461-0100-000</t>
  </si>
  <si>
    <t>461-0101-000</t>
  </si>
  <si>
    <t>461-0102-000</t>
  </si>
  <si>
    <t>461-0103-000</t>
  </si>
  <si>
    <t>461-0104-000</t>
  </si>
  <si>
    <t>461-0011-000</t>
  </si>
  <si>
    <t>466-0001-000</t>
  </si>
  <si>
    <t xml:space="preserve"> 461-0101-000</t>
  </si>
  <si>
    <t xml:space="preserve"> 466-0001-000</t>
  </si>
  <si>
    <t xml:space="preserve">Dr. Contractual Svcs - Reservoir Cleaning </t>
  </si>
  <si>
    <t xml:space="preserve">Dr. Cash Bond P&amp;I </t>
  </si>
  <si>
    <t xml:space="preserve">Cr. Revenue - Commercial </t>
  </si>
  <si>
    <t xml:space="preserve">Cr. Revenue - Bulk loading </t>
  </si>
  <si>
    <t xml:space="preserve">Cr. Revenue - Income - Resale Water Sales </t>
  </si>
  <si>
    <t xml:space="preserve">Dr. </t>
  </si>
  <si>
    <t xml:space="preserve">Cr. </t>
  </si>
  <si>
    <t xml:space="preserve">Agrees </t>
  </si>
  <si>
    <t>to VL</t>
  </si>
  <si>
    <t>Cr. Cash - O&amp;M</t>
  </si>
  <si>
    <t>Dr. Cash - Bond P&amp;I</t>
  </si>
  <si>
    <t>133-0181-000</t>
  </si>
  <si>
    <t>Cr. Cash - Bond P&amp;I</t>
  </si>
  <si>
    <t>Dr. Cash - Bond Proceeds Fund</t>
  </si>
  <si>
    <t>132-0029-001</t>
  </si>
  <si>
    <t>221-0036-000</t>
  </si>
  <si>
    <t>Long-term debt - bonds</t>
  </si>
  <si>
    <t>Long-term debt - notes</t>
  </si>
  <si>
    <t>Cash - Debt Service Account NC</t>
  </si>
  <si>
    <t>Cash - Debt Service Account Current</t>
  </si>
  <si>
    <t>NKWD_DR1_1_10-12-18</t>
  </si>
  <si>
    <t>Rate Case 2018-00291</t>
  </si>
  <si>
    <t>Response to Q1</t>
  </si>
  <si>
    <t>Witness: Rechtin</t>
  </si>
  <si>
    <t>Proforma Revenue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</si>
</sst>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 indent="3"/>
    </xf>
    <xf numFmtId="164" fontId="0" fillId="0" borderId="0" xfId="1" applyNumberFormat="1" applyFont="1" applyBorder="1"/>
    <xf numFmtId="0" fontId="0" fillId="0" borderId="0" xfId="0" applyBorder="1"/>
    <xf numFmtId="43" fontId="0" fillId="0" borderId="0" xfId="1" applyFont="1" applyBorder="1"/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indent="2"/>
    </xf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0" fillId="0" borderId="3" xfId="1" applyNumberFormat="1" applyFont="1" applyBorder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4" fontId="1" fillId="0" borderId="0" xfId="1" applyNumberFormat="1" applyFont="1"/>
    <xf numFmtId="164" fontId="0" fillId="0" borderId="4" xfId="0" applyNumberFormat="1" applyBorder="1"/>
    <xf numFmtId="0" fontId="0" fillId="0" borderId="0" xfId="0" applyAlignment="1">
      <alignment horizontal="center"/>
    </xf>
    <xf numFmtId="164" fontId="0" fillId="0" borderId="4" xfId="1" applyNumberFormat="1" applyFont="1" applyBorder="1"/>
    <xf numFmtId="164" fontId="0" fillId="0" borderId="2" xfId="1" applyNumberFormat="1" applyFont="1" applyBorder="1"/>
    <xf numFmtId="164" fontId="1" fillId="0" borderId="3" xfId="1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/>
    <xf numFmtId="0" fontId="0" fillId="0" borderId="0" xfId="0" quotePrefix="1" applyAlignme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/>
    <xf numFmtId="0" fontId="3" fillId="0" borderId="0" xfId="0" quotePrefix="1" applyFont="1" applyAlignme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8"/>
  <sheetViews>
    <sheetView tabSelected="1" view="pageBreakPreview" zoomScaleNormal="100" zoomScaleSheetLayoutView="100" workbookViewId="0">
      <selection activeCell="J13" sqref="J13"/>
    </sheetView>
  </sheetViews>
  <sheetFormatPr defaultRowHeight="15" x14ac:dyDescent="0.25"/>
  <cols>
    <col min="1" max="1" width="8.7109375" style="37" customWidth="1"/>
    <col min="2" max="2" width="60.140625" style="37" bestFit="1" customWidth="1"/>
    <col min="3" max="3" width="16" style="37" bestFit="1" customWidth="1"/>
    <col min="4" max="4" width="13.42578125" style="37" customWidth="1"/>
    <col min="5" max="5" width="11.5703125" style="37" bestFit="1" customWidth="1"/>
    <col min="8" max="8" width="29" customWidth="1"/>
    <col min="9" max="9" width="11" customWidth="1"/>
    <col min="10" max="10" width="18.140625" customWidth="1"/>
    <col min="15" max="15" width="11.5703125" bestFit="1" customWidth="1"/>
  </cols>
  <sheetData>
    <row r="1" spans="1:13" x14ac:dyDescent="0.25">
      <c r="A1" s="45" t="s">
        <v>0</v>
      </c>
      <c r="B1" s="45"/>
      <c r="C1" s="45"/>
      <c r="D1" s="45"/>
      <c r="E1" s="45"/>
      <c r="F1" s="45"/>
      <c r="G1" s="45"/>
      <c r="H1" s="45"/>
      <c r="K1" s="50" t="s">
        <v>198</v>
      </c>
    </row>
    <row r="2" spans="1:13" x14ac:dyDescent="0.25">
      <c r="A2" s="45" t="s">
        <v>1</v>
      </c>
      <c r="B2" s="45"/>
      <c r="C2" s="45"/>
      <c r="D2" s="45"/>
      <c r="E2" s="45"/>
      <c r="F2" s="45"/>
      <c r="G2" s="45"/>
      <c r="H2" s="45"/>
      <c r="K2" s="50" t="s">
        <v>199</v>
      </c>
    </row>
    <row r="3" spans="1:13" x14ac:dyDescent="0.25">
      <c r="A3" s="46" t="s">
        <v>5</v>
      </c>
      <c r="B3" s="46"/>
      <c r="C3" s="46"/>
      <c r="D3" s="46"/>
      <c r="E3" s="46"/>
      <c r="F3" s="46"/>
      <c r="G3" s="46"/>
      <c r="H3" s="46"/>
      <c r="K3" s="50" t="s">
        <v>200</v>
      </c>
    </row>
    <row r="4" spans="1:13" x14ac:dyDescent="0.25">
      <c r="K4" s="50" t="s">
        <v>201</v>
      </c>
    </row>
    <row r="5" spans="1:13" x14ac:dyDescent="0.25">
      <c r="F5" s="35" t="s">
        <v>185</v>
      </c>
    </row>
    <row r="6" spans="1:13" x14ac:dyDescent="0.25">
      <c r="A6" s="36" t="s">
        <v>112</v>
      </c>
      <c r="B6" s="37" t="s">
        <v>115</v>
      </c>
      <c r="C6" s="37" t="s">
        <v>116</v>
      </c>
      <c r="D6" s="36" t="s">
        <v>183</v>
      </c>
      <c r="E6" s="36" t="s">
        <v>184</v>
      </c>
      <c r="F6" s="36" t="s">
        <v>186</v>
      </c>
    </row>
    <row r="7" spans="1:13" x14ac:dyDescent="0.25">
      <c r="A7" s="36">
        <v>1</v>
      </c>
      <c r="B7" s="37" t="s">
        <v>117</v>
      </c>
      <c r="C7" s="36" t="s">
        <v>118</v>
      </c>
      <c r="D7" s="38">
        <f>9370083-7813803</f>
        <v>1556280</v>
      </c>
      <c r="E7" s="38"/>
      <c r="F7" s="41" t="s">
        <v>114</v>
      </c>
      <c r="G7" s="3"/>
      <c r="K7" s="35" t="s">
        <v>185</v>
      </c>
    </row>
    <row r="8" spans="1:13" x14ac:dyDescent="0.25">
      <c r="A8" s="36"/>
      <c r="B8" s="39" t="s">
        <v>119</v>
      </c>
      <c r="C8" s="36" t="s">
        <v>162</v>
      </c>
      <c r="D8" s="38"/>
      <c r="E8" s="38">
        <f>D7</f>
        <v>1556280</v>
      </c>
      <c r="F8" s="41" t="s">
        <v>114</v>
      </c>
      <c r="G8" s="3"/>
      <c r="H8" s="10" t="s">
        <v>7</v>
      </c>
      <c r="K8" s="36" t="s">
        <v>186</v>
      </c>
    </row>
    <row r="9" spans="1:13" x14ac:dyDescent="0.25">
      <c r="A9" s="36"/>
      <c r="B9" s="37" t="s">
        <v>2</v>
      </c>
      <c r="C9" s="36"/>
      <c r="D9" s="38"/>
      <c r="E9" s="38"/>
      <c r="F9" s="41"/>
      <c r="G9" s="3"/>
      <c r="J9" t="s">
        <v>77</v>
      </c>
    </row>
    <row r="10" spans="1:13" x14ac:dyDescent="0.25">
      <c r="A10" s="36"/>
      <c r="C10" s="36"/>
      <c r="D10" s="38"/>
      <c r="E10" s="38"/>
      <c r="F10" s="41"/>
      <c r="G10" s="3"/>
      <c r="H10" t="s">
        <v>8</v>
      </c>
      <c r="J10" s="4">
        <f>D7</f>
        <v>1556280</v>
      </c>
    </row>
    <row r="11" spans="1:13" x14ac:dyDescent="0.25">
      <c r="A11" s="36">
        <v>2</v>
      </c>
      <c r="B11" s="37" t="s">
        <v>120</v>
      </c>
      <c r="C11" s="36" t="s">
        <v>121</v>
      </c>
      <c r="D11" s="38">
        <v>329229</v>
      </c>
      <c r="E11" s="38"/>
      <c r="F11" s="41" t="s">
        <v>114</v>
      </c>
      <c r="G11" s="3"/>
      <c r="H11" s="2" t="s">
        <v>9</v>
      </c>
      <c r="J11" s="4">
        <f>-D11</f>
        <v>-329229</v>
      </c>
      <c r="K11" t="s">
        <v>114</v>
      </c>
    </row>
    <row r="12" spans="1:13" x14ac:dyDescent="0.25">
      <c r="A12" s="36"/>
      <c r="B12" s="39" t="s">
        <v>122</v>
      </c>
      <c r="C12" s="36" t="s">
        <v>118</v>
      </c>
      <c r="D12" s="38"/>
      <c r="E12" s="38">
        <f>D11</f>
        <v>329229</v>
      </c>
      <c r="F12" s="41" t="s">
        <v>114</v>
      </c>
      <c r="G12" s="3"/>
      <c r="H12" t="s">
        <v>10</v>
      </c>
      <c r="J12" s="4">
        <f>D15</f>
        <v>128884</v>
      </c>
    </row>
    <row r="13" spans="1:13" x14ac:dyDescent="0.25">
      <c r="A13" s="36"/>
      <c r="B13" s="37" t="s">
        <v>3</v>
      </c>
      <c r="C13" s="36"/>
      <c r="D13" s="38"/>
      <c r="E13" s="38"/>
      <c r="F13" s="41"/>
      <c r="G13" s="3"/>
      <c r="H13" s="5" t="s">
        <v>11</v>
      </c>
      <c r="J13" s="4">
        <f>D19</f>
        <v>498495</v>
      </c>
    </row>
    <row r="14" spans="1:13" x14ac:dyDescent="0.25">
      <c r="A14" s="36"/>
      <c r="C14" s="36"/>
      <c r="D14" s="38"/>
      <c r="E14" s="38"/>
      <c r="F14" s="41"/>
      <c r="G14" s="3"/>
      <c r="H14" s="5" t="s">
        <v>13</v>
      </c>
      <c r="J14" s="7">
        <f>D27</f>
        <v>149888</v>
      </c>
    </row>
    <row r="15" spans="1:13" x14ac:dyDescent="0.25">
      <c r="A15" s="36">
        <v>3</v>
      </c>
      <c r="B15" s="37" t="s">
        <v>123</v>
      </c>
      <c r="C15" s="36" t="s">
        <v>150</v>
      </c>
      <c r="D15" s="38">
        <f>3302140-3173256</f>
        <v>128884</v>
      </c>
      <c r="E15" s="38"/>
      <c r="F15" s="41" t="s">
        <v>114</v>
      </c>
      <c r="G15" s="3"/>
      <c r="H15" t="s">
        <v>20</v>
      </c>
      <c r="J15" s="4">
        <f>D35</f>
        <v>281961</v>
      </c>
    </row>
    <row r="16" spans="1:13" ht="15.75" thickBot="1" x14ac:dyDescent="0.3">
      <c r="A16" s="36"/>
      <c r="B16" s="39" t="s">
        <v>124</v>
      </c>
      <c r="C16" s="36" t="s">
        <v>162</v>
      </c>
      <c r="D16" s="38"/>
      <c r="E16" s="38">
        <f>D15</f>
        <v>128884</v>
      </c>
      <c r="F16" s="41" t="s">
        <v>114</v>
      </c>
      <c r="G16" s="3"/>
      <c r="H16" s="2" t="s">
        <v>17</v>
      </c>
      <c r="J16" s="29">
        <f>SUM(J10:J15)</f>
        <v>2286279</v>
      </c>
      <c r="K16" t="s">
        <v>114</v>
      </c>
      <c r="M16" s="3"/>
    </row>
    <row r="17" spans="1:11" ht="15.75" thickTop="1" x14ac:dyDescent="0.25">
      <c r="A17" s="36"/>
      <c r="B17" s="37" t="s">
        <v>6</v>
      </c>
      <c r="C17" s="36"/>
      <c r="D17" s="38"/>
      <c r="E17" s="38"/>
      <c r="F17" s="41"/>
      <c r="G17" s="3"/>
      <c r="H17" s="2"/>
      <c r="J17" s="7"/>
    </row>
    <row r="18" spans="1:11" x14ac:dyDescent="0.25">
      <c r="A18" s="36"/>
      <c r="C18" s="36"/>
      <c r="D18" s="38"/>
      <c r="E18" s="38"/>
      <c r="F18" s="41"/>
      <c r="G18" s="3"/>
      <c r="H18" s="10" t="s">
        <v>14</v>
      </c>
    </row>
    <row r="19" spans="1:11" x14ac:dyDescent="0.25">
      <c r="A19" s="36">
        <v>4</v>
      </c>
      <c r="B19" s="37" t="s">
        <v>125</v>
      </c>
      <c r="C19" s="36" t="s">
        <v>151</v>
      </c>
      <c r="D19" s="38">
        <f>1989140-1490645</f>
        <v>498495</v>
      </c>
      <c r="E19" s="38"/>
      <c r="F19" s="41" t="s">
        <v>114</v>
      </c>
      <c r="G19" s="3"/>
      <c r="J19" s="4"/>
    </row>
    <row r="20" spans="1:11" x14ac:dyDescent="0.25">
      <c r="A20" s="36"/>
      <c r="B20" s="39" t="s">
        <v>124</v>
      </c>
      <c r="C20" s="36" t="s">
        <v>162</v>
      </c>
      <c r="D20" s="38"/>
      <c r="E20" s="38">
        <f>D19</f>
        <v>498495</v>
      </c>
      <c r="F20" s="41" t="s">
        <v>114</v>
      </c>
      <c r="G20" s="3"/>
      <c r="H20" t="s">
        <v>15</v>
      </c>
      <c r="J20" s="9">
        <f>D23</f>
        <v>122049</v>
      </c>
    </row>
    <row r="21" spans="1:11" x14ac:dyDescent="0.25">
      <c r="A21" s="36"/>
      <c r="B21" s="37" t="s">
        <v>4</v>
      </c>
      <c r="C21" s="36"/>
      <c r="D21" s="38"/>
      <c r="E21" s="38"/>
      <c r="F21" s="41"/>
      <c r="G21" s="3"/>
      <c r="H21" s="2" t="s">
        <v>18</v>
      </c>
    </row>
    <row r="22" spans="1:11" ht="15.75" thickBot="1" x14ac:dyDescent="0.3">
      <c r="A22" s="36"/>
      <c r="C22" s="36"/>
      <c r="D22" s="38"/>
      <c r="E22" s="38"/>
      <c r="F22" s="41"/>
      <c r="G22" s="3"/>
      <c r="H22" s="13" t="s">
        <v>19</v>
      </c>
      <c r="J22" s="6">
        <f>SUM(J20:J21)</f>
        <v>122049</v>
      </c>
      <c r="K22" t="s">
        <v>114</v>
      </c>
    </row>
    <row r="23" spans="1:11" ht="15.75" thickTop="1" x14ac:dyDescent="0.25">
      <c r="A23" s="36">
        <v>5</v>
      </c>
      <c r="B23" s="37" t="s">
        <v>126</v>
      </c>
      <c r="C23" s="36" t="s">
        <v>152</v>
      </c>
      <c r="D23" s="38">
        <f>704984-582935</f>
        <v>122049</v>
      </c>
      <c r="F23" s="35" t="s">
        <v>114</v>
      </c>
    </row>
    <row r="24" spans="1:11" x14ac:dyDescent="0.25">
      <c r="A24" s="36"/>
      <c r="B24" s="39" t="s">
        <v>124</v>
      </c>
      <c r="C24" s="36" t="s">
        <v>162</v>
      </c>
      <c r="D24" s="38"/>
      <c r="E24" s="38">
        <f>D23</f>
        <v>122049</v>
      </c>
      <c r="F24" s="35" t="s">
        <v>114</v>
      </c>
      <c r="H24" s="10" t="s">
        <v>23</v>
      </c>
    </row>
    <row r="25" spans="1:11" x14ac:dyDescent="0.25">
      <c r="A25" s="36"/>
      <c r="B25" s="37" t="s">
        <v>16</v>
      </c>
      <c r="C25" s="36"/>
      <c r="D25" s="38"/>
      <c r="E25" s="38"/>
      <c r="F25" s="35"/>
    </row>
    <row r="26" spans="1:11" x14ac:dyDescent="0.25">
      <c r="A26" s="36"/>
      <c r="C26" s="36"/>
      <c r="F26" s="35"/>
      <c r="H26" t="s">
        <v>113</v>
      </c>
      <c r="J26" s="4">
        <f>-E8-E16-E20-E24-E28-E32-E57+D72+D82-E93</f>
        <v>-11924147.149999999</v>
      </c>
      <c r="K26" t="s">
        <v>114</v>
      </c>
    </row>
    <row r="27" spans="1:11" x14ac:dyDescent="0.25">
      <c r="A27" s="36">
        <v>6</v>
      </c>
      <c r="B27" s="37" t="s">
        <v>127</v>
      </c>
      <c r="C27" s="36" t="s">
        <v>153</v>
      </c>
      <c r="D27" s="38">
        <v>149888</v>
      </c>
      <c r="F27" s="35" t="s">
        <v>114</v>
      </c>
      <c r="H27" t="s">
        <v>110</v>
      </c>
      <c r="J27" s="4">
        <f>-E41+D45</f>
        <v>-8404944.5</v>
      </c>
      <c r="K27" t="s">
        <v>114</v>
      </c>
    </row>
    <row r="28" spans="1:11" x14ac:dyDescent="0.25">
      <c r="A28" s="36"/>
      <c r="B28" s="39" t="s">
        <v>124</v>
      </c>
      <c r="C28" s="36" t="s">
        <v>162</v>
      </c>
      <c r="D28" s="38"/>
      <c r="E28" s="38">
        <f>D27</f>
        <v>149888</v>
      </c>
      <c r="F28" s="35" t="s">
        <v>114</v>
      </c>
      <c r="H28" t="s">
        <v>196</v>
      </c>
      <c r="J28" s="4">
        <f>+D56-E63-E69+D92+D62+D68+D40</f>
        <v>9711712.5</v>
      </c>
      <c r="K28" t="s">
        <v>114</v>
      </c>
    </row>
    <row r="29" spans="1:11" x14ac:dyDescent="0.25">
      <c r="A29" s="36"/>
      <c r="B29" s="37" t="s">
        <v>12</v>
      </c>
      <c r="C29" s="36"/>
      <c r="D29" s="38"/>
      <c r="E29" s="38"/>
      <c r="F29" s="35"/>
      <c r="H29" t="s">
        <v>197</v>
      </c>
      <c r="J29" s="4">
        <f>-D40-D62-D68</f>
        <v>-502934.5</v>
      </c>
      <c r="K29" t="s">
        <v>114</v>
      </c>
    </row>
    <row r="30" spans="1:11" x14ac:dyDescent="0.25">
      <c r="A30" s="36"/>
      <c r="C30" s="36"/>
      <c r="F30" s="35"/>
      <c r="J30" s="4"/>
    </row>
    <row r="31" spans="1:11" x14ac:dyDescent="0.25">
      <c r="A31" s="36">
        <v>7</v>
      </c>
      <c r="B31" s="37" t="s">
        <v>128</v>
      </c>
      <c r="C31" s="36" t="s">
        <v>154</v>
      </c>
      <c r="D31" s="38">
        <v>2782979</v>
      </c>
      <c r="F31" s="35" t="s">
        <v>114</v>
      </c>
      <c r="H31" t="s">
        <v>24</v>
      </c>
      <c r="J31" s="4">
        <f>D31</f>
        <v>2782979</v>
      </c>
    </row>
    <row r="32" spans="1:11" x14ac:dyDescent="0.25">
      <c r="A32" s="36"/>
      <c r="B32" s="39" t="s">
        <v>124</v>
      </c>
      <c r="C32" s="36" t="s">
        <v>162</v>
      </c>
      <c r="E32" s="38">
        <f>D31</f>
        <v>2782979</v>
      </c>
      <c r="F32" s="35" t="s">
        <v>114</v>
      </c>
      <c r="H32" s="1" t="s">
        <v>25</v>
      </c>
      <c r="J32" s="4">
        <f>-D35</f>
        <v>-281961</v>
      </c>
    </row>
    <row r="33" spans="1:11" x14ac:dyDescent="0.25">
      <c r="A33" s="36"/>
      <c r="B33" s="37" t="s">
        <v>21</v>
      </c>
      <c r="C33" s="36"/>
      <c r="F33" s="35"/>
      <c r="H33" t="s">
        <v>26</v>
      </c>
      <c r="J33" s="8">
        <f>SUM(J31:J32)</f>
        <v>2501018</v>
      </c>
      <c r="K33" t="s">
        <v>114</v>
      </c>
    </row>
    <row r="34" spans="1:11" x14ac:dyDescent="0.25">
      <c r="A34" s="36"/>
      <c r="C34" s="36"/>
      <c r="F34" s="35"/>
    </row>
    <row r="35" spans="1:11" x14ac:dyDescent="0.25">
      <c r="A35" s="36">
        <v>8</v>
      </c>
      <c r="B35" s="37" t="s">
        <v>178</v>
      </c>
      <c r="C35" s="36" t="s">
        <v>155</v>
      </c>
      <c r="D35" s="38">
        <v>281961</v>
      </c>
      <c r="F35" s="35" t="s">
        <v>114</v>
      </c>
      <c r="H35" t="s">
        <v>28</v>
      </c>
      <c r="J35" s="4">
        <f>-D39-D44</f>
        <v>-26223167</v>
      </c>
      <c r="K35" t="s">
        <v>114</v>
      </c>
    </row>
    <row r="36" spans="1:11" x14ac:dyDescent="0.25">
      <c r="A36" s="36"/>
      <c r="B36" s="39" t="s">
        <v>129</v>
      </c>
      <c r="C36" s="36" t="s">
        <v>154</v>
      </c>
      <c r="D36" s="38"/>
      <c r="E36" s="38">
        <f>D35</f>
        <v>281961</v>
      </c>
      <c r="F36" s="35" t="s">
        <v>114</v>
      </c>
      <c r="H36" t="s">
        <v>29</v>
      </c>
      <c r="J36" s="4">
        <f>-D40-D62-D68</f>
        <v>-502934.5</v>
      </c>
      <c r="K36" t="s">
        <v>114</v>
      </c>
    </row>
    <row r="37" spans="1:11" x14ac:dyDescent="0.25">
      <c r="A37" s="36"/>
      <c r="B37" s="37" t="s">
        <v>22</v>
      </c>
      <c r="C37" s="36"/>
      <c r="D37" s="38"/>
      <c r="E37" s="38"/>
      <c r="F37" s="35"/>
      <c r="H37" t="s">
        <v>30</v>
      </c>
      <c r="J37" s="4">
        <f>-D60-D66</f>
        <v>-1278700.74</v>
      </c>
      <c r="K37" t="s">
        <v>114</v>
      </c>
    </row>
    <row r="38" spans="1:11" x14ac:dyDescent="0.25">
      <c r="A38" s="36"/>
      <c r="C38" s="36"/>
      <c r="F38" s="35"/>
      <c r="H38" t="s">
        <v>194</v>
      </c>
      <c r="J38" s="4">
        <f>+E53</f>
        <v>19600000</v>
      </c>
      <c r="K38" t="s">
        <v>114</v>
      </c>
    </row>
    <row r="39" spans="1:11" x14ac:dyDescent="0.25">
      <c r="A39" s="36">
        <v>9</v>
      </c>
      <c r="B39" s="37" t="s">
        <v>130</v>
      </c>
      <c r="C39" s="36" t="s">
        <v>156</v>
      </c>
      <c r="D39" s="38">
        <v>8675000</v>
      </c>
      <c r="E39" s="38"/>
      <c r="F39" s="35" t="s">
        <v>114</v>
      </c>
      <c r="H39" t="s">
        <v>195</v>
      </c>
      <c r="J39" s="4">
        <f>-D61-D67</f>
        <v>-2695739.27</v>
      </c>
      <c r="K39" t="s">
        <v>114</v>
      </c>
    </row>
    <row r="40" spans="1:11" x14ac:dyDescent="0.25">
      <c r="A40" s="36"/>
      <c r="B40" s="37" t="s">
        <v>131</v>
      </c>
      <c r="C40" s="36" t="s">
        <v>157</v>
      </c>
      <c r="D40" s="38">
        <v>21687.5</v>
      </c>
      <c r="E40" s="38"/>
      <c r="F40" s="35" t="s">
        <v>114</v>
      </c>
      <c r="H40" t="s">
        <v>76</v>
      </c>
      <c r="J40" s="4">
        <f>D52</f>
        <v>1248090</v>
      </c>
      <c r="K40" t="s">
        <v>114</v>
      </c>
    </row>
    <row r="41" spans="1:11" x14ac:dyDescent="0.25">
      <c r="A41" s="36"/>
      <c r="B41" s="39" t="s">
        <v>132</v>
      </c>
      <c r="C41" s="36" t="s">
        <v>158</v>
      </c>
      <c r="D41" s="38"/>
      <c r="E41" s="38">
        <f>SUM(D39:D40)</f>
        <v>8696687.5</v>
      </c>
      <c r="F41" s="35" t="s">
        <v>114</v>
      </c>
    </row>
    <row r="42" spans="1:11" x14ac:dyDescent="0.25">
      <c r="A42" s="36"/>
      <c r="B42" s="37" t="s">
        <v>107</v>
      </c>
      <c r="C42" s="36"/>
      <c r="D42" s="38"/>
      <c r="E42" s="38"/>
      <c r="F42" s="35"/>
      <c r="H42" s="10" t="s">
        <v>33</v>
      </c>
    </row>
    <row r="43" spans="1:11" x14ac:dyDescent="0.25">
      <c r="A43" s="36"/>
      <c r="C43" s="36"/>
      <c r="D43" s="38"/>
      <c r="E43" s="38"/>
      <c r="F43" s="35"/>
    </row>
    <row r="44" spans="1:11" x14ac:dyDescent="0.25">
      <c r="A44" s="36">
        <v>10</v>
      </c>
      <c r="B44" s="37" t="s">
        <v>133</v>
      </c>
      <c r="C44" s="36" t="s">
        <v>156</v>
      </c>
      <c r="D44" s="38">
        <f>26223167-D39</f>
        <v>17548167</v>
      </c>
      <c r="F44" s="35" t="s">
        <v>114</v>
      </c>
      <c r="H44" s="12" t="s">
        <v>32</v>
      </c>
      <c r="J44" s="3">
        <f>SUM(E73:E79)-D76+SUM(E83:E89)</f>
        <v>6978892.8600000003</v>
      </c>
      <c r="K44" t="s">
        <v>114</v>
      </c>
    </row>
    <row r="45" spans="1:11" x14ac:dyDescent="0.25">
      <c r="A45" s="36"/>
      <c r="B45" s="37" t="s">
        <v>191</v>
      </c>
      <c r="C45" s="36" t="s">
        <v>192</v>
      </c>
      <c r="D45" s="38">
        <f>E46-D44</f>
        <v>291743</v>
      </c>
      <c r="F45" s="35" t="s">
        <v>114</v>
      </c>
      <c r="H45" s="12"/>
      <c r="J45" s="3"/>
    </row>
    <row r="46" spans="1:11" x14ac:dyDescent="0.25">
      <c r="A46" s="36"/>
      <c r="B46" s="39" t="s">
        <v>134</v>
      </c>
      <c r="C46" s="36" t="s">
        <v>159</v>
      </c>
      <c r="E46" s="38">
        <f>17838333+1577</f>
        <v>17839910</v>
      </c>
      <c r="F46" s="35" t="s">
        <v>114</v>
      </c>
      <c r="H46" s="12"/>
      <c r="J46" s="3"/>
    </row>
    <row r="47" spans="1:11" x14ac:dyDescent="0.25">
      <c r="A47" s="36"/>
      <c r="B47" s="37" t="s">
        <v>108</v>
      </c>
      <c r="C47" s="36"/>
      <c r="F47" s="35"/>
      <c r="H47" s="17" t="s">
        <v>78</v>
      </c>
      <c r="J47" s="3"/>
    </row>
    <row r="48" spans="1:11" x14ac:dyDescent="0.25">
      <c r="A48" s="36"/>
      <c r="C48" s="36"/>
      <c r="F48" s="35"/>
      <c r="J48" s="3"/>
    </row>
    <row r="49" spans="1:11" x14ac:dyDescent="0.25">
      <c r="A49" s="36">
        <v>11</v>
      </c>
      <c r="B49" s="37" t="s">
        <v>34</v>
      </c>
      <c r="C49" s="36" t="s">
        <v>160</v>
      </c>
      <c r="D49" s="38">
        <v>392000</v>
      </c>
      <c r="E49" s="38"/>
      <c r="F49" s="35" t="s">
        <v>114</v>
      </c>
      <c r="H49" t="s">
        <v>75</v>
      </c>
      <c r="J49" s="14">
        <f>D49+D50</f>
        <v>512000</v>
      </c>
      <c r="K49" t="s">
        <v>114</v>
      </c>
    </row>
    <row r="50" spans="1:11" x14ac:dyDescent="0.25">
      <c r="A50" s="36"/>
      <c r="B50" s="37" t="s">
        <v>135</v>
      </c>
      <c r="C50" s="36" t="s">
        <v>160</v>
      </c>
      <c r="D50" s="38">
        <v>120000</v>
      </c>
      <c r="E50" s="38"/>
      <c r="F50" s="35" t="s">
        <v>114</v>
      </c>
      <c r="J50" s="7"/>
    </row>
    <row r="51" spans="1:11" x14ac:dyDescent="0.25">
      <c r="A51" s="36"/>
      <c r="B51" s="37" t="s">
        <v>136</v>
      </c>
      <c r="C51" s="36" t="s">
        <v>159</v>
      </c>
      <c r="D51" s="38">
        <v>17839910</v>
      </c>
      <c r="E51" s="38"/>
      <c r="F51" s="35" t="s">
        <v>114</v>
      </c>
      <c r="H51" s="17" t="s">
        <v>38</v>
      </c>
      <c r="J51" s="15"/>
    </row>
    <row r="52" spans="1:11" x14ac:dyDescent="0.25">
      <c r="A52" s="36"/>
      <c r="B52" s="37" t="s">
        <v>35</v>
      </c>
      <c r="C52" s="36" t="s">
        <v>189</v>
      </c>
      <c r="D52" s="38">
        <v>1248090</v>
      </c>
      <c r="E52" s="38"/>
      <c r="F52" s="35" t="s">
        <v>114</v>
      </c>
      <c r="H52" s="12" t="s">
        <v>39</v>
      </c>
      <c r="J52" s="7"/>
    </row>
    <row r="53" spans="1:11" x14ac:dyDescent="0.25">
      <c r="A53" s="36"/>
      <c r="B53" s="39" t="s">
        <v>37</v>
      </c>
      <c r="C53" s="36" t="s">
        <v>193</v>
      </c>
      <c r="D53" s="38"/>
      <c r="E53" s="38">
        <f>SUM(D49:D52)</f>
        <v>19600000</v>
      </c>
      <c r="F53" s="35" t="s">
        <v>114</v>
      </c>
      <c r="H53" s="12" t="s">
        <v>42</v>
      </c>
      <c r="J53" s="15"/>
    </row>
    <row r="54" spans="1:11" x14ac:dyDescent="0.25">
      <c r="A54" s="36"/>
      <c r="B54" s="37" t="s">
        <v>36</v>
      </c>
      <c r="C54" s="36"/>
      <c r="D54" s="38"/>
      <c r="E54" s="38"/>
      <c r="F54" s="35"/>
      <c r="J54" s="16"/>
    </row>
    <row r="55" spans="1:11" x14ac:dyDescent="0.25">
      <c r="A55" s="36"/>
      <c r="C55" s="36"/>
      <c r="D55" s="38"/>
      <c r="E55" s="38"/>
      <c r="F55" s="34"/>
      <c r="G55" s="11"/>
      <c r="H55" s="12" t="s">
        <v>40</v>
      </c>
      <c r="J55" s="15"/>
    </row>
    <row r="56" spans="1:11" x14ac:dyDescent="0.25">
      <c r="A56" s="36">
        <v>12</v>
      </c>
      <c r="B56" s="37" t="s">
        <v>179</v>
      </c>
      <c r="C56" s="36" t="s">
        <v>161</v>
      </c>
      <c r="D56" s="38">
        <f>E63+E69</f>
        <v>4455687.01</v>
      </c>
      <c r="E56" s="38"/>
      <c r="F56" s="34" t="s">
        <v>114</v>
      </c>
      <c r="G56" s="11"/>
      <c r="H56" s="12" t="s">
        <v>41</v>
      </c>
      <c r="J56" s="7"/>
    </row>
    <row r="57" spans="1:11" x14ac:dyDescent="0.25">
      <c r="A57" s="36"/>
      <c r="B57" s="39" t="s">
        <v>187</v>
      </c>
      <c r="C57" s="36" t="s">
        <v>162</v>
      </c>
      <c r="D57" s="38"/>
      <c r="E57" s="38">
        <f>D56</f>
        <v>4455687.01</v>
      </c>
      <c r="F57" s="34" t="s">
        <v>114</v>
      </c>
      <c r="G57" s="11"/>
      <c r="J57" s="15"/>
    </row>
    <row r="58" spans="1:11" x14ac:dyDescent="0.25">
      <c r="A58" s="36"/>
      <c r="B58" s="40" t="s">
        <v>111</v>
      </c>
      <c r="C58" s="36"/>
      <c r="D58" s="38"/>
      <c r="E58" s="38"/>
      <c r="F58" s="34"/>
      <c r="G58" s="11"/>
      <c r="H58" s="12" t="s">
        <v>43</v>
      </c>
      <c r="J58" s="15"/>
    </row>
    <row r="59" spans="1:11" x14ac:dyDescent="0.25">
      <c r="A59" s="36"/>
      <c r="C59" s="36"/>
      <c r="D59" s="38"/>
      <c r="E59" s="38"/>
      <c r="F59" s="35"/>
      <c r="H59" s="12" t="s">
        <v>44</v>
      </c>
    </row>
    <row r="60" spans="1:11" x14ac:dyDescent="0.25">
      <c r="A60" s="36">
        <v>13</v>
      </c>
      <c r="B60" s="37" t="s">
        <v>137</v>
      </c>
      <c r="C60" s="36" t="s">
        <v>163</v>
      </c>
      <c r="D60" s="38">
        <v>978560.73</v>
      </c>
      <c r="F60" s="35" t="s">
        <v>114</v>
      </c>
      <c r="H60" s="12" t="s">
        <v>45</v>
      </c>
    </row>
    <row r="61" spans="1:11" x14ac:dyDescent="0.25">
      <c r="A61" s="36"/>
      <c r="B61" s="37" t="s">
        <v>138</v>
      </c>
      <c r="C61" s="36" t="s">
        <v>164</v>
      </c>
      <c r="D61" s="38">
        <v>693940.95</v>
      </c>
      <c r="F61" s="35" t="s">
        <v>114</v>
      </c>
      <c r="H61" s="12"/>
    </row>
    <row r="62" spans="1:11" x14ac:dyDescent="0.25">
      <c r="A62" s="36"/>
      <c r="B62" s="37" t="s">
        <v>139</v>
      </c>
      <c r="C62" s="36" t="s">
        <v>165</v>
      </c>
      <c r="D62" s="38">
        <v>69969</v>
      </c>
      <c r="F62" s="35" t="s">
        <v>114</v>
      </c>
      <c r="H62" s="12" t="s">
        <v>46</v>
      </c>
    </row>
    <row r="63" spans="1:11" x14ac:dyDescent="0.25">
      <c r="A63" s="36"/>
      <c r="B63" s="39" t="s">
        <v>190</v>
      </c>
      <c r="C63" s="36" t="s">
        <v>161</v>
      </c>
      <c r="D63" s="38"/>
      <c r="E63" s="38">
        <f>SUM(D60:D62)</f>
        <v>1742470.68</v>
      </c>
      <c r="F63" s="35" t="s">
        <v>114</v>
      </c>
      <c r="H63" s="12" t="s">
        <v>47</v>
      </c>
    </row>
    <row r="64" spans="1:11" x14ac:dyDescent="0.25">
      <c r="A64" s="36"/>
      <c r="B64" s="37" t="s">
        <v>27</v>
      </c>
      <c r="C64" s="36"/>
      <c r="D64" s="38"/>
      <c r="E64" s="38"/>
      <c r="F64" s="35"/>
      <c r="H64" s="12" t="s">
        <v>48</v>
      </c>
    </row>
    <row r="65" spans="1:10" x14ac:dyDescent="0.25">
      <c r="A65" s="36"/>
      <c r="C65" s="36"/>
      <c r="D65" s="38"/>
      <c r="E65" s="38"/>
      <c r="F65" s="34"/>
      <c r="G65" s="11"/>
      <c r="H65" s="12" t="s">
        <v>49</v>
      </c>
    </row>
    <row r="66" spans="1:10" x14ac:dyDescent="0.25">
      <c r="A66" s="36">
        <v>14</v>
      </c>
      <c r="B66" s="37" t="s">
        <v>140</v>
      </c>
      <c r="C66" s="36" t="s">
        <v>166</v>
      </c>
      <c r="D66" s="38">
        <v>300140.01</v>
      </c>
      <c r="F66" s="34" t="s">
        <v>114</v>
      </c>
      <c r="G66" s="11"/>
    </row>
    <row r="67" spans="1:10" x14ac:dyDescent="0.25">
      <c r="A67" s="36"/>
      <c r="B67" s="37" t="s">
        <v>141</v>
      </c>
      <c r="C67" s="36" t="s">
        <v>167</v>
      </c>
      <c r="D67" s="38">
        <v>2001798.32</v>
      </c>
      <c r="F67" s="34" t="s">
        <v>114</v>
      </c>
      <c r="G67" s="11"/>
      <c r="H67" s="12" t="s">
        <v>50</v>
      </c>
    </row>
    <row r="68" spans="1:10" x14ac:dyDescent="0.25">
      <c r="A68" s="36"/>
      <c r="B68" s="37" t="s">
        <v>139</v>
      </c>
      <c r="C68" s="36" t="s">
        <v>165</v>
      </c>
      <c r="D68" s="38">
        <v>411278</v>
      </c>
      <c r="F68" s="34" t="s">
        <v>114</v>
      </c>
      <c r="G68" s="11"/>
      <c r="H68" s="12" t="s">
        <v>51</v>
      </c>
    </row>
    <row r="69" spans="1:10" x14ac:dyDescent="0.25">
      <c r="A69" s="36"/>
      <c r="B69" s="39" t="s">
        <v>190</v>
      </c>
      <c r="C69" s="36" t="s">
        <v>161</v>
      </c>
      <c r="D69" s="38"/>
      <c r="E69" s="38">
        <f>SUM(D66:D68)</f>
        <v>2713216.33</v>
      </c>
      <c r="F69" s="34" t="s">
        <v>114</v>
      </c>
      <c r="G69" s="11"/>
    </row>
    <row r="70" spans="1:10" x14ac:dyDescent="0.25">
      <c r="A70" s="36"/>
      <c r="B70" s="37" t="s">
        <v>31</v>
      </c>
      <c r="C70" s="36"/>
      <c r="D70" s="38"/>
      <c r="E70" s="38"/>
      <c r="F70" s="34"/>
      <c r="G70" s="11"/>
      <c r="H70" s="12" t="s">
        <v>52</v>
      </c>
    </row>
    <row r="71" spans="1:10" x14ac:dyDescent="0.25">
      <c r="A71" s="36"/>
      <c r="C71" s="36"/>
      <c r="D71" s="38"/>
      <c r="E71" s="38"/>
      <c r="F71" s="34"/>
      <c r="G71" s="11"/>
      <c r="H71" s="12" t="s">
        <v>53</v>
      </c>
    </row>
    <row r="72" spans="1:10" x14ac:dyDescent="0.25">
      <c r="A72" s="36">
        <v>15</v>
      </c>
      <c r="B72" s="37" t="s">
        <v>142</v>
      </c>
      <c r="C72" s="36" t="s">
        <v>168</v>
      </c>
      <c r="D72" s="38">
        <f>SUM(E73:E79)-(D76)</f>
        <v>761714.39376590773</v>
      </c>
      <c r="E72" s="38"/>
      <c r="F72" s="35" t="s">
        <v>114</v>
      </c>
    </row>
    <row r="73" spans="1:10" x14ac:dyDescent="0.25">
      <c r="A73" s="36"/>
      <c r="B73" s="39" t="s">
        <v>143</v>
      </c>
      <c r="C73" s="36" t="s">
        <v>169</v>
      </c>
      <c r="D73" s="38"/>
      <c r="E73" s="38">
        <f>'revenue detail'!D8</f>
        <v>709270.39376590773</v>
      </c>
      <c r="F73" s="35" t="s">
        <v>114</v>
      </c>
      <c r="H73" s="12" t="s">
        <v>73</v>
      </c>
    </row>
    <row r="74" spans="1:10" x14ac:dyDescent="0.25">
      <c r="A74" s="36"/>
      <c r="B74" s="39" t="s">
        <v>180</v>
      </c>
      <c r="C74" s="36" t="s">
        <v>170</v>
      </c>
      <c r="D74" s="38"/>
      <c r="E74" s="38">
        <f>'revenue detail'!D9</f>
        <v>56498</v>
      </c>
      <c r="F74" s="35" t="s">
        <v>114</v>
      </c>
      <c r="H74" s="12" t="s">
        <v>74</v>
      </c>
    </row>
    <row r="75" spans="1:10" x14ac:dyDescent="0.25">
      <c r="A75" s="36"/>
      <c r="B75" s="39" t="s">
        <v>145</v>
      </c>
      <c r="C75" s="36" t="s">
        <v>171</v>
      </c>
      <c r="D75" s="38"/>
      <c r="E75" s="38">
        <f>'revenue detail'!D10</f>
        <v>1318</v>
      </c>
      <c r="F75" s="35" t="s">
        <v>114</v>
      </c>
    </row>
    <row r="76" spans="1:10" x14ac:dyDescent="0.25">
      <c r="A76" s="36"/>
      <c r="B76" s="39" t="s">
        <v>146</v>
      </c>
      <c r="C76" s="36" t="s">
        <v>172</v>
      </c>
      <c r="D76" s="38">
        <f>-'revenue detail'!D11</f>
        <v>25738</v>
      </c>
      <c r="E76" s="38"/>
      <c r="F76" s="35" t="s">
        <v>114</v>
      </c>
    </row>
    <row r="77" spans="1:10" x14ac:dyDescent="0.25">
      <c r="A77" s="36"/>
      <c r="B77" s="39" t="s">
        <v>147</v>
      </c>
      <c r="C77" s="36" t="s">
        <v>173</v>
      </c>
      <c r="D77" s="38"/>
      <c r="E77" s="38">
        <f>'revenue detail'!D12</f>
        <v>19733</v>
      </c>
      <c r="F77" s="35" t="s">
        <v>114</v>
      </c>
      <c r="J77" s="4"/>
    </row>
    <row r="78" spans="1:10" x14ac:dyDescent="0.25">
      <c r="A78" s="36"/>
      <c r="B78" s="39" t="s">
        <v>181</v>
      </c>
      <c r="C78" s="36" t="s">
        <v>174</v>
      </c>
      <c r="D78" s="38"/>
      <c r="E78" s="38">
        <f>'revenue detail'!D13</f>
        <v>0</v>
      </c>
      <c r="F78" s="35" t="s">
        <v>114</v>
      </c>
      <c r="J78" s="3"/>
    </row>
    <row r="79" spans="1:10" x14ac:dyDescent="0.25">
      <c r="A79" s="36"/>
      <c r="B79" s="39" t="s">
        <v>182</v>
      </c>
      <c r="C79" s="36" t="s">
        <v>175</v>
      </c>
      <c r="D79" s="38"/>
      <c r="E79" s="38">
        <f>'revenue detail'!D18</f>
        <v>633</v>
      </c>
      <c r="F79" s="35" t="s">
        <v>114</v>
      </c>
      <c r="J79" s="4"/>
    </row>
    <row r="80" spans="1:10" x14ac:dyDescent="0.25">
      <c r="A80" s="36"/>
      <c r="B80" s="40" t="s">
        <v>98</v>
      </c>
      <c r="C80" s="36"/>
      <c r="D80" s="38"/>
      <c r="E80" s="38"/>
      <c r="F80" s="35"/>
      <c r="J80" s="4"/>
    </row>
    <row r="81" spans="1:6" x14ac:dyDescent="0.25">
      <c r="A81" s="36"/>
      <c r="C81" s="36"/>
      <c r="D81" s="38"/>
      <c r="E81" s="38"/>
      <c r="F81" s="35"/>
    </row>
    <row r="82" spans="1:6" x14ac:dyDescent="0.25">
      <c r="A82" s="36">
        <v>16</v>
      </c>
      <c r="B82" s="37" t="s">
        <v>149</v>
      </c>
      <c r="C82" s="36" t="s">
        <v>162</v>
      </c>
      <c r="D82" s="38">
        <f>SUM(E83:E89)</f>
        <v>6217178.4662340926</v>
      </c>
      <c r="E82" s="38"/>
      <c r="F82" s="35" t="s">
        <v>114</v>
      </c>
    </row>
    <row r="83" spans="1:6" x14ac:dyDescent="0.25">
      <c r="A83" s="36"/>
      <c r="B83" s="39" t="s">
        <v>143</v>
      </c>
      <c r="C83" s="36" t="s">
        <v>169</v>
      </c>
      <c r="D83" s="38"/>
      <c r="E83" s="38">
        <f>'revenue detail'!F8</f>
        <v>3722647.6062340923</v>
      </c>
      <c r="F83" s="35" t="s">
        <v>114</v>
      </c>
    </row>
    <row r="84" spans="1:6" x14ac:dyDescent="0.25">
      <c r="A84" s="36"/>
      <c r="B84" s="39" t="s">
        <v>144</v>
      </c>
      <c r="C84" s="36" t="s">
        <v>176</v>
      </c>
      <c r="D84" s="38"/>
      <c r="E84" s="38">
        <f>'revenue detail'!F9</f>
        <v>925903.41999999993</v>
      </c>
      <c r="F84" s="34" t="s">
        <v>114</v>
      </c>
    </row>
    <row r="85" spans="1:6" x14ac:dyDescent="0.25">
      <c r="A85" s="36"/>
      <c r="B85" s="39" t="s">
        <v>145</v>
      </c>
      <c r="C85" s="36" t="s">
        <v>171</v>
      </c>
      <c r="D85" s="38"/>
      <c r="E85" s="38">
        <f>'revenue detail'!F10</f>
        <v>512901</v>
      </c>
      <c r="F85" s="35" t="s">
        <v>114</v>
      </c>
    </row>
    <row r="86" spans="1:6" x14ac:dyDescent="0.25">
      <c r="A86" s="36"/>
      <c r="B86" s="39" t="s">
        <v>146</v>
      </c>
      <c r="C86" s="36" t="s">
        <v>172</v>
      </c>
      <c r="D86" s="38"/>
      <c r="E86" s="38">
        <f>'revenue detail'!F11</f>
        <v>301362</v>
      </c>
      <c r="F86" s="35" t="s">
        <v>114</v>
      </c>
    </row>
    <row r="87" spans="1:6" x14ac:dyDescent="0.25">
      <c r="A87" s="36"/>
      <c r="B87" s="39" t="s">
        <v>147</v>
      </c>
      <c r="C87" s="36" t="s">
        <v>173</v>
      </c>
      <c r="D87" s="38"/>
      <c r="E87" s="38">
        <f>'revenue detail'!F12</f>
        <v>570378.44000000041</v>
      </c>
      <c r="F87" s="35" t="s">
        <v>114</v>
      </c>
    </row>
    <row r="88" spans="1:6" x14ac:dyDescent="0.25">
      <c r="A88" s="36"/>
      <c r="B88" s="39" t="s">
        <v>181</v>
      </c>
      <c r="C88" s="36" t="s">
        <v>174</v>
      </c>
      <c r="D88" s="38"/>
      <c r="E88" s="38">
        <f>'revenue detail'!F13</f>
        <v>3339</v>
      </c>
      <c r="F88" s="35" t="s">
        <v>114</v>
      </c>
    </row>
    <row r="89" spans="1:6" x14ac:dyDescent="0.25">
      <c r="A89" s="36"/>
      <c r="B89" s="39" t="s">
        <v>148</v>
      </c>
      <c r="C89" s="36" t="s">
        <v>177</v>
      </c>
      <c r="D89" s="38"/>
      <c r="E89" s="38">
        <f>'revenue detail'!F18</f>
        <v>180647</v>
      </c>
      <c r="F89" s="35" t="s">
        <v>114</v>
      </c>
    </row>
    <row r="90" spans="1:6" x14ac:dyDescent="0.25">
      <c r="A90" s="36"/>
      <c r="B90" s="40" t="s">
        <v>99</v>
      </c>
      <c r="C90" s="36"/>
      <c r="D90" s="38"/>
      <c r="E90" s="38"/>
      <c r="F90" s="35"/>
    </row>
    <row r="91" spans="1:6" x14ac:dyDescent="0.25">
      <c r="A91" s="36"/>
      <c r="C91" s="36"/>
      <c r="D91" s="38"/>
      <c r="E91" s="38"/>
      <c r="F91" s="35"/>
    </row>
    <row r="92" spans="1:6" x14ac:dyDescent="0.25">
      <c r="A92" s="36">
        <v>17</v>
      </c>
      <c r="B92" s="40" t="s">
        <v>188</v>
      </c>
      <c r="C92" s="36" t="s">
        <v>161</v>
      </c>
      <c r="D92" s="38">
        <v>9208778</v>
      </c>
      <c r="E92" s="38"/>
      <c r="F92" s="35" t="s">
        <v>114</v>
      </c>
    </row>
    <row r="93" spans="1:6" x14ac:dyDescent="0.25">
      <c r="B93" s="39" t="s">
        <v>187</v>
      </c>
      <c r="C93" s="36" t="s">
        <v>162</v>
      </c>
      <c r="D93" s="38"/>
      <c r="E93" s="38">
        <f>D92</f>
        <v>9208778</v>
      </c>
      <c r="F93" s="35" t="s">
        <v>114</v>
      </c>
    </row>
    <row r="94" spans="1:6" x14ac:dyDescent="0.25">
      <c r="B94" s="37" t="s">
        <v>109</v>
      </c>
      <c r="D94" s="38"/>
      <c r="E94" s="38"/>
    </row>
    <row r="95" spans="1:6" x14ac:dyDescent="0.25">
      <c r="D95" s="38"/>
      <c r="E95" s="38"/>
    </row>
    <row r="96" spans="1:6" x14ac:dyDescent="0.25">
      <c r="D96" s="38"/>
      <c r="E96" s="38"/>
    </row>
    <row r="97" spans="4:5" x14ac:dyDescent="0.25">
      <c r="D97" s="38"/>
      <c r="E97" s="38"/>
    </row>
    <row r="98" spans="4:5" x14ac:dyDescent="0.25">
      <c r="D98" s="38"/>
      <c r="E98" s="38"/>
    </row>
    <row r="99" spans="4:5" x14ac:dyDescent="0.25">
      <c r="D99" s="38"/>
      <c r="E99" s="38"/>
    </row>
    <row r="100" spans="4:5" x14ac:dyDescent="0.25">
      <c r="D100" s="38"/>
      <c r="E100" s="38"/>
    </row>
    <row r="101" spans="4:5" x14ac:dyDescent="0.25">
      <c r="D101" s="38"/>
      <c r="E101" s="38"/>
    </row>
    <row r="102" spans="4:5" x14ac:dyDescent="0.25">
      <c r="D102" s="38"/>
      <c r="E102" s="38"/>
    </row>
    <row r="103" spans="4:5" x14ac:dyDescent="0.25">
      <c r="D103" s="38"/>
      <c r="E103" s="38"/>
    </row>
    <row r="104" spans="4:5" x14ac:dyDescent="0.25">
      <c r="D104" s="38"/>
      <c r="E104" s="38"/>
    </row>
    <row r="105" spans="4:5" x14ac:dyDescent="0.25">
      <c r="D105" s="38"/>
      <c r="E105" s="38"/>
    </row>
    <row r="106" spans="4:5" x14ac:dyDescent="0.25">
      <c r="D106" s="38"/>
      <c r="E106" s="38"/>
    </row>
    <row r="107" spans="4:5" x14ac:dyDescent="0.25">
      <c r="D107" s="38"/>
      <c r="E107" s="38"/>
    </row>
    <row r="108" spans="4:5" x14ac:dyDescent="0.25">
      <c r="D108" s="38"/>
      <c r="E108" s="38"/>
    </row>
  </sheetData>
  <mergeCells count="3">
    <mergeCell ref="A1:H1"/>
    <mergeCell ref="A2:H2"/>
    <mergeCell ref="A3:H3"/>
  </mergeCells>
  <pageMargins left="0.7" right="0.7" top="0.75" bottom="0.75" header="0.3" footer="0.3"/>
  <pageSetup scale="46" orientation="portrait" r:id="rId1"/>
  <colBreaks count="1" manualBreakCount="1">
    <brk id="11" max="9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9.140625" customWidth="1"/>
    <col min="2" max="2" width="35.140625" bestFit="1" customWidth="1"/>
    <col min="3" max="3" width="17.7109375" bestFit="1" customWidth="1"/>
    <col min="4" max="4" width="17.5703125" bestFit="1" customWidth="1"/>
    <col min="5" max="5" width="17" bestFit="1" customWidth="1"/>
    <col min="6" max="6" width="17.5703125" bestFit="1" customWidth="1"/>
    <col min="7" max="7" width="17.7109375" bestFit="1" customWidth="1"/>
    <col min="8" max="8" width="46.85546875" bestFit="1" customWidth="1"/>
    <col min="9" max="9" width="11.85546875" bestFit="1" customWidth="1"/>
    <col min="10" max="10" width="12.42578125" bestFit="1" customWidth="1"/>
  </cols>
  <sheetData>
    <row r="1" spans="2:12" x14ac:dyDescent="0.25">
      <c r="B1" s="45" t="s">
        <v>0</v>
      </c>
      <c r="C1" s="45"/>
      <c r="D1" s="45"/>
      <c r="E1" s="45"/>
      <c r="F1" s="45"/>
      <c r="G1" s="45"/>
      <c r="H1" s="43"/>
      <c r="I1" s="43"/>
    </row>
    <row r="2" spans="2:12" x14ac:dyDescent="0.25">
      <c r="B2" s="45" t="s">
        <v>202</v>
      </c>
      <c r="C2" s="45"/>
      <c r="D2" s="45"/>
      <c r="E2" s="45"/>
      <c r="F2" s="45"/>
      <c r="G2" s="45"/>
      <c r="H2" s="43"/>
      <c r="I2" s="43"/>
    </row>
    <row r="3" spans="2:12" x14ac:dyDescent="0.25">
      <c r="B3" s="46" t="s">
        <v>5</v>
      </c>
      <c r="C3" s="46"/>
      <c r="D3" s="46"/>
      <c r="E3" s="46"/>
      <c r="F3" s="46"/>
      <c r="G3" s="46"/>
      <c r="H3" s="44"/>
      <c r="I3" s="44"/>
      <c r="J3" s="25"/>
    </row>
    <row r="4" spans="2:12" x14ac:dyDescent="0.25">
      <c r="B4" s="42"/>
      <c r="C4" s="42"/>
      <c r="D4" s="42"/>
      <c r="E4" s="42"/>
      <c r="F4" s="42"/>
      <c r="G4" s="42"/>
      <c r="H4" s="44"/>
      <c r="I4" s="44"/>
      <c r="J4" s="25"/>
    </row>
    <row r="5" spans="2:12" x14ac:dyDescent="0.25">
      <c r="C5" s="22" t="s">
        <v>68</v>
      </c>
      <c r="D5" s="22"/>
      <c r="E5" s="22" t="s">
        <v>71</v>
      </c>
      <c r="F5" s="22"/>
      <c r="G5" s="22" t="s">
        <v>71</v>
      </c>
      <c r="H5" s="26"/>
      <c r="I5" s="26"/>
      <c r="J5" s="26"/>
      <c r="K5" s="27"/>
      <c r="L5" s="27"/>
    </row>
    <row r="6" spans="2:12" x14ac:dyDescent="0.25">
      <c r="B6" s="19" t="s">
        <v>54</v>
      </c>
      <c r="C6" s="22" t="s">
        <v>69</v>
      </c>
      <c r="D6" s="22" t="s">
        <v>70</v>
      </c>
      <c r="E6" s="22" t="s">
        <v>96</v>
      </c>
      <c r="F6" s="22" t="s">
        <v>70</v>
      </c>
      <c r="G6" s="22" t="s">
        <v>97</v>
      </c>
      <c r="H6" s="26"/>
      <c r="I6" s="26"/>
      <c r="J6" s="26"/>
      <c r="K6" s="27"/>
      <c r="L6" s="27"/>
    </row>
    <row r="7" spans="2:12" x14ac:dyDescent="0.25">
      <c r="B7" s="20" t="s">
        <v>55</v>
      </c>
      <c r="G7" s="27"/>
      <c r="H7" s="27"/>
      <c r="I7" s="27"/>
      <c r="J7" s="27"/>
      <c r="K7" s="27"/>
      <c r="L7" s="27"/>
    </row>
    <row r="8" spans="2:12" x14ac:dyDescent="0.25">
      <c r="B8" s="23" t="s">
        <v>56</v>
      </c>
      <c r="C8" s="3">
        <v>32561698</v>
      </c>
      <c r="D8" s="3">
        <f>E8-C8</f>
        <v>709270.39376590773</v>
      </c>
      <c r="E8" s="3">
        <v>33270968.393765908</v>
      </c>
      <c r="F8" s="3">
        <f>G8-E8</f>
        <v>3722647.6062340923</v>
      </c>
      <c r="G8" s="28">
        <v>36993616</v>
      </c>
      <c r="H8" s="28"/>
      <c r="I8" s="28"/>
      <c r="J8" s="27"/>
      <c r="K8" s="27"/>
      <c r="L8" s="27"/>
    </row>
    <row r="9" spans="2:12" x14ac:dyDescent="0.25">
      <c r="B9" s="23" t="s">
        <v>57</v>
      </c>
      <c r="C9" s="3">
        <v>7474014</v>
      </c>
      <c r="D9" s="3">
        <f t="shared" ref="D9:D13" si="0">E9-C9</f>
        <v>56498</v>
      </c>
      <c r="E9" s="3">
        <v>7530512</v>
      </c>
      <c r="F9" s="3">
        <f t="shared" ref="F9:F13" si="1">G9-E9</f>
        <v>925903.41999999993</v>
      </c>
      <c r="G9" s="28">
        <v>8456415.4199999999</v>
      </c>
      <c r="H9" s="28"/>
      <c r="I9" s="28"/>
      <c r="J9" s="27"/>
      <c r="K9" s="27"/>
      <c r="L9" s="27"/>
    </row>
    <row r="10" spans="2:12" x14ac:dyDescent="0.25">
      <c r="B10" s="23" t="s">
        <v>58</v>
      </c>
      <c r="C10" s="3">
        <v>4011525</v>
      </c>
      <c r="D10" s="3">
        <f t="shared" si="0"/>
        <v>1318</v>
      </c>
      <c r="E10" s="3">
        <v>4012843</v>
      </c>
      <c r="F10" s="3">
        <f t="shared" si="1"/>
        <v>512901</v>
      </c>
      <c r="G10" s="28">
        <v>4525744</v>
      </c>
      <c r="H10" s="28"/>
      <c r="I10" s="28"/>
      <c r="J10" s="27"/>
      <c r="K10" s="27"/>
      <c r="L10" s="27"/>
    </row>
    <row r="11" spans="2:12" x14ac:dyDescent="0.25">
      <c r="B11" s="23" t="s">
        <v>59</v>
      </c>
      <c r="C11" s="3">
        <v>2382790</v>
      </c>
      <c r="D11" s="3">
        <f t="shared" si="0"/>
        <v>-25738</v>
      </c>
      <c r="E11" s="3">
        <v>2357052</v>
      </c>
      <c r="F11" s="3">
        <f t="shared" si="1"/>
        <v>301362</v>
      </c>
      <c r="G11" s="28">
        <v>2658414</v>
      </c>
      <c r="H11" s="28"/>
      <c r="I11" s="28"/>
      <c r="J11" s="27"/>
      <c r="K11" s="27"/>
      <c r="L11" s="27"/>
    </row>
    <row r="12" spans="2:12" x14ac:dyDescent="0.25">
      <c r="B12" s="23" t="s">
        <v>60</v>
      </c>
      <c r="C12" s="3">
        <v>4862938</v>
      </c>
      <c r="D12" s="3">
        <f t="shared" si="0"/>
        <v>19733</v>
      </c>
      <c r="E12" s="3">
        <v>4882671</v>
      </c>
      <c r="F12" s="3">
        <f t="shared" si="1"/>
        <v>570378.44000000041</v>
      </c>
      <c r="G12" s="28">
        <v>5453049.4400000004</v>
      </c>
      <c r="H12" s="28"/>
      <c r="I12" s="28"/>
      <c r="J12" s="27"/>
      <c r="K12" s="27"/>
      <c r="L12" s="27"/>
    </row>
    <row r="13" spans="2:12" x14ac:dyDescent="0.25">
      <c r="B13" s="23" t="s">
        <v>61</v>
      </c>
      <c r="C13" s="24">
        <v>63224</v>
      </c>
      <c r="D13" s="24">
        <f t="shared" si="0"/>
        <v>0</v>
      </c>
      <c r="E13" s="24">
        <v>63224</v>
      </c>
      <c r="F13" s="24">
        <f t="shared" si="1"/>
        <v>3339</v>
      </c>
      <c r="G13" s="33">
        <v>66563</v>
      </c>
      <c r="H13" s="28"/>
      <c r="I13" s="28"/>
      <c r="J13" s="27"/>
      <c r="K13" s="27"/>
      <c r="L13" s="27"/>
    </row>
    <row r="14" spans="2:12" x14ac:dyDescent="0.25">
      <c r="B14" s="21"/>
      <c r="C14" s="3"/>
      <c r="D14" s="3"/>
      <c r="E14" s="3"/>
      <c r="F14" s="3"/>
      <c r="G14" s="3"/>
      <c r="H14" s="3"/>
      <c r="I14" s="3"/>
    </row>
    <row r="15" spans="2:12" x14ac:dyDescent="0.25">
      <c r="B15" s="18" t="s">
        <v>62</v>
      </c>
      <c r="C15" s="3">
        <f>SUM(C8:C14)</f>
        <v>51356189</v>
      </c>
      <c r="D15" s="3">
        <f t="shared" ref="D15:G15" si="2">SUM(D8:D14)</f>
        <v>761081.39376590773</v>
      </c>
      <c r="E15" s="3">
        <f t="shared" si="2"/>
        <v>52117270.393765911</v>
      </c>
      <c r="F15" s="3">
        <f t="shared" si="2"/>
        <v>6036531.4662340926</v>
      </c>
      <c r="G15" s="3">
        <f t="shared" si="2"/>
        <v>58153801.859999999</v>
      </c>
      <c r="H15" s="3"/>
      <c r="I15" s="3"/>
    </row>
    <row r="16" spans="2:12" x14ac:dyDescent="0.25">
      <c r="B16" s="21"/>
      <c r="C16" s="3"/>
      <c r="D16" s="3"/>
      <c r="E16" s="3"/>
      <c r="F16" s="3"/>
      <c r="G16" s="3"/>
      <c r="H16" s="3"/>
      <c r="I16" s="3"/>
    </row>
    <row r="17" spans="2:9" x14ac:dyDescent="0.25">
      <c r="B17" s="23" t="s">
        <v>63</v>
      </c>
      <c r="C17" s="3">
        <v>47162</v>
      </c>
      <c r="D17" s="3">
        <f t="shared" ref="D17:D18" si="3">E17-C17</f>
        <v>0</v>
      </c>
      <c r="E17" s="3">
        <v>47162</v>
      </c>
      <c r="F17" s="3">
        <f t="shared" ref="F17:F18" si="4">G17-E17</f>
        <v>0</v>
      </c>
      <c r="G17" s="3">
        <v>47162</v>
      </c>
      <c r="H17" s="3"/>
      <c r="I17" s="3"/>
    </row>
    <row r="18" spans="2:9" x14ac:dyDescent="0.25">
      <c r="B18" s="23" t="s">
        <v>64</v>
      </c>
      <c r="C18" s="24">
        <v>1554530</v>
      </c>
      <c r="D18" s="24">
        <f t="shared" si="3"/>
        <v>633</v>
      </c>
      <c r="E18" s="24">
        <v>1555163</v>
      </c>
      <c r="F18" s="24">
        <f t="shared" si="4"/>
        <v>180647</v>
      </c>
      <c r="G18" s="24">
        <v>1735810</v>
      </c>
      <c r="H18" s="3"/>
      <c r="I18" s="3"/>
    </row>
    <row r="19" spans="2:9" x14ac:dyDescent="0.25">
      <c r="B19" s="21"/>
      <c r="C19" s="3"/>
      <c r="D19" s="3"/>
      <c r="E19" s="3"/>
      <c r="F19" s="3"/>
      <c r="G19" s="3"/>
      <c r="H19" s="3"/>
      <c r="I19" s="3"/>
    </row>
    <row r="20" spans="2:9" x14ac:dyDescent="0.25">
      <c r="B20" s="18" t="s">
        <v>32</v>
      </c>
      <c r="C20" s="3">
        <f>SUM(C15:C19)</f>
        <v>52957881</v>
      </c>
      <c r="D20" s="3">
        <f t="shared" ref="D20:G20" si="5">SUM(D15:D19)</f>
        <v>761714.39376590773</v>
      </c>
      <c r="E20" s="3">
        <f t="shared" si="5"/>
        <v>53719595.393765911</v>
      </c>
      <c r="F20" s="3">
        <f t="shared" si="5"/>
        <v>6217178.4662340926</v>
      </c>
      <c r="G20" s="3">
        <f t="shared" si="5"/>
        <v>59936773.859999999</v>
      </c>
      <c r="H20" s="3"/>
      <c r="I20" s="3"/>
    </row>
    <row r="21" spans="2:9" x14ac:dyDescent="0.25">
      <c r="B21" s="21"/>
      <c r="C21" s="3"/>
      <c r="D21" s="3"/>
      <c r="E21" s="3"/>
      <c r="F21" s="3"/>
      <c r="G21" s="3"/>
      <c r="H21" s="3"/>
      <c r="I21" s="3"/>
    </row>
    <row r="22" spans="2:9" x14ac:dyDescent="0.25">
      <c r="B22" s="23" t="s">
        <v>72</v>
      </c>
      <c r="C22" s="3">
        <v>840036</v>
      </c>
      <c r="D22" s="3">
        <f t="shared" ref="D22:D24" si="6">E22-C22</f>
        <v>0</v>
      </c>
      <c r="E22" s="3">
        <v>840036</v>
      </c>
      <c r="F22" s="14">
        <f t="shared" ref="F22:F24" si="7">G22-E22</f>
        <v>0</v>
      </c>
      <c r="G22" s="3">
        <v>840036</v>
      </c>
      <c r="H22" s="3"/>
      <c r="I22" s="3"/>
    </row>
    <row r="23" spans="2:9" x14ac:dyDescent="0.25">
      <c r="B23" s="23" t="s">
        <v>65</v>
      </c>
      <c r="C23" s="3">
        <v>414392</v>
      </c>
      <c r="D23" s="3">
        <f t="shared" si="6"/>
        <v>0</v>
      </c>
      <c r="E23" s="3">
        <v>414392</v>
      </c>
      <c r="F23" s="14">
        <f t="shared" si="7"/>
        <v>0</v>
      </c>
      <c r="G23" s="3">
        <v>414392</v>
      </c>
      <c r="H23" s="3"/>
      <c r="I23" s="3"/>
    </row>
    <row r="24" spans="2:9" x14ac:dyDescent="0.25">
      <c r="B24" s="23" t="s">
        <v>66</v>
      </c>
      <c r="C24" s="24">
        <v>387875</v>
      </c>
      <c r="D24" s="24">
        <f t="shared" si="6"/>
        <v>0</v>
      </c>
      <c r="E24" s="24">
        <v>387875</v>
      </c>
      <c r="F24" s="24">
        <f t="shared" si="7"/>
        <v>0</v>
      </c>
      <c r="G24" s="24">
        <v>387875</v>
      </c>
      <c r="H24" s="3"/>
      <c r="I24" s="3"/>
    </row>
    <row r="25" spans="2:9" x14ac:dyDescent="0.25">
      <c r="B25" s="21"/>
      <c r="C25" s="3"/>
      <c r="D25" s="3"/>
      <c r="E25" s="3"/>
      <c r="F25" s="3"/>
      <c r="G25" s="3"/>
      <c r="H25" s="3"/>
      <c r="I25" s="3"/>
    </row>
    <row r="26" spans="2:9" x14ac:dyDescent="0.25">
      <c r="B26" s="18" t="s">
        <v>67</v>
      </c>
      <c r="C26" s="3">
        <f>SUM(C20:C24)</f>
        <v>54600184</v>
      </c>
      <c r="D26" s="3">
        <f t="shared" ref="D26:G26" si="8">SUM(D20:D24)</f>
        <v>761714.39376590773</v>
      </c>
      <c r="E26" s="3">
        <f t="shared" si="8"/>
        <v>55361898.393765911</v>
      </c>
      <c r="F26" s="3">
        <f t="shared" si="8"/>
        <v>6217178.4662340926</v>
      </c>
      <c r="G26" s="3">
        <f t="shared" si="8"/>
        <v>61579076.859999999</v>
      </c>
      <c r="H26" s="3"/>
      <c r="I26" s="3"/>
    </row>
    <row r="28" spans="2:9" x14ac:dyDescent="0.25">
      <c r="E28" s="4">
        <f>E20</f>
        <v>53719595.393765911</v>
      </c>
      <c r="G28" s="4">
        <f>G20</f>
        <v>59936773.859999999</v>
      </c>
    </row>
    <row r="29" spans="2:9" x14ac:dyDescent="0.25">
      <c r="E29" s="4">
        <f>-E17</f>
        <v>-47162</v>
      </c>
      <c r="G29" s="4">
        <f>-G17</f>
        <v>-47162</v>
      </c>
    </row>
    <row r="30" spans="2:9" x14ac:dyDescent="0.25">
      <c r="E30" s="8">
        <f>SUM(E28:E29)</f>
        <v>53672433.393765911</v>
      </c>
      <c r="G30" s="8">
        <f>SUM(G28:G29)</f>
        <v>59889611.859999999</v>
      </c>
      <c r="H30" t="s">
        <v>100</v>
      </c>
    </row>
  </sheetData>
  <mergeCells count="3">
    <mergeCell ref="B1:G1"/>
    <mergeCell ref="B2:G2"/>
    <mergeCell ref="B3:G3"/>
  </mergeCells>
  <pageMargins left="0.7" right="0.7" top="0.75" bottom="0.75" header="0.3" footer="0.3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view="pageBreakPreview" zoomScaleNormal="100" zoomScaleSheetLayoutView="100" workbookViewId="0">
      <selection activeCell="B17" sqref="B17"/>
    </sheetView>
  </sheetViews>
  <sheetFormatPr defaultRowHeight="15" x14ac:dyDescent="0.25"/>
  <cols>
    <col min="2" max="2" width="44.140625" bestFit="1" customWidth="1"/>
    <col min="3" max="3" width="12.5703125" bestFit="1" customWidth="1"/>
    <col min="4" max="4" width="14" customWidth="1"/>
    <col min="5" max="5" width="14.28515625" bestFit="1" customWidth="1"/>
  </cols>
  <sheetData>
    <row r="1" spans="2:7" x14ac:dyDescent="0.25">
      <c r="B1" s="45" t="s">
        <v>0</v>
      </c>
      <c r="C1" s="45"/>
      <c r="D1" s="45"/>
      <c r="E1" s="47"/>
      <c r="F1" s="47"/>
      <c r="G1" s="47"/>
    </row>
    <row r="2" spans="2:7" x14ac:dyDescent="0.25">
      <c r="B2" s="45" t="s">
        <v>80</v>
      </c>
      <c r="C2" s="45"/>
      <c r="D2" s="45"/>
      <c r="E2" s="47"/>
      <c r="F2" s="47"/>
      <c r="G2" s="47"/>
    </row>
    <row r="3" spans="2:7" x14ac:dyDescent="0.25">
      <c r="B3" s="46" t="s">
        <v>5</v>
      </c>
      <c r="C3" s="46"/>
      <c r="D3" s="46"/>
      <c r="E3" s="48"/>
      <c r="F3" s="48"/>
      <c r="G3" s="48"/>
    </row>
    <row r="4" spans="2:7" x14ac:dyDescent="0.25">
      <c r="B4" s="49"/>
      <c r="C4" s="49"/>
      <c r="D4" s="49"/>
      <c r="E4" s="48"/>
      <c r="F4" s="48"/>
      <c r="G4" s="48"/>
    </row>
    <row r="5" spans="2:7" x14ac:dyDescent="0.25">
      <c r="B5" s="27"/>
    </row>
    <row r="6" spans="2:7" x14ac:dyDescent="0.25">
      <c r="C6" s="30"/>
    </row>
    <row r="7" spans="2:7" x14ac:dyDescent="0.25">
      <c r="B7" t="s">
        <v>106</v>
      </c>
      <c r="C7" s="30"/>
    </row>
    <row r="8" spans="2:7" x14ac:dyDescent="0.25">
      <c r="C8" s="30"/>
    </row>
    <row r="9" spans="2:7" x14ac:dyDescent="0.25">
      <c r="B9" t="s">
        <v>79</v>
      </c>
      <c r="D9" s="3">
        <v>59889611</v>
      </c>
    </row>
    <row r="10" spans="2:7" x14ac:dyDescent="0.25">
      <c r="B10" t="s">
        <v>63</v>
      </c>
      <c r="D10" s="3">
        <v>47162</v>
      </c>
    </row>
    <row r="11" spans="2:7" x14ac:dyDescent="0.25">
      <c r="B11" t="s">
        <v>81</v>
      </c>
      <c r="D11" s="3">
        <v>-59936773</v>
      </c>
      <c r="E11" s="3"/>
    </row>
    <row r="12" spans="2:7" ht="15.75" thickBot="1" x14ac:dyDescent="0.3">
      <c r="B12" t="s">
        <v>82</v>
      </c>
      <c r="D12" s="31">
        <f>SUM(D9:D11)</f>
        <v>0</v>
      </c>
    </row>
    <row r="13" spans="2:7" ht="15.75" thickTop="1" x14ac:dyDescent="0.25">
      <c r="C13" s="3"/>
    </row>
    <row r="14" spans="2:7" x14ac:dyDescent="0.25">
      <c r="C14" s="3"/>
    </row>
    <row r="15" spans="2:7" x14ac:dyDescent="0.25">
      <c r="B15" t="s">
        <v>83</v>
      </c>
      <c r="D15" s="3">
        <v>3609594.65</v>
      </c>
    </row>
    <row r="16" spans="2:7" x14ac:dyDescent="0.25">
      <c r="B16" t="s">
        <v>84</v>
      </c>
      <c r="D16" s="3">
        <v>-840036</v>
      </c>
    </row>
    <row r="17" spans="2:4" x14ac:dyDescent="0.25">
      <c r="B17" t="s">
        <v>85</v>
      </c>
      <c r="D17" s="3">
        <v>-414392</v>
      </c>
    </row>
    <row r="18" spans="2:4" x14ac:dyDescent="0.25">
      <c r="B18" t="s">
        <v>86</v>
      </c>
      <c r="D18" s="3">
        <v>-387875</v>
      </c>
    </row>
    <row r="19" spans="2:4" x14ac:dyDescent="0.25">
      <c r="B19" t="s">
        <v>101</v>
      </c>
      <c r="D19" s="3">
        <v>-558093.65</v>
      </c>
    </row>
    <row r="20" spans="2:4" x14ac:dyDescent="0.25">
      <c r="B20" t="s">
        <v>104</v>
      </c>
      <c r="C20" s="3">
        <v>-1245942</v>
      </c>
      <c r="D20" s="4">
        <f>C20</f>
        <v>-1245942</v>
      </c>
    </row>
    <row r="21" spans="2:4" x14ac:dyDescent="0.25">
      <c r="B21" t="s">
        <v>105</v>
      </c>
      <c r="C21" s="3">
        <v>20471</v>
      </c>
    </row>
    <row r="22" spans="2:4" x14ac:dyDescent="0.25">
      <c r="B22" s="1" t="s">
        <v>103</v>
      </c>
      <c r="C22" s="32">
        <f>SUM(C20:C21)</f>
        <v>-1225471</v>
      </c>
    </row>
    <row r="23" spans="2:4" x14ac:dyDescent="0.25">
      <c r="B23" t="s">
        <v>102</v>
      </c>
      <c r="D23" s="3">
        <v>-163256</v>
      </c>
    </row>
    <row r="24" spans="2:4" ht="15.75" thickBot="1" x14ac:dyDescent="0.3">
      <c r="B24" t="s">
        <v>82</v>
      </c>
      <c r="D24" s="31">
        <f>SUM(D15:D23)</f>
        <v>0</v>
      </c>
    </row>
    <row r="25" spans="2:4" ht="15.75" thickTop="1" x14ac:dyDescent="0.25"/>
    <row r="29" spans="2:4" x14ac:dyDescent="0.25">
      <c r="B29" t="s">
        <v>95</v>
      </c>
      <c r="C29" s="3"/>
    </row>
    <row r="31" spans="2:4" x14ac:dyDescent="0.25">
      <c r="B31" t="s">
        <v>87</v>
      </c>
      <c r="D31" s="3">
        <v>26307371</v>
      </c>
    </row>
    <row r="32" spans="2:4" x14ac:dyDescent="0.25">
      <c r="B32" t="s">
        <v>92</v>
      </c>
      <c r="D32" s="3">
        <v>810001</v>
      </c>
    </row>
    <row r="33" spans="2:4" x14ac:dyDescent="0.25">
      <c r="B33" t="s">
        <v>89</v>
      </c>
      <c r="D33" s="3">
        <v>281961</v>
      </c>
    </row>
    <row r="34" spans="2:4" x14ac:dyDescent="0.25">
      <c r="B34" t="s">
        <v>93</v>
      </c>
      <c r="D34" s="3">
        <f>-(24991000+2408328)</f>
        <v>-27399328</v>
      </c>
    </row>
    <row r="35" spans="2:4" x14ac:dyDescent="0.25">
      <c r="B35" t="s">
        <v>94</v>
      </c>
      <c r="D35" s="3">
        <v>-5</v>
      </c>
    </row>
    <row r="36" spans="2:4" ht="15.75" thickBot="1" x14ac:dyDescent="0.3">
      <c r="B36" t="s">
        <v>82</v>
      </c>
      <c r="D36" s="29">
        <f>SUM(D31:D35)</f>
        <v>0</v>
      </c>
    </row>
    <row r="37" spans="2:4" ht="15.75" thickTop="1" x14ac:dyDescent="0.25"/>
    <row r="38" spans="2:4" x14ac:dyDescent="0.25">
      <c r="B38" t="s">
        <v>90</v>
      </c>
      <c r="D38" s="3">
        <v>11546013</v>
      </c>
    </row>
    <row r="39" spans="2:4" x14ac:dyDescent="0.25">
      <c r="B39" t="s">
        <v>88</v>
      </c>
      <c r="D39" s="3">
        <v>201120</v>
      </c>
    </row>
    <row r="40" spans="2:4" x14ac:dyDescent="0.25">
      <c r="B40" t="s">
        <v>91</v>
      </c>
      <c r="D40" s="3">
        <v>-11747133</v>
      </c>
    </row>
    <row r="41" spans="2:4" ht="15.75" thickBot="1" x14ac:dyDescent="0.3">
      <c r="B41" t="s">
        <v>82</v>
      </c>
      <c r="D41" s="29">
        <f>SUM(D38:D40)</f>
        <v>0</v>
      </c>
    </row>
    <row r="42" spans="2:4" ht="15.75" thickTop="1" x14ac:dyDescent="0.25"/>
    <row r="45" spans="2:4" x14ac:dyDescent="0.25">
      <c r="C45" s="3"/>
    </row>
    <row r="46" spans="2:4" x14ac:dyDescent="0.25">
      <c r="C46" s="3"/>
    </row>
  </sheetData>
  <mergeCells count="3">
    <mergeCell ref="B1:D1"/>
    <mergeCell ref="B2:D2"/>
    <mergeCell ref="B3:D3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JEs and Explanation</vt:lpstr>
      <vt:lpstr>revenue detail</vt:lpstr>
      <vt:lpstr>Proforma to COS Rec</vt:lpstr>
      <vt:lpstr>'JEs and Explanation'!Print_Area</vt:lpstr>
      <vt:lpstr>'revenue detail'!Print_Area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Rechtin</dc:creator>
  <cp:lastModifiedBy>Lindsey Rechtin</cp:lastModifiedBy>
  <cp:lastPrinted>2018-10-10T14:56:30Z</cp:lastPrinted>
  <dcterms:created xsi:type="dcterms:W3CDTF">2018-09-11T11:49:51Z</dcterms:created>
  <dcterms:modified xsi:type="dcterms:W3CDTF">2018-10-10T14:56:48Z</dcterms:modified>
</cp:coreProperties>
</file>