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05" yWindow="-105" windowWidth="27630" windowHeight="14415"/>
  </bookViews>
  <sheets>
    <sheet name="AG PH1-3 12-31-2018" sheetId="3" r:id="rId1"/>
  </sheets>
  <definedNames>
    <definedName name="_xlnm.Print_Area" localSheetId="0">'AG PH1-3 12-31-2018'!$A$1:$T$40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3" l="1"/>
  <c r="A8" i="3" s="1"/>
  <c r="A11" i="3" s="1"/>
  <c r="O20" i="3" l="1"/>
  <c r="O19" i="3"/>
  <c r="O18" i="3"/>
  <c r="O17" i="3"/>
  <c r="O16" i="3"/>
  <c r="O15" i="3"/>
  <c r="P14" i="3"/>
  <c r="O13" i="3"/>
  <c r="O12" i="3"/>
  <c r="P11" i="3"/>
  <c r="P21" i="3" s="1"/>
  <c r="O21" i="3" l="1"/>
  <c r="E20" i="3" l="1"/>
  <c r="F20" i="3"/>
  <c r="G20" i="3"/>
  <c r="I20" i="3"/>
  <c r="I19" i="3"/>
  <c r="E19" i="3"/>
  <c r="F19" i="3"/>
  <c r="G19" i="3"/>
  <c r="J36" i="3"/>
  <c r="L36" i="3" s="1"/>
  <c r="J35" i="3"/>
  <c r="L35" i="3" s="1"/>
  <c r="I34" i="3"/>
  <c r="E34" i="3"/>
  <c r="J34" i="3" s="1"/>
  <c r="L34" i="3" s="1"/>
  <c r="E33" i="3"/>
  <c r="E32" i="3"/>
  <c r="E31" i="3"/>
  <c r="J31" i="3" s="1"/>
  <c r="L31" i="3" s="1"/>
  <c r="J30" i="3"/>
  <c r="M30" i="3" s="1"/>
  <c r="E29" i="3"/>
  <c r="E28" i="3"/>
  <c r="J28" i="3" s="1"/>
  <c r="E27" i="3"/>
  <c r="I18" i="3"/>
  <c r="H18" i="3"/>
  <c r="H17" i="3"/>
  <c r="J17" i="3" s="1"/>
  <c r="M17" i="3" s="1"/>
  <c r="H16" i="3"/>
  <c r="J16" i="3" s="1"/>
  <c r="H15" i="3"/>
  <c r="J15" i="3" s="1"/>
  <c r="H14" i="3"/>
  <c r="H13" i="3"/>
  <c r="J13" i="3" s="1"/>
  <c r="G12" i="3"/>
  <c r="H12" i="3" s="1"/>
  <c r="H11" i="3"/>
  <c r="A12" i="3"/>
  <c r="A13" i="3" s="1"/>
  <c r="A14" i="3" s="1"/>
  <c r="A15" i="3" s="1"/>
  <c r="A16" i="3" s="1"/>
  <c r="A17" i="3" s="1"/>
  <c r="A18" i="3" s="1"/>
  <c r="A19" i="3" s="1"/>
  <c r="A20" i="3" s="1"/>
  <c r="A21" i="3" s="1"/>
  <c r="A23" i="3" s="1"/>
  <c r="A24" i="3" s="1"/>
  <c r="A27" i="3" s="1"/>
  <c r="A28" i="3" s="1"/>
  <c r="A29" i="3" s="1"/>
  <c r="A30" i="3" s="1"/>
  <c r="A31" i="3" s="1"/>
  <c r="A32" i="3" s="1"/>
  <c r="A33" i="3" s="1"/>
  <c r="A34" i="3" s="1"/>
  <c r="A35" i="3" s="1"/>
  <c r="A36" i="3" s="1"/>
  <c r="A37" i="3" s="1"/>
  <c r="A39" i="3" s="1"/>
  <c r="A40" i="3" s="1"/>
  <c r="H19" i="3" l="1"/>
  <c r="K30" i="3"/>
  <c r="M34" i="3"/>
  <c r="M36" i="3"/>
  <c r="J14" i="3"/>
  <c r="K14" i="3" s="1"/>
  <c r="L30" i="3"/>
  <c r="H20" i="3"/>
  <c r="J19" i="3"/>
  <c r="M19" i="3" s="1"/>
  <c r="M13" i="3"/>
  <c r="L13" i="3"/>
  <c r="K13" i="3"/>
  <c r="M28" i="3"/>
  <c r="L28" i="3"/>
  <c r="K28" i="3"/>
  <c r="K15" i="3"/>
  <c r="M15" i="3"/>
  <c r="M16" i="3"/>
  <c r="L16" i="3"/>
  <c r="K16" i="3"/>
  <c r="L19" i="3"/>
  <c r="J12" i="3"/>
  <c r="L12" i="3" s="1"/>
  <c r="M31" i="3"/>
  <c r="K17" i="3"/>
  <c r="J33" i="3"/>
  <c r="K33" i="3" s="1"/>
  <c r="L17" i="3"/>
  <c r="J29" i="3"/>
  <c r="K29" i="3" s="1"/>
  <c r="J32" i="3"/>
  <c r="K32" i="3" s="1"/>
  <c r="K36" i="3"/>
  <c r="L15" i="3"/>
  <c r="M35" i="3"/>
  <c r="J11" i="3"/>
  <c r="L11" i="3" s="1"/>
  <c r="K34" i="3"/>
  <c r="J18" i="3"/>
  <c r="L18" i="3" s="1"/>
  <c r="J27" i="3"/>
  <c r="K27" i="3" s="1"/>
  <c r="K31" i="3"/>
  <c r="K35" i="3"/>
  <c r="K19" i="3" l="1"/>
  <c r="M14" i="3"/>
  <c r="L14" i="3"/>
  <c r="J20" i="3"/>
  <c r="L20" i="3" s="1"/>
  <c r="K37" i="3"/>
  <c r="M11" i="3"/>
  <c r="K11" i="3"/>
  <c r="M27" i="3"/>
  <c r="L27" i="3"/>
  <c r="M29" i="3"/>
  <c r="L29" i="3"/>
  <c r="M32" i="3"/>
  <c r="L32" i="3"/>
  <c r="M33" i="3"/>
  <c r="L33" i="3"/>
  <c r="M12" i="3"/>
  <c r="K12" i="3"/>
  <c r="M18" i="3"/>
  <c r="K18" i="3"/>
  <c r="L21" i="3" l="1"/>
  <c r="K20" i="3"/>
  <c r="K21" i="3" s="1"/>
  <c r="M20" i="3"/>
  <c r="M21" i="3" s="1"/>
  <c r="L37" i="3"/>
  <c r="M37" i="3"/>
</calcChain>
</file>

<file path=xl/sharedStrings.xml><?xml version="1.0" encoding="utf-8"?>
<sst xmlns="http://schemas.openxmlformats.org/spreadsheetml/2006/main" count="146" uniqueCount="103">
  <si>
    <t>Atmos Energy</t>
  </si>
  <si>
    <t>Company</t>
  </si>
  <si>
    <t>Ticker</t>
  </si>
  <si>
    <t>Year Ending</t>
  </si>
  <si>
    <t>Short-Term Debt</t>
  </si>
  <si>
    <t>Long-Term Debt</t>
  </si>
  <si>
    <t>Common Equity</t>
  </si>
  <si>
    <t>Total Book Capital</t>
  </si>
  <si>
    <t>% Short-term Debt</t>
  </si>
  <si>
    <t>% Long-term Debt</t>
  </si>
  <si>
    <t>Book Value % Common Equity</t>
  </si>
  <si>
    <t>ATO</t>
  </si>
  <si>
    <t>Chesapeake Utilities</t>
  </si>
  <si>
    <t>CPK</t>
  </si>
  <si>
    <t>New Jersey Resources</t>
  </si>
  <si>
    <t>NJR</t>
  </si>
  <si>
    <t>NiSource Inc.</t>
  </si>
  <si>
    <t>NI</t>
  </si>
  <si>
    <t>NWN</t>
  </si>
  <si>
    <t>ONE Gas, Inc.</t>
  </si>
  <si>
    <t>OGS</t>
  </si>
  <si>
    <t>South Jersey Inds.</t>
  </si>
  <si>
    <t>SJI</t>
  </si>
  <si>
    <t>Southwest Gas</t>
  </si>
  <si>
    <t>SWX</t>
  </si>
  <si>
    <t>Spire Inc.</t>
  </si>
  <si>
    <t>SR</t>
  </si>
  <si>
    <t>UGI Corp.</t>
  </si>
  <si>
    <t>UGI</t>
  </si>
  <si>
    <t>Average</t>
  </si>
  <si>
    <t>Per Company Form 10-K, most recent year end, $000s</t>
  </si>
  <si>
    <t>Short-term debt includes short-term debt and current maturities of long-term debt.</t>
  </si>
  <si>
    <t>10-K, 38</t>
  </si>
  <si>
    <t>10-K, 51</t>
  </si>
  <si>
    <t>10-K, 54</t>
  </si>
  <si>
    <t>10-K, 70</t>
  </si>
  <si>
    <t>10-K, 25 (Ex 13.01)</t>
  </si>
  <si>
    <t>Filing Type, Page</t>
  </si>
  <si>
    <t>10-K, 69</t>
  </si>
  <si>
    <t>Current Maturities of Long-Term Debt</t>
  </si>
  <si>
    <t>(a)</t>
  </si>
  <si>
    <t>(b)</t>
  </si>
  <si>
    <t>( c)</t>
  </si>
  <si>
    <t>(d)</t>
  </si>
  <si>
    <t>( e)</t>
  </si>
  <si>
    <t>(f)</t>
  </si>
  <si>
    <t>(g)</t>
  </si>
  <si>
    <t>(h)</t>
  </si>
  <si>
    <t>(i)</t>
  </si>
  <si>
    <t>(j)</t>
  </si>
  <si>
    <t>(k)</t>
  </si>
  <si>
    <t>(l)</t>
  </si>
  <si>
    <t>(m)</t>
  </si>
  <si>
    <t>(n)</t>
  </si>
  <si>
    <t>(o)</t>
  </si>
  <si>
    <t>VTE, April 3 at 10:09:09—10:10:10. For the companies used in Dr. Vander Weide’s proxy group, and using the information readily available in each of those companies’ relevant SEC filings, provide the calculated debt to common equity ratios of each entity, including short-term debt.</t>
  </si>
  <si>
    <t>Utility Capitalization as Calculated for KY rate cases:</t>
  </si>
  <si>
    <t>(Inculsion of Current Portion of Long-Term Debt with Long-Term Debt, including STD in Capitalization)</t>
  </si>
  <si>
    <t>(Inculsion of Current Portion of Long-Term Debt with Short-Term Debt, including STD in Capitalization)</t>
  </si>
  <si>
    <t>Utility Capitalization as Calculated by Value Line:</t>
  </si>
  <si>
    <t>Debt / Equity Recent Ratemaking Capital Structure</t>
  </si>
  <si>
    <t>(p)</t>
  </si>
  <si>
    <t>VA</t>
  </si>
  <si>
    <t>Jurisdiction</t>
  </si>
  <si>
    <t>Current Maturities
+
Long-Term Debt</t>
  </si>
  <si>
    <t>(q)</t>
  </si>
  <si>
    <t>IN</t>
  </si>
  <si>
    <t>TX</t>
  </si>
  <si>
    <t>Post Hearing Data Request AG No. 01-03</t>
  </si>
  <si>
    <t>DL</t>
  </si>
  <si>
    <t>NJ</t>
  </si>
  <si>
    <t>OR</t>
  </si>
  <si>
    <t>MO</t>
  </si>
  <si>
    <t>PA</t>
  </si>
  <si>
    <t>NV</t>
  </si>
  <si>
    <t>10-Q, 5</t>
  </si>
  <si>
    <t>10-Q, 7</t>
  </si>
  <si>
    <t>10-Q, 3</t>
  </si>
  <si>
    <t>Moody's Rating</t>
  </si>
  <si>
    <t>Docket No.</t>
  </si>
  <si>
    <t>D-15-1734</t>
  </si>
  <si>
    <t>D-GR-15111304</t>
  </si>
  <si>
    <t>Ca-44403-TDSIC-9</t>
  </si>
  <si>
    <t>D-18-KGSG-560-RTS</t>
  </si>
  <si>
    <t>D-UG-344</t>
  </si>
  <si>
    <t>D-GR-17010071</t>
  </si>
  <si>
    <t>D-18-05031 (Southern)</t>
  </si>
  <si>
    <t>C-GR-2017-0216</t>
  </si>
  <si>
    <t>D-R-2016-2580030</t>
  </si>
  <si>
    <t>A2</t>
  </si>
  <si>
    <t>Aa3</t>
  </si>
  <si>
    <t>Baa2</t>
  </si>
  <si>
    <t>Baa1</t>
  </si>
  <si>
    <t>WR</t>
  </si>
  <si>
    <t>B3</t>
  </si>
  <si>
    <t>S&amp;P Global Rating</t>
  </si>
  <si>
    <t>-</t>
  </si>
  <si>
    <t>BBB</t>
  </si>
  <si>
    <t>A</t>
  </si>
  <si>
    <t>BBB+</t>
  </si>
  <si>
    <t>A-</t>
  </si>
  <si>
    <t>PUE-2018-00014</t>
  </si>
  <si>
    <t>Northwest Nat. Holdings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</si>
</sst>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3" x14ac:knownFonts="1">
    <font>
      <sz val="8"/>
      <color theme="1"/>
      <name val="Calibri"/>
      <family val="2"/>
      <scheme val="minor"/>
    </font>
    <font>
      <sz val="11"/>
      <color theme="1"/>
      <name val="Calibri"/>
      <family val="2"/>
      <scheme val="minor"/>
    </font>
    <font>
      <sz val="11"/>
      <color theme="1"/>
      <name val="Calibri"/>
      <family val="2"/>
      <scheme val="minor"/>
    </font>
    <font>
      <sz val="8"/>
      <color theme="1"/>
      <name val="Calibri"/>
      <family val="2"/>
      <scheme val="minor"/>
    </font>
    <font>
      <sz val="11"/>
      <color theme="1"/>
      <name val="Calibri"/>
      <family val="2"/>
      <scheme val="minor"/>
    </font>
    <font>
      <sz val="10"/>
      <name val="Arial"/>
      <family val="2"/>
    </font>
    <font>
      <sz val="10"/>
      <color theme="1"/>
      <name val="Calibri"/>
      <family val="2"/>
      <scheme val="minor"/>
    </font>
    <font>
      <sz val="10"/>
      <color theme="1"/>
      <name val="Arial"/>
      <family val="2"/>
    </font>
    <font>
      <sz val="11"/>
      <name val="Calibri"/>
      <family val="2"/>
      <scheme val="minor"/>
    </font>
    <font>
      <sz val="11"/>
      <name val="Calibri"/>
      <family val="2"/>
    </font>
    <font>
      <sz val="11"/>
      <color rgb="FF000000"/>
      <name val="Calibri"/>
      <family val="2"/>
    </font>
    <font>
      <b/>
      <sz val="11"/>
      <color theme="1"/>
      <name val="Calibri"/>
      <family val="2"/>
      <scheme val="minor"/>
    </font>
    <font>
      <sz val="11"/>
      <color rgb="FF00B0F0"/>
      <name val="Calibri"/>
      <family val="2"/>
      <scheme val="minor"/>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diagonal/>
    </border>
  </borders>
  <cellStyleXfs count="9">
    <xf numFmtId="0" fontId="0" fillId="0" borderId="0"/>
    <xf numFmtId="9" fontId="3" fillId="0" borderId="0" applyFont="0" applyFill="0" applyBorder="0" applyAlignment="0" applyProtection="0"/>
    <xf numFmtId="0" fontId="4" fillId="0" borderId="0"/>
    <xf numFmtId="43" fontId="5" fillId="0" borderId="0" applyFont="0" applyFill="0" applyBorder="0" applyAlignment="0" applyProtection="0"/>
    <xf numFmtId="0" fontId="5" fillId="0" borderId="0"/>
    <xf numFmtId="43" fontId="6" fillId="0" borderId="0" applyFont="0" applyFill="0" applyBorder="0" applyAlignment="0" applyProtection="0"/>
    <xf numFmtId="0" fontId="5" fillId="0" borderId="0"/>
    <xf numFmtId="0" fontId="7" fillId="0" borderId="0"/>
    <xf numFmtId="43" fontId="3" fillId="0" borderId="0" applyFont="0" applyFill="0" applyBorder="0" applyAlignment="0" applyProtection="0"/>
  </cellStyleXfs>
  <cellXfs count="45">
    <xf numFmtId="0" fontId="0" fillId="0" borderId="0" xfId="0"/>
    <xf numFmtId="0" fontId="4" fillId="0" borderId="0" xfId="0" applyFont="1"/>
    <xf numFmtId="0" fontId="8" fillId="0" borderId="0" xfId="2" applyFont="1" applyFill="1"/>
    <xf numFmtId="164" fontId="8" fillId="0" borderId="0" xfId="3" applyNumberFormat="1" applyFont="1" applyAlignment="1">
      <alignment horizontal="center" wrapText="1"/>
    </xf>
    <xf numFmtId="164" fontId="8" fillId="0" borderId="0" xfId="0" applyNumberFormat="1" applyFont="1"/>
    <xf numFmtId="0" fontId="8" fillId="0" borderId="0" xfId="2" applyFont="1"/>
    <xf numFmtId="9" fontId="8" fillId="0" borderId="0" xfId="1" applyNumberFormat="1" applyFont="1"/>
    <xf numFmtId="0" fontId="10" fillId="0" borderId="0" xfId="7" applyFont="1"/>
    <xf numFmtId="16" fontId="8" fillId="0" borderId="0" xfId="1" applyNumberFormat="1" applyFont="1" applyAlignment="1">
      <alignment horizontal="center"/>
    </xf>
    <xf numFmtId="0" fontId="4" fillId="0" borderId="0" xfId="0" applyFont="1" applyAlignment="1">
      <alignment horizontal="center"/>
    </xf>
    <xf numFmtId="3" fontId="8" fillId="0" borderId="0" xfId="6" applyNumberFormat="1" applyFont="1" applyAlignment="1">
      <alignment horizontal="center"/>
    </xf>
    <xf numFmtId="0" fontId="2" fillId="0" borderId="0" xfId="0" applyFont="1"/>
    <xf numFmtId="3" fontId="8" fillId="0" borderId="0" xfId="6" applyNumberFormat="1" applyFont="1" applyFill="1" applyAlignment="1">
      <alignment horizontal="center"/>
    </xf>
    <xf numFmtId="0" fontId="0" fillId="0" borderId="0" xfId="0" applyFill="1"/>
    <xf numFmtId="16" fontId="8" fillId="0" borderId="0" xfId="1" applyNumberFormat="1" applyFont="1" applyFill="1" applyAlignment="1">
      <alignment horizontal="center"/>
    </xf>
    <xf numFmtId="0" fontId="11" fillId="0" borderId="0" xfId="0" applyFont="1"/>
    <xf numFmtId="3" fontId="0" fillId="0" borderId="0" xfId="0" applyNumberFormat="1"/>
    <xf numFmtId="38" fontId="8" fillId="0" borderId="0" xfId="6" applyNumberFormat="1" applyFont="1"/>
    <xf numFmtId="38" fontId="4" fillId="0" borderId="0" xfId="8" applyNumberFormat="1" applyFont="1"/>
    <xf numFmtId="38" fontId="8" fillId="0" borderId="0" xfId="6" applyNumberFormat="1" applyFont="1" applyFill="1"/>
    <xf numFmtId="38" fontId="0" fillId="0" borderId="0" xfId="0" applyNumberFormat="1"/>
    <xf numFmtId="38" fontId="4" fillId="0" borderId="0" xfId="0" applyNumberFormat="1" applyFont="1"/>
    <xf numFmtId="0" fontId="8" fillId="0" borderId="1" xfId="4" applyFont="1" applyBorder="1" applyAlignment="1">
      <alignment horizontal="center"/>
    </xf>
    <xf numFmtId="0" fontId="9" fillId="0" borderId="1" xfId="4" applyFont="1" applyBorder="1" applyAlignment="1">
      <alignment horizontal="center" wrapText="1"/>
    </xf>
    <xf numFmtId="0" fontId="8" fillId="0" borderId="0" xfId="4" quotePrefix="1" applyFont="1" applyBorder="1" applyAlignment="1">
      <alignment horizontal="center"/>
    </xf>
    <xf numFmtId="0" fontId="9" fillId="0" borderId="0" xfId="4" quotePrefix="1" applyFont="1" applyBorder="1" applyAlignment="1">
      <alignment horizontal="center" wrapText="1"/>
    </xf>
    <xf numFmtId="0" fontId="9" fillId="0" borderId="0" xfId="4" applyFont="1" applyFill="1" applyBorder="1" applyAlignment="1">
      <alignment horizontal="center" wrapText="1"/>
    </xf>
    <xf numFmtId="0" fontId="9" fillId="0" borderId="0" xfId="4" quotePrefix="1" applyFont="1" applyFill="1" applyBorder="1" applyAlignment="1">
      <alignment horizontal="center" wrapText="1"/>
    </xf>
    <xf numFmtId="0" fontId="1" fillId="0" borderId="0" xfId="0" applyFont="1"/>
    <xf numFmtId="3" fontId="4" fillId="0" borderId="0" xfId="2" applyNumberFormat="1" applyFont="1" applyAlignment="1">
      <alignment horizontal="center"/>
    </xf>
    <xf numFmtId="0" fontId="8" fillId="0" borderId="0" xfId="2" applyFont="1" applyAlignment="1">
      <alignment horizontal="center"/>
    </xf>
    <xf numFmtId="165" fontId="8" fillId="0" borderId="0" xfId="1" applyNumberFormat="1" applyFont="1"/>
    <xf numFmtId="165" fontId="8" fillId="0" borderId="2" xfId="1" applyNumberFormat="1" applyFont="1" applyBorder="1"/>
    <xf numFmtId="165" fontId="12" fillId="0" borderId="0" xfId="1" applyNumberFormat="1" applyFont="1"/>
    <xf numFmtId="165" fontId="8" fillId="0" borderId="0" xfId="1" applyNumberFormat="1" applyFont="1" applyAlignment="1">
      <alignment horizontal="center"/>
    </xf>
    <xf numFmtId="165" fontId="8" fillId="0" borderId="0" xfId="1" applyNumberFormat="1" applyFont="1" applyFill="1"/>
    <xf numFmtId="165" fontId="8" fillId="0" borderId="0" xfId="1" applyNumberFormat="1" applyFont="1" applyFill="1" applyAlignment="1">
      <alignment horizontal="center"/>
    </xf>
    <xf numFmtId="165" fontId="8" fillId="0" borderId="0" xfId="1" applyNumberFormat="1" applyFont="1" applyBorder="1"/>
    <xf numFmtId="38" fontId="4" fillId="0" borderId="0" xfId="8" applyNumberFormat="1" applyFont="1" applyFill="1"/>
    <xf numFmtId="165" fontId="12" fillId="0" borderId="0" xfId="1" applyNumberFormat="1" applyFont="1" applyFill="1"/>
    <xf numFmtId="165" fontId="0" fillId="0" borderId="0" xfId="0" applyNumberFormat="1" applyBorder="1"/>
    <xf numFmtId="165" fontId="8" fillId="0" borderId="0" xfId="1" quotePrefix="1" applyNumberFormat="1" applyFont="1" applyFill="1" applyAlignment="1">
      <alignment horizontal="center"/>
    </xf>
    <xf numFmtId="0" fontId="4" fillId="0" borderId="0" xfId="0" applyFont="1" applyAlignment="1">
      <alignment horizontal="left" vertical="top" wrapText="1"/>
    </xf>
    <xf numFmtId="0" fontId="1" fillId="0" borderId="0" xfId="0" applyFont="1" applyFill="1" applyAlignment="1">
      <alignment horizontal="center"/>
    </xf>
    <xf numFmtId="0" fontId="9" fillId="0" borderId="1" xfId="4" applyFont="1" applyFill="1" applyBorder="1" applyAlignment="1">
      <alignment horizontal="center" wrapText="1"/>
    </xf>
  </cellXfs>
  <cellStyles count="9">
    <cellStyle name="Comma" xfId="8" builtinId="3"/>
    <cellStyle name="Comma 5" xfId="5"/>
    <cellStyle name="Comma_IBES Studies Aug 2009 rev 9_24_09" xfId="3"/>
    <cellStyle name="Normal" xfId="0" builtinId="0"/>
    <cellStyle name="Normal 10 2" xfId="6"/>
    <cellStyle name="Normal 2 2 2 2" xfId="4"/>
    <cellStyle name="Normal 4 2 2" xfId="2"/>
    <cellStyle name="Normal 4 2 2 2" xfId="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tabSelected="1" workbookViewId="0">
      <pane xSplit="2" ySplit="10" topLeftCell="C11" activePane="bottomRight" state="frozen"/>
      <selection pane="topRight" activeCell="C1" sqref="C1"/>
      <selection pane="bottomLeft" activeCell="A12" sqref="A12"/>
      <selection pane="bottomRight" activeCell="J12" sqref="J12"/>
    </sheetView>
  </sheetViews>
  <sheetFormatPr defaultRowHeight="11.25" x14ac:dyDescent="0.2"/>
  <cols>
    <col min="1" max="1" width="6.6640625" customWidth="1"/>
    <col min="2" max="2" width="30.83203125" customWidth="1"/>
    <col min="3" max="3" width="19.83203125" bestFit="1" customWidth="1"/>
    <col min="4" max="4" width="19.83203125" customWidth="1"/>
    <col min="5" max="5" width="14.6640625" customWidth="1"/>
    <col min="6" max="6" width="18" customWidth="1"/>
    <col min="7" max="7" width="18" bestFit="1" customWidth="1"/>
    <col min="8" max="12" width="14.6640625" customWidth="1"/>
    <col min="13" max="13" width="12.83203125" bestFit="1" customWidth="1"/>
    <col min="15" max="15" width="13.6640625" customWidth="1"/>
    <col min="17" max="17" width="12.83203125" customWidth="1"/>
    <col min="18" max="18" width="24.6640625" bestFit="1" customWidth="1"/>
    <col min="19" max="21" width="12.83203125" customWidth="1"/>
  </cols>
  <sheetData>
    <row r="1" spans="1:24" ht="15" x14ac:dyDescent="0.25">
      <c r="A1" s="15" t="s">
        <v>68</v>
      </c>
      <c r="B1" s="1"/>
      <c r="C1" s="1"/>
      <c r="D1" s="1"/>
      <c r="E1" s="1"/>
      <c r="F1" s="1"/>
      <c r="G1" s="1"/>
      <c r="H1" s="1"/>
      <c r="I1" s="1"/>
      <c r="J1" s="1"/>
      <c r="K1" s="1"/>
      <c r="L1" s="1"/>
      <c r="M1" s="1"/>
      <c r="N1" s="1"/>
    </row>
    <row r="2" spans="1:24" ht="15" customHeight="1" x14ac:dyDescent="0.25">
      <c r="A2" s="1"/>
      <c r="B2" s="42" t="s">
        <v>55</v>
      </c>
      <c r="C2" s="42"/>
      <c r="D2" s="42"/>
      <c r="E2" s="42"/>
      <c r="F2" s="42"/>
      <c r="G2" s="42"/>
      <c r="H2" s="42"/>
      <c r="I2" s="1"/>
      <c r="J2" s="1"/>
      <c r="K2" s="1"/>
      <c r="L2" s="1"/>
      <c r="M2" s="1"/>
      <c r="N2" s="1"/>
    </row>
    <row r="3" spans="1:24" ht="11.25" customHeight="1" x14ac:dyDescent="0.25">
      <c r="B3" s="42"/>
      <c r="C3" s="42"/>
      <c r="D3" s="42"/>
      <c r="E3" s="42"/>
      <c r="F3" s="42"/>
      <c r="G3" s="42"/>
      <c r="H3" s="42"/>
      <c r="J3" s="43"/>
      <c r="K3" s="43"/>
      <c r="L3" s="43"/>
    </row>
    <row r="4" spans="1:24" ht="11.25" customHeight="1" x14ac:dyDescent="0.2">
      <c r="B4" s="42"/>
      <c r="C4" s="42"/>
      <c r="D4" s="42"/>
      <c r="E4" s="42"/>
      <c r="F4" s="42"/>
      <c r="G4" s="42"/>
      <c r="H4" s="42"/>
      <c r="J4" s="13"/>
      <c r="K4" s="13"/>
      <c r="L4" s="13"/>
    </row>
    <row r="5" spans="1:24" x14ac:dyDescent="0.2">
      <c r="B5" s="42"/>
      <c r="C5" s="42"/>
      <c r="D5" s="42"/>
      <c r="E5" s="42"/>
      <c r="F5" s="42"/>
      <c r="G5" s="42"/>
      <c r="H5" s="42"/>
    </row>
    <row r="6" spans="1:24" x14ac:dyDescent="0.2">
      <c r="B6" s="42"/>
      <c r="C6" s="42"/>
      <c r="D6" s="42"/>
      <c r="E6" s="42"/>
      <c r="F6" s="42"/>
      <c r="G6" s="42"/>
      <c r="H6" s="42"/>
    </row>
    <row r="7" spans="1:24" ht="15" x14ac:dyDescent="0.25">
      <c r="A7" s="4">
        <f>A5+1</f>
        <v>1</v>
      </c>
      <c r="B7" s="15" t="s">
        <v>56</v>
      </c>
      <c r="C7" s="1"/>
      <c r="D7" s="1"/>
      <c r="E7" s="9"/>
      <c r="F7" s="1"/>
      <c r="G7" s="1"/>
      <c r="H7" s="1"/>
      <c r="I7" s="1"/>
      <c r="J7" s="1"/>
      <c r="K7" s="1"/>
      <c r="L7" s="1"/>
      <c r="M7" s="1"/>
      <c r="N7" s="1"/>
    </row>
    <row r="8" spans="1:24" ht="15" x14ac:dyDescent="0.25">
      <c r="A8" s="4">
        <f t="shared" ref="A8" si="0">A7+1</f>
        <v>2</v>
      </c>
      <c r="B8" s="28" t="s">
        <v>57</v>
      </c>
      <c r="C8" s="1"/>
      <c r="D8" s="1"/>
      <c r="E8" s="9"/>
      <c r="F8" s="1"/>
      <c r="G8" s="1"/>
      <c r="H8" s="1"/>
      <c r="I8" s="1"/>
      <c r="J8" s="1"/>
      <c r="K8" s="1"/>
      <c r="L8" s="1"/>
      <c r="M8" s="1"/>
      <c r="N8" s="1"/>
    </row>
    <row r="9" spans="1:24" ht="75" x14ac:dyDescent="0.25">
      <c r="A9" s="1"/>
      <c r="B9" s="22" t="s">
        <v>1</v>
      </c>
      <c r="C9" s="23" t="s">
        <v>37</v>
      </c>
      <c r="D9" s="23" t="s">
        <v>3</v>
      </c>
      <c r="E9" s="23" t="s">
        <v>4</v>
      </c>
      <c r="F9" s="23" t="s">
        <v>39</v>
      </c>
      <c r="G9" s="23" t="s">
        <v>5</v>
      </c>
      <c r="H9" s="23" t="s">
        <v>64</v>
      </c>
      <c r="I9" s="23" t="s">
        <v>6</v>
      </c>
      <c r="J9" s="23" t="s">
        <v>7</v>
      </c>
      <c r="K9" s="23" t="s">
        <v>8</v>
      </c>
      <c r="L9" s="23" t="s">
        <v>9</v>
      </c>
      <c r="M9" s="23" t="s">
        <v>10</v>
      </c>
      <c r="O9" s="44" t="s">
        <v>60</v>
      </c>
      <c r="P9" s="44"/>
      <c r="Q9" s="23" t="s">
        <v>63</v>
      </c>
      <c r="R9" s="23" t="s">
        <v>79</v>
      </c>
      <c r="S9" s="23" t="s">
        <v>95</v>
      </c>
      <c r="T9" s="23" t="s">
        <v>78</v>
      </c>
      <c r="U9" s="26"/>
    </row>
    <row r="10" spans="1:24" ht="15" x14ac:dyDescent="0.25">
      <c r="A10" s="1"/>
      <c r="B10" s="24" t="s">
        <v>40</v>
      </c>
      <c r="C10" s="25" t="s">
        <v>41</v>
      </c>
      <c r="D10" s="25" t="s">
        <v>42</v>
      </c>
      <c r="E10" s="25" t="s">
        <v>43</v>
      </c>
      <c r="F10" s="25" t="s">
        <v>44</v>
      </c>
      <c r="G10" s="25" t="s">
        <v>45</v>
      </c>
      <c r="H10" s="25" t="s">
        <v>46</v>
      </c>
      <c r="I10" s="25" t="s">
        <v>47</v>
      </c>
      <c r="J10" s="25" t="s">
        <v>48</v>
      </c>
      <c r="K10" s="25" t="s">
        <v>49</v>
      </c>
      <c r="L10" s="25" t="s">
        <v>50</v>
      </c>
      <c r="M10" s="25" t="s">
        <v>51</v>
      </c>
      <c r="O10" s="27" t="s">
        <v>52</v>
      </c>
      <c r="P10" s="27" t="s">
        <v>53</v>
      </c>
      <c r="Q10" s="27" t="s">
        <v>54</v>
      </c>
      <c r="R10" s="27" t="s">
        <v>61</v>
      </c>
      <c r="S10" s="27"/>
      <c r="T10" s="27" t="s">
        <v>65</v>
      </c>
      <c r="U10" s="27"/>
    </row>
    <row r="11" spans="1:24" ht="15" x14ac:dyDescent="0.25">
      <c r="A11" s="4">
        <f>A8+1</f>
        <v>3</v>
      </c>
      <c r="B11" s="5" t="s">
        <v>0</v>
      </c>
      <c r="C11" s="10" t="s">
        <v>77</v>
      </c>
      <c r="D11" s="14">
        <v>43830</v>
      </c>
      <c r="E11" s="19">
        <v>0</v>
      </c>
      <c r="F11" s="19">
        <v>575000</v>
      </c>
      <c r="G11" s="19">
        <v>3084779</v>
      </c>
      <c r="H11" s="19">
        <f>+F11+G11</f>
        <v>3659779</v>
      </c>
      <c r="I11" s="19">
        <v>5348195</v>
      </c>
      <c r="J11" s="17">
        <f t="shared" ref="J11:J20" si="1">+E11+H11+I11</f>
        <v>9007974</v>
      </c>
      <c r="K11" s="31">
        <f>+E11/J11</f>
        <v>0</v>
      </c>
      <c r="L11" s="31">
        <f>+H11/J11</f>
        <v>0.40628214513052546</v>
      </c>
      <c r="M11" s="33">
        <f>+I11/J11</f>
        <v>0.59371785486947448</v>
      </c>
      <c r="N11" s="40"/>
      <c r="O11" s="31">
        <v>0.42</v>
      </c>
      <c r="P11" s="33">
        <f>1-O11</f>
        <v>0.58000000000000007</v>
      </c>
      <c r="Q11" s="34" t="s">
        <v>62</v>
      </c>
      <c r="R11" s="36" t="s">
        <v>101</v>
      </c>
      <c r="S11" s="36" t="s">
        <v>98</v>
      </c>
      <c r="T11" s="36" t="s">
        <v>89</v>
      </c>
      <c r="V11" s="6"/>
    </row>
    <row r="12" spans="1:24" ht="15" x14ac:dyDescent="0.25">
      <c r="A12" s="4">
        <f t="shared" ref="A12:A21" si="2">A11+1</f>
        <v>4</v>
      </c>
      <c r="B12" s="5" t="s">
        <v>12</v>
      </c>
      <c r="C12" s="10" t="s">
        <v>32</v>
      </c>
      <c r="D12" s="14">
        <v>43830</v>
      </c>
      <c r="E12" s="38">
        <v>294458</v>
      </c>
      <c r="F12" s="38">
        <v>11935</v>
      </c>
      <c r="G12" s="38">
        <f>316020</f>
        <v>316020</v>
      </c>
      <c r="H12" s="38">
        <f t="shared" ref="H12:H20" si="3">+F12+G12</f>
        <v>327955</v>
      </c>
      <c r="I12" s="38">
        <v>518439</v>
      </c>
      <c r="J12" s="18">
        <f t="shared" si="1"/>
        <v>1140852</v>
      </c>
      <c r="K12" s="31">
        <f t="shared" ref="K12:K20" si="4">+E12/J12</f>
        <v>0.25810359275348599</v>
      </c>
      <c r="L12" s="31">
        <f t="shared" ref="L12:L20" si="5">+H12/J12</f>
        <v>0.28746498231146544</v>
      </c>
      <c r="M12" s="31">
        <f t="shared" ref="M12:M20" si="6">+I12/J12</f>
        <v>0.45443142493504857</v>
      </c>
      <c r="N12" s="40"/>
      <c r="O12" s="35">
        <f>1-P12</f>
        <v>0.39610000000000001</v>
      </c>
      <c r="P12" s="39">
        <v>0.60389999999999999</v>
      </c>
      <c r="Q12" s="36" t="s">
        <v>69</v>
      </c>
      <c r="R12" s="36" t="s">
        <v>80</v>
      </c>
      <c r="S12" s="41" t="s">
        <v>96</v>
      </c>
      <c r="T12" s="36" t="s">
        <v>94</v>
      </c>
      <c r="V12" s="6"/>
    </row>
    <row r="13" spans="1:24" ht="15" x14ac:dyDescent="0.25">
      <c r="A13" s="4">
        <f t="shared" si="2"/>
        <v>5</v>
      </c>
      <c r="B13" s="5" t="s">
        <v>14</v>
      </c>
      <c r="C13" s="10" t="s">
        <v>76</v>
      </c>
      <c r="D13" s="14">
        <v>43830</v>
      </c>
      <c r="E13" s="19">
        <v>371700</v>
      </c>
      <c r="F13" s="19">
        <v>124806</v>
      </c>
      <c r="G13" s="19">
        <v>1184801</v>
      </c>
      <c r="H13" s="19">
        <f t="shared" si="3"/>
        <v>1309607</v>
      </c>
      <c r="I13" s="19">
        <v>1497050</v>
      </c>
      <c r="J13" s="17">
        <f t="shared" si="1"/>
        <v>3178357</v>
      </c>
      <c r="K13" s="31">
        <f t="shared" si="4"/>
        <v>0.11694721518067354</v>
      </c>
      <c r="L13" s="31">
        <f t="shared" si="5"/>
        <v>0.41203898743910766</v>
      </c>
      <c r="M13" s="31">
        <f t="shared" si="6"/>
        <v>0.47101379738021876</v>
      </c>
      <c r="N13" s="40"/>
      <c r="O13" s="35">
        <f>1-P13</f>
        <v>0.46340000000000003</v>
      </c>
      <c r="P13" s="35">
        <v>0.53659999999999997</v>
      </c>
      <c r="Q13" s="36" t="s">
        <v>70</v>
      </c>
      <c r="R13" s="36" t="s">
        <v>81</v>
      </c>
      <c r="S13" s="36" t="s">
        <v>99</v>
      </c>
      <c r="T13" s="36" t="s">
        <v>90</v>
      </c>
      <c r="V13" s="6"/>
    </row>
    <row r="14" spans="1:24" ht="15" x14ac:dyDescent="0.25">
      <c r="A14" s="4">
        <f t="shared" si="2"/>
        <v>6</v>
      </c>
      <c r="B14" s="5" t="s">
        <v>16</v>
      </c>
      <c r="C14" s="10" t="s">
        <v>33</v>
      </c>
      <c r="D14" s="8">
        <v>43830</v>
      </c>
      <c r="E14" s="19">
        <v>1977200</v>
      </c>
      <c r="F14" s="19">
        <v>50000</v>
      </c>
      <c r="G14" s="19">
        <v>7105400</v>
      </c>
      <c r="H14" s="19">
        <f t="shared" si="3"/>
        <v>7155400</v>
      </c>
      <c r="I14" s="19">
        <v>5750900</v>
      </c>
      <c r="J14" s="19">
        <f t="shared" si="1"/>
        <v>14883500</v>
      </c>
      <c r="K14" s="31">
        <f t="shared" si="4"/>
        <v>0.13284509691940741</v>
      </c>
      <c r="L14" s="31">
        <f t="shared" si="5"/>
        <v>0.48076057378976716</v>
      </c>
      <c r="M14" s="31">
        <f t="shared" si="6"/>
        <v>0.3863943292908254</v>
      </c>
      <c r="N14" s="40"/>
      <c r="O14" s="35">
        <v>0.44</v>
      </c>
      <c r="P14" s="39">
        <f>1-O14</f>
        <v>0.56000000000000005</v>
      </c>
      <c r="Q14" s="36" t="s">
        <v>66</v>
      </c>
      <c r="R14" s="36" t="s">
        <v>82</v>
      </c>
      <c r="S14" s="36" t="s">
        <v>99</v>
      </c>
      <c r="T14" s="36" t="s">
        <v>91</v>
      </c>
      <c r="V14" s="6"/>
    </row>
    <row r="15" spans="1:24" ht="15" x14ac:dyDescent="0.25">
      <c r="A15" s="4">
        <f t="shared" si="2"/>
        <v>7</v>
      </c>
      <c r="B15" s="2" t="s">
        <v>102</v>
      </c>
      <c r="C15" s="12" t="s">
        <v>38</v>
      </c>
      <c r="D15" s="8">
        <v>43830</v>
      </c>
      <c r="E15" s="19">
        <v>217620</v>
      </c>
      <c r="F15" s="19">
        <v>29989</v>
      </c>
      <c r="G15" s="19">
        <v>706247</v>
      </c>
      <c r="H15" s="19">
        <f t="shared" si="3"/>
        <v>736236</v>
      </c>
      <c r="I15" s="19">
        <v>762634</v>
      </c>
      <c r="J15" s="19">
        <f t="shared" si="1"/>
        <v>1716490</v>
      </c>
      <c r="K15" s="31">
        <f t="shared" si="4"/>
        <v>0.12678197950468689</v>
      </c>
      <c r="L15" s="31">
        <f t="shared" si="5"/>
        <v>0.42891948103397048</v>
      </c>
      <c r="M15" s="31">
        <f t="shared" si="6"/>
        <v>0.44429853946134262</v>
      </c>
      <c r="N15" s="40"/>
      <c r="O15" s="35">
        <f t="shared" ref="O15:O20" si="7">1-P15</f>
        <v>0.5</v>
      </c>
      <c r="P15" s="35">
        <v>0.5</v>
      </c>
      <c r="Q15" s="36" t="s">
        <v>71</v>
      </c>
      <c r="R15" s="36" t="s">
        <v>84</v>
      </c>
      <c r="S15" s="41" t="s">
        <v>96</v>
      </c>
      <c r="T15" s="41" t="s">
        <v>96</v>
      </c>
      <c r="V15" s="6"/>
      <c r="W15" s="13"/>
      <c r="X15" s="13"/>
    </row>
    <row r="16" spans="1:24" ht="15" x14ac:dyDescent="0.25">
      <c r="A16" s="4">
        <f t="shared" si="2"/>
        <v>8</v>
      </c>
      <c r="B16" s="2" t="s">
        <v>19</v>
      </c>
      <c r="C16" s="12" t="s">
        <v>34</v>
      </c>
      <c r="D16" s="8">
        <v>43830</v>
      </c>
      <c r="E16" s="19">
        <v>299500</v>
      </c>
      <c r="F16" s="19">
        <v>11457</v>
      </c>
      <c r="G16" s="19">
        <v>1285483</v>
      </c>
      <c r="H16" s="19">
        <f t="shared" si="3"/>
        <v>1296940</v>
      </c>
      <c r="I16" s="19">
        <v>2042656</v>
      </c>
      <c r="J16" s="19">
        <f t="shared" si="1"/>
        <v>3639096</v>
      </c>
      <c r="K16" s="31">
        <f t="shared" si="4"/>
        <v>8.2300659284613539E-2</v>
      </c>
      <c r="L16" s="31">
        <f t="shared" si="5"/>
        <v>0.3563907080219923</v>
      </c>
      <c r="M16" s="33">
        <f>+I16/J16</f>
        <v>0.56130863269339415</v>
      </c>
      <c r="N16" s="40"/>
      <c r="O16" s="35">
        <f t="shared" si="7"/>
        <v>0.38900000000000001</v>
      </c>
      <c r="P16" s="39">
        <v>0.61099999999999999</v>
      </c>
      <c r="Q16" s="36" t="s">
        <v>67</v>
      </c>
      <c r="R16" s="36" t="s">
        <v>83</v>
      </c>
      <c r="S16" s="36" t="s">
        <v>98</v>
      </c>
      <c r="T16" s="36" t="s">
        <v>89</v>
      </c>
      <c r="V16" s="6"/>
    </row>
    <row r="17" spans="1:22" ht="15" x14ac:dyDescent="0.25">
      <c r="A17" s="4">
        <f t="shared" si="2"/>
        <v>9</v>
      </c>
      <c r="B17" s="5" t="s">
        <v>21</v>
      </c>
      <c r="C17" s="12" t="s">
        <v>35</v>
      </c>
      <c r="D17" s="8">
        <v>43830</v>
      </c>
      <c r="E17" s="19">
        <v>270500</v>
      </c>
      <c r="F17" s="19">
        <v>733909</v>
      </c>
      <c r="G17" s="19">
        <v>2106863</v>
      </c>
      <c r="H17" s="19">
        <f t="shared" si="3"/>
        <v>2840772</v>
      </c>
      <c r="I17" s="19">
        <v>1267022</v>
      </c>
      <c r="J17" s="19">
        <f t="shared" si="1"/>
        <v>4378294</v>
      </c>
      <c r="K17" s="31">
        <f t="shared" si="4"/>
        <v>6.1782054836883954E-2</v>
      </c>
      <c r="L17" s="31">
        <f t="shared" si="5"/>
        <v>0.64883080030715157</v>
      </c>
      <c r="M17" s="31">
        <f t="shared" si="6"/>
        <v>0.28938714485596445</v>
      </c>
      <c r="N17" s="40"/>
      <c r="O17" s="35">
        <f t="shared" si="7"/>
        <v>0.45760000000000001</v>
      </c>
      <c r="P17" s="35">
        <v>0.54239999999999999</v>
      </c>
      <c r="Q17" s="36" t="s">
        <v>70</v>
      </c>
      <c r="R17" s="36" t="s">
        <v>85</v>
      </c>
      <c r="S17" s="36" t="s">
        <v>97</v>
      </c>
      <c r="T17" s="41" t="s">
        <v>96</v>
      </c>
      <c r="V17" s="6"/>
    </row>
    <row r="18" spans="1:22" ht="15" x14ac:dyDescent="0.25">
      <c r="A18" s="4">
        <f t="shared" si="2"/>
        <v>10</v>
      </c>
      <c r="B18" s="2" t="s">
        <v>23</v>
      </c>
      <c r="C18" s="12" t="s">
        <v>36</v>
      </c>
      <c r="D18" s="14">
        <v>43830</v>
      </c>
      <c r="E18" s="19">
        <v>152000</v>
      </c>
      <c r="F18" s="19">
        <v>33060</v>
      </c>
      <c r="G18" s="19">
        <v>2107258</v>
      </c>
      <c r="H18" s="19">
        <f t="shared" si="3"/>
        <v>2140318</v>
      </c>
      <c r="I18" s="19">
        <f>81831+2251590</f>
        <v>2333421</v>
      </c>
      <c r="J18" s="19">
        <f t="shared" si="1"/>
        <v>4625739</v>
      </c>
      <c r="K18" s="31">
        <f t="shared" si="4"/>
        <v>3.285961443133735E-2</v>
      </c>
      <c r="L18" s="31">
        <f t="shared" si="5"/>
        <v>0.46269752789770457</v>
      </c>
      <c r="M18" s="31">
        <f t="shared" si="6"/>
        <v>0.50444285767095809</v>
      </c>
      <c r="N18" s="40"/>
      <c r="O18" s="35">
        <f t="shared" si="7"/>
        <v>0.50340000000000007</v>
      </c>
      <c r="P18" s="35">
        <v>0.49659999999999999</v>
      </c>
      <c r="Q18" s="36" t="s">
        <v>74</v>
      </c>
      <c r="R18" s="36" t="s">
        <v>86</v>
      </c>
      <c r="S18" s="36" t="s">
        <v>99</v>
      </c>
      <c r="T18" s="36" t="s">
        <v>92</v>
      </c>
      <c r="V18" s="6"/>
    </row>
    <row r="19" spans="1:22" ht="15" x14ac:dyDescent="0.25">
      <c r="A19" s="4">
        <f t="shared" si="2"/>
        <v>11</v>
      </c>
      <c r="B19" s="2" t="s">
        <v>25</v>
      </c>
      <c r="C19" s="12" t="s">
        <v>76</v>
      </c>
      <c r="D19" s="14">
        <v>43830</v>
      </c>
      <c r="E19" s="19">
        <f>626.1*1000</f>
        <v>626100</v>
      </c>
      <c r="F19" s="19">
        <f>175*1000</f>
        <v>175000</v>
      </c>
      <c r="G19" s="19">
        <f>1992*1000</f>
        <v>1992000</v>
      </c>
      <c r="H19" s="19">
        <f>+F19+G19</f>
        <v>2167000</v>
      </c>
      <c r="I19" s="19">
        <f>2284.6*1000</f>
        <v>2284600</v>
      </c>
      <c r="J19" s="19">
        <f t="shared" si="1"/>
        <v>5077700</v>
      </c>
      <c r="K19" s="31">
        <f t="shared" si="4"/>
        <v>0.12330385804596569</v>
      </c>
      <c r="L19" s="31">
        <f t="shared" si="5"/>
        <v>0.42676802489316029</v>
      </c>
      <c r="M19" s="31">
        <f t="shared" si="6"/>
        <v>0.44992811706087404</v>
      </c>
      <c r="N19" s="40"/>
      <c r="O19" s="35">
        <f t="shared" si="7"/>
        <v>0.45799999999999996</v>
      </c>
      <c r="P19" s="35">
        <v>0.54200000000000004</v>
      </c>
      <c r="Q19" s="36" t="s">
        <v>72</v>
      </c>
      <c r="R19" s="36" t="s">
        <v>87</v>
      </c>
      <c r="S19" s="36" t="s">
        <v>100</v>
      </c>
      <c r="T19" s="36" t="s">
        <v>91</v>
      </c>
      <c r="V19" s="6"/>
    </row>
    <row r="20" spans="1:22" ht="15" x14ac:dyDescent="0.25">
      <c r="A20" s="4">
        <f t="shared" si="2"/>
        <v>12</v>
      </c>
      <c r="B20" s="5" t="s">
        <v>27</v>
      </c>
      <c r="C20" s="10" t="s">
        <v>75</v>
      </c>
      <c r="D20" s="14">
        <v>43830</v>
      </c>
      <c r="E20" s="19">
        <f>676.3*1000</f>
        <v>676300</v>
      </c>
      <c r="F20" s="19">
        <f>19.5*1000</f>
        <v>19500</v>
      </c>
      <c r="G20" s="19">
        <f>4150.7*1000</f>
        <v>4150700</v>
      </c>
      <c r="H20" s="19">
        <f t="shared" si="3"/>
        <v>4170200</v>
      </c>
      <c r="I20" s="19">
        <f>4046.6*1000</f>
        <v>4046600</v>
      </c>
      <c r="J20" s="19">
        <f t="shared" si="1"/>
        <v>8893100</v>
      </c>
      <c r="K20" s="31">
        <f t="shared" si="4"/>
        <v>7.6047722391517025E-2</v>
      </c>
      <c r="L20" s="31">
        <f t="shared" si="5"/>
        <v>0.46892534661704016</v>
      </c>
      <c r="M20" s="31">
        <f t="shared" si="6"/>
        <v>0.45502693099144281</v>
      </c>
      <c r="N20" s="40"/>
      <c r="O20" s="35">
        <f t="shared" si="7"/>
        <v>0.44179999999999997</v>
      </c>
      <c r="P20" s="35">
        <v>0.55820000000000003</v>
      </c>
      <c r="Q20" s="36" t="s">
        <v>73</v>
      </c>
      <c r="R20" s="36" t="s">
        <v>88</v>
      </c>
      <c r="S20" s="41" t="s">
        <v>96</v>
      </c>
      <c r="T20" s="36" t="s">
        <v>93</v>
      </c>
      <c r="V20" s="6"/>
    </row>
    <row r="21" spans="1:22" ht="15" x14ac:dyDescent="0.25">
      <c r="A21" s="4">
        <f t="shared" si="2"/>
        <v>13</v>
      </c>
      <c r="B21" s="7" t="s">
        <v>29</v>
      </c>
      <c r="E21" s="21"/>
      <c r="F21" s="21"/>
      <c r="G21" s="21"/>
      <c r="H21" s="21"/>
      <c r="I21" s="21"/>
      <c r="J21" s="21"/>
      <c r="K21" s="32">
        <f t="shared" ref="K21:L21" si="8">AVERAGE(K11:K20)</f>
        <v>0.10109717933485714</v>
      </c>
      <c r="L21" s="32">
        <f t="shared" si="8"/>
        <v>0.4379078577441885</v>
      </c>
      <c r="M21" s="32">
        <f>AVERAGE(M11:M20)</f>
        <v>0.46099496292095432</v>
      </c>
      <c r="N21" s="37"/>
      <c r="O21" s="32">
        <f t="shared" ref="O21:P21" si="9">AVERAGE(O11:O20)</f>
        <v>0.44693000000000005</v>
      </c>
      <c r="P21" s="32">
        <f t="shared" si="9"/>
        <v>0.55306999999999995</v>
      </c>
      <c r="V21" s="6"/>
    </row>
    <row r="22" spans="1:22" ht="15" x14ac:dyDescent="0.25">
      <c r="F22" s="20"/>
      <c r="H22" s="16"/>
      <c r="K22" s="6"/>
      <c r="L22" s="6"/>
      <c r="M22" s="6"/>
    </row>
    <row r="23" spans="1:22" ht="15" x14ac:dyDescent="0.25">
      <c r="A23" s="4">
        <f>A21+1</f>
        <v>14</v>
      </c>
      <c r="B23" s="15" t="s">
        <v>59</v>
      </c>
      <c r="C23" s="11"/>
      <c r="D23" s="11"/>
      <c r="E23" s="11"/>
    </row>
    <row r="24" spans="1:22" ht="15" x14ac:dyDescent="0.25">
      <c r="A24" s="4">
        <f t="shared" ref="A24" si="10">A23+1</f>
        <v>15</v>
      </c>
      <c r="B24" s="28" t="s">
        <v>58</v>
      </c>
      <c r="C24" s="1"/>
      <c r="D24" s="1"/>
      <c r="E24" s="1"/>
      <c r="F24" s="1"/>
      <c r="G24" s="1"/>
      <c r="H24" s="1"/>
      <c r="I24" s="1"/>
      <c r="J24" s="1"/>
      <c r="K24" s="1"/>
      <c r="L24" s="1"/>
      <c r="M24" s="1"/>
      <c r="N24" s="1"/>
    </row>
    <row r="25" spans="1:22" ht="45" x14ac:dyDescent="0.25">
      <c r="A25" s="3"/>
      <c r="B25" s="22" t="s">
        <v>1</v>
      </c>
      <c r="C25" s="23" t="s">
        <v>2</v>
      </c>
      <c r="D25" s="23" t="s">
        <v>3</v>
      </c>
      <c r="E25" s="23" t="s">
        <v>4</v>
      </c>
      <c r="F25" s="23"/>
      <c r="G25" s="23" t="s">
        <v>5</v>
      </c>
      <c r="H25" s="23"/>
      <c r="I25" s="23" t="s">
        <v>6</v>
      </c>
      <c r="J25" s="23" t="s">
        <v>7</v>
      </c>
      <c r="K25" s="23" t="s">
        <v>8</v>
      </c>
      <c r="L25" s="23" t="s">
        <v>9</v>
      </c>
      <c r="M25" s="23" t="s">
        <v>10</v>
      </c>
      <c r="N25" s="1"/>
    </row>
    <row r="26" spans="1:22" ht="15" x14ac:dyDescent="0.25">
      <c r="A26" s="3"/>
      <c r="B26" s="24" t="s">
        <v>40</v>
      </c>
      <c r="C26" s="25" t="s">
        <v>41</v>
      </c>
      <c r="D26" s="25" t="s">
        <v>42</v>
      </c>
      <c r="E26" s="25" t="s">
        <v>43</v>
      </c>
      <c r="F26" s="25" t="s">
        <v>44</v>
      </c>
      <c r="G26" s="25" t="s">
        <v>45</v>
      </c>
      <c r="H26" s="25" t="s">
        <v>46</v>
      </c>
      <c r="I26" s="25" t="s">
        <v>47</v>
      </c>
      <c r="J26" s="25" t="s">
        <v>48</v>
      </c>
      <c r="K26" s="25" t="s">
        <v>49</v>
      </c>
      <c r="L26" s="25" t="s">
        <v>50</v>
      </c>
      <c r="M26" s="25" t="s">
        <v>51</v>
      </c>
      <c r="N26" s="1"/>
    </row>
    <row r="27" spans="1:22" ht="15" x14ac:dyDescent="0.25">
      <c r="A27" s="4">
        <f>A24+1</f>
        <v>16</v>
      </c>
      <c r="B27" s="5" t="s">
        <v>0</v>
      </c>
      <c r="C27" s="29" t="s">
        <v>11</v>
      </c>
      <c r="D27" s="8">
        <v>43738</v>
      </c>
      <c r="E27" s="17">
        <f>SUM(575780+575000)</f>
        <v>1150780</v>
      </c>
      <c r="F27" s="17"/>
      <c r="G27" s="17">
        <v>2493665</v>
      </c>
      <c r="H27" s="17"/>
      <c r="I27" s="17">
        <v>4769951</v>
      </c>
      <c r="J27" s="17">
        <f t="shared" ref="J27:J36" si="11">SUM(E27:I27)</f>
        <v>8414396</v>
      </c>
      <c r="K27" s="31">
        <f t="shared" ref="K27:K36" si="12">E27/$J27</f>
        <v>0.13676323291653969</v>
      </c>
      <c r="L27" s="31">
        <f t="shared" ref="L27:L36" si="13">G27/$J27</f>
        <v>0.29635698153497886</v>
      </c>
      <c r="M27" s="33">
        <f t="shared" ref="M27:M36" si="14">I27/$J27</f>
        <v>0.5668797855484814</v>
      </c>
      <c r="N27" s="1"/>
    </row>
    <row r="28" spans="1:22" ht="15" x14ac:dyDescent="0.25">
      <c r="A28" s="4">
        <f t="shared" ref="A28:A37" si="15">A27+1</f>
        <v>17</v>
      </c>
      <c r="B28" s="5" t="s">
        <v>12</v>
      </c>
      <c r="C28" s="29" t="s">
        <v>13</v>
      </c>
      <c r="D28" s="8">
        <v>43830</v>
      </c>
      <c r="E28" s="18">
        <f>SUM(11935+294458)</f>
        <v>306393</v>
      </c>
      <c r="F28" s="17"/>
      <c r="G28" s="18">
        <v>316020</v>
      </c>
      <c r="H28" s="18"/>
      <c r="I28" s="18">
        <v>518439</v>
      </c>
      <c r="J28" s="18">
        <f t="shared" si="11"/>
        <v>1140852</v>
      </c>
      <c r="K28" s="31">
        <f t="shared" si="12"/>
        <v>0.26856507241956012</v>
      </c>
      <c r="L28" s="31">
        <f t="shared" si="13"/>
        <v>0.27700350264539136</v>
      </c>
      <c r="M28" s="31">
        <f t="shared" si="14"/>
        <v>0.45443142493504857</v>
      </c>
      <c r="N28" s="1"/>
    </row>
    <row r="29" spans="1:22" ht="15" x14ac:dyDescent="0.25">
      <c r="A29" s="4">
        <f t="shared" si="15"/>
        <v>18</v>
      </c>
      <c r="B29" s="5" t="s">
        <v>14</v>
      </c>
      <c r="C29" s="30" t="s">
        <v>15</v>
      </c>
      <c r="D29" s="8">
        <v>43738</v>
      </c>
      <c r="E29" s="17">
        <f>SUM(123545+151950)</f>
        <v>275495</v>
      </c>
      <c r="F29" s="17"/>
      <c r="G29" s="17">
        <v>1180619</v>
      </c>
      <c r="H29" s="17"/>
      <c r="I29" s="17">
        <v>1418978</v>
      </c>
      <c r="J29" s="17">
        <f t="shared" si="11"/>
        <v>2875092</v>
      </c>
      <c r="K29" s="31">
        <f t="shared" si="12"/>
        <v>9.5821281545077519E-2</v>
      </c>
      <c r="L29" s="31">
        <f t="shared" si="13"/>
        <v>0.41063694657423139</v>
      </c>
      <c r="M29" s="31">
        <f t="shared" si="14"/>
        <v>0.49354177188069115</v>
      </c>
      <c r="N29" s="1"/>
    </row>
    <row r="30" spans="1:22" ht="15" x14ac:dyDescent="0.25">
      <c r="A30" s="4">
        <f t="shared" si="15"/>
        <v>19</v>
      </c>
      <c r="B30" s="5" t="s">
        <v>16</v>
      </c>
      <c r="C30" s="30" t="s">
        <v>17</v>
      </c>
      <c r="D30" s="8">
        <v>43830</v>
      </c>
      <c r="E30" s="19">
        <v>2027200</v>
      </c>
      <c r="F30" s="17"/>
      <c r="G30" s="19">
        <v>7105400</v>
      </c>
      <c r="H30" s="19"/>
      <c r="I30" s="19">
        <v>5750900</v>
      </c>
      <c r="J30" s="19">
        <f t="shared" si="11"/>
        <v>14883500</v>
      </c>
      <c r="K30" s="31">
        <f t="shared" si="12"/>
        <v>0.13620452178587025</v>
      </c>
      <c r="L30" s="31">
        <f t="shared" si="13"/>
        <v>0.47740114892330432</v>
      </c>
      <c r="M30" s="31">
        <f t="shared" si="14"/>
        <v>0.3863943292908254</v>
      </c>
      <c r="N30" s="1"/>
    </row>
    <row r="31" spans="1:22" ht="15" x14ac:dyDescent="0.25">
      <c r="A31" s="4">
        <f t="shared" si="15"/>
        <v>20</v>
      </c>
      <c r="B31" s="2" t="s">
        <v>102</v>
      </c>
      <c r="C31" s="30" t="s">
        <v>18</v>
      </c>
      <c r="D31" s="8">
        <v>43830</v>
      </c>
      <c r="E31" s="19">
        <f>SUM(217620+29989)</f>
        <v>247609</v>
      </c>
      <c r="F31" s="17"/>
      <c r="G31" s="19">
        <v>706247</v>
      </c>
      <c r="H31" s="19"/>
      <c r="I31" s="19">
        <v>762634</v>
      </c>
      <c r="J31" s="19">
        <f t="shared" si="11"/>
        <v>1716490</v>
      </c>
      <c r="K31" s="31">
        <f t="shared" si="12"/>
        <v>0.14425309789162769</v>
      </c>
      <c r="L31" s="31">
        <f t="shared" si="13"/>
        <v>0.41144836264702972</v>
      </c>
      <c r="M31" s="31">
        <f t="shared" si="14"/>
        <v>0.44429853946134262</v>
      </c>
      <c r="N31" s="1"/>
    </row>
    <row r="32" spans="1:22" ht="15" x14ac:dyDescent="0.25">
      <c r="A32" s="4">
        <f t="shared" si="15"/>
        <v>21</v>
      </c>
      <c r="B32" s="5" t="s">
        <v>19</v>
      </c>
      <c r="C32" s="30" t="s">
        <v>20</v>
      </c>
      <c r="D32" s="8">
        <v>43830</v>
      </c>
      <c r="E32" s="19">
        <f>SUM(299500+11457)</f>
        <v>310957</v>
      </c>
      <c r="F32" s="17"/>
      <c r="G32" s="19">
        <v>1285483</v>
      </c>
      <c r="H32" s="19"/>
      <c r="I32" s="19">
        <v>2042656</v>
      </c>
      <c r="J32" s="19">
        <f t="shared" si="11"/>
        <v>3639096</v>
      </c>
      <c r="K32" s="31">
        <f t="shared" si="12"/>
        <v>8.5448968644960183E-2</v>
      </c>
      <c r="L32" s="31">
        <f t="shared" si="13"/>
        <v>0.35324239866164564</v>
      </c>
      <c r="M32" s="33">
        <f t="shared" si="14"/>
        <v>0.56130863269339415</v>
      </c>
      <c r="N32" s="1"/>
    </row>
    <row r="33" spans="1:14" ht="15" x14ac:dyDescent="0.25">
      <c r="A33" s="4">
        <f t="shared" si="15"/>
        <v>22</v>
      </c>
      <c r="B33" s="5" t="s">
        <v>21</v>
      </c>
      <c r="C33" s="30" t="s">
        <v>22</v>
      </c>
      <c r="D33" s="8">
        <v>43830</v>
      </c>
      <c r="E33" s="19">
        <f>SUM(270500+733909)</f>
        <v>1004409</v>
      </c>
      <c r="F33" s="17"/>
      <c r="G33" s="19">
        <v>2106863</v>
      </c>
      <c r="H33" s="19"/>
      <c r="I33" s="19">
        <v>1267022</v>
      </c>
      <c r="J33" s="19">
        <f t="shared" si="11"/>
        <v>4378294</v>
      </c>
      <c r="K33" s="31">
        <f t="shared" si="12"/>
        <v>0.22940647658654262</v>
      </c>
      <c r="L33" s="31">
        <f t="shared" si="13"/>
        <v>0.48120637855749293</v>
      </c>
      <c r="M33" s="31">
        <f t="shared" si="14"/>
        <v>0.28938714485596445</v>
      </c>
      <c r="N33" s="1"/>
    </row>
    <row r="34" spans="1:14" ht="15" x14ac:dyDescent="0.25">
      <c r="A34" s="4">
        <f t="shared" si="15"/>
        <v>23</v>
      </c>
      <c r="B34" s="5" t="s">
        <v>23</v>
      </c>
      <c r="C34" s="30" t="s">
        <v>24</v>
      </c>
      <c r="D34" s="8">
        <v>43830</v>
      </c>
      <c r="E34" s="19">
        <f>SUM(33060+152000)</f>
        <v>185060</v>
      </c>
      <c r="F34" s="17"/>
      <c r="G34" s="19">
        <v>2107258</v>
      </c>
      <c r="H34" s="19"/>
      <c r="I34" s="19">
        <f>SUM(2251590+81831)</f>
        <v>2333421</v>
      </c>
      <c r="J34" s="19">
        <f t="shared" si="11"/>
        <v>4625739</v>
      </c>
      <c r="K34" s="31">
        <f t="shared" si="12"/>
        <v>4.0006580570153223E-2</v>
      </c>
      <c r="L34" s="31">
        <f t="shared" si="13"/>
        <v>0.45555056175888869</v>
      </c>
      <c r="M34" s="31">
        <f t="shared" si="14"/>
        <v>0.50444285767095809</v>
      </c>
      <c r="N34" s="1"/>
    </row>
    <row r="35" spans="1:14" ht="15" x14ac:dyDescent="0.25">
      <c r="A35" s="4">
        <f t="shared" si="15"/>
        <v>24</v>
      </c>
      <c r="B35" s="5" t="s">
        <v>25</v>
      </c>
      <c r="C35" s="30" t="s">
        <v>26</v>
      </c>
      <c r="D35" s="8">
        <v>43738</v>
      </c>
      <c r="E35" s="19">
        <v>729100</v>
      </c>
      <c r="F35" s="17"/>
      <c r="G35" s="19">
        <v>1900100</v>
      </c>
      <c r="H35" s="19"/>
      <c r="I35" s="19">
        <v>2263300</v>
      </c>
      <c r="J35" s="19">
        <f t="shared" si="11"/>
        <v>4892500</v>
      </c>
      <c r="K35" s="31">
        <f t="shared" si="12"/>
        <v>0.14902401635155851</v>
      </c>
      <c r="L35" s="31">
        <f t="shared" si="13"/>
        <v>0.38836995401124169</v>
      </c>
      <c r="M35" s="31">
        <f t="shared" si="14"/>
        <v>0.46260602963719982</v>
      </c>
      <c r="N35" s="1"/>
    </row>
    <row r="36" spans="1:14" ht="15" x14ac:dyDescent="0.25">
      <c r="A36" s="4">
        <f t="shared" si="15"/>
        <v>25</v>
      </c>
      <c r="B36" s="5" t="s">
        <v>27</v>
      </c>
      <c r="C36" s="30" t="s">
        <v>28</v>
      </c>
      <c r="D36" s="8">
        <v>43738</v>
      </c>
      <c r="E36" s="19">
        <v>443700</v>
      </c>
      <c r="F36" s="17"/>
      <c r="G36" s="19">
        <v>4146500</v>
      </c>
      <c r="H36" s="19"/>
      <c r="I36" s="19">
        <v>4100000</v>
      </c>
      <c r="J36" s="19">
        <f t="shared" si="11"/>
        <v>8690200</v>
      </c>
      <c r="K36" s="31">
        <f t="shared" si="12"/>
        <v>5.105751306068905E-2</v>
      </c>
      <c r="L36" s="31">
        <f t="shared" si="13"/>
        <v>0.47714667096269359</v>
      </c>
      <c r="M36" s="31">
        <f t="shared" si="14"/>
        <v>0.47179581597661735</v>
      </c>
      <c r="N36" s="1"/>
    </row>
    <row r="37" spans="1:14" ht="15" x14ac:dyDescent="0.25">
      <c r="A37" s="4">
        <f t="shared" si="15"/>
        <v>26</v>
      </c>
      <c r="B37" s="7" t="s">
        <v>29</v>
      </c>
      <c r="C37" s="5"/>
      <c r="D37" s="9"/>
      <c r="E37" s="21"/>
      <c r="F37" s="21"/>
      <c r="G37" s="21"/>
      <c r="H37" s="21"/>
      <c r="I37" s="21"/>
      <c r="J37" s="21"/>
      <c r="K37" s="32">
        <f t="shared" ref="K37:L37" si="16">AVERAGE(K27:K36)</f>
        <v>0.13365507617725789</v>
      </c>
      <c r="L37" s="32">
        <f t="shared" si="16"/>
        <v>0.40283629062768983</v>
      </c>
      <c r="M37" s="32">
        <f>AVERAGE(M27:M36)</f>
        <v>0.46350863319505226</v>
      </c>
      <c r="N37" s="1"/>
    </row>
    <row r="38" spans="1:14" ht="15" x14ac:dyDescent="0.25">
      <c r="A38" s="1"/>
      <c r="B38" s="1"/>
      <c r="C38" s="1"/>
      <c r="D38" s="1"/>
      <c r="E38" s="9"/>
      <c r="F38" s="1"/>
      <c r="G38" s="21"/>
      <c r="H38" s="1"/>
      <c r="I38" s="1"/>
      <c r="J38" s="1"/>
      <c r="K38" s="1"/>
      <c r="L38" s="1"/>
      <c r="M38" s="1"/>
      <c r="N38" s="1"/>
    </row>
    <row r="39" spans="1:14" ht="15" x14ac:dyDescent="0.25">
      <c r="A39" s="4">
        <f>A37+1</f>
        <v>27</v>
      </c>
      <c r="B39" s="2" t="s">
        <v>30</v>
      </c>
      <c r="C39" s="1"/>
      <c r="D39" s="1"/>
      <c r="E39" s="9"/>
      <c r="F39" s="1"/>
      <c r="G39" s="1"/>
      <c r="H39" s="1"/>
      <c r="I39" s="1"/>
      <c r="J39" s="1"/>
      <c r="K39" s="1"/>
      <c r="L39" s="1"/>
      <c r="M39" s="1"/>
      <c r="N39" s="1"/>
    </row>
    <row r="40" spans="1:14" ht="15" x14ac:dyDescent="0.25">
      <c r="A40" s="4">
        <f t="shared" ref="A40" si="17">A39+1</f>
        <v>28</v>
      </c>
      <c r="B40" s="1" t="s">
        <v>31</v>
      </c>
      <c r="C40" s="1"/>
      <c r="D40" s="1"/>
      <c r="E40" s="9"/>
      <c r="F40" s="1"/>
      <c r="G40" s="1"/>
      <c r="H40" s="1"/>
      <c r="I40" s="1"/>
      <c r="J40" s="1"/>
      <c r="K40" s="1"/>
      <c r="L40" s="1"/>
      <c r="M40" s="1"/>
      <c r="N40" s="1"/>
    </row>
  </sheetData>
  <mergeCells count="3">
    <mergeCell ref="B2:H6"/>
    <mergeCell ref="J3:L3"/>
    <mergeCell ref="O9:P9"/>
  </mergeCells>
  <pageMargins left="0.7" right="0.7" top="0.75" bottom="0.75" header="0.3" footer="0.3"/>
  <pageSetup scale="54" orientation="landscape" horizontalDpi="4294967295" verticalDpi="4294967295" r:id="rId1"/>
  <headerFooter>
    <oddHeader>&amp;R&amp;11CASE NO. 2018-00281
ATTACHMENT 1
TO AG POST-HEARING DR NO. 1-03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 PH1-3 12-31-2018</vt:lpstr>
      <vt:lpstr>'AG PH1-3 12-31-2018'!Print_Area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2019-04-10T17:30:36Z</dcterms:created>
  <dcterms:modified xsi:type="dcterms:W3CDTF">2019-04-22T17:19:32Z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{79B63A1D-625A-42CB-8637-24563BE00094}</vt:lpwstr>
  </property>
</Properties>
</file>